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2" yWindow="1200" windowWidth="23256" windowHeight="10536" activeTab="1"/>
  </bookViews>
  <sheets>
    <sheet name="Индикаторы " sheetId="9" r:id="rId1"/>
    <sheet name="Мероприятия" sheetId="6" r:id="rId2"/>
    <sheet name="Подробный перечень" sheetId="5" r:id="rId3"/>
    <sheet name="прил. 1  (2)" sheetId="11" r:id="rId4"/>
    <sheet name="прил .6 с мостом" sheetId="12" r:id="rId5"/>
    <sheet name="для вставки в ворд" sheetId="13" r:id="rId6"/>
    <sheet name="Лист3" sheetId="10" r:id="rId7"/>
  </sheets>
  <externalReferences>
    <externalReference r:id="rId8"/>
  </externalReferences>
  <definedNames>
    <definedName name="_xlnm.Print_Titles" localSheetId="5">'для вставки в ворд'!$1:$3</definedName>
    <definedName name="_xlnm.Print_Titles" localSheetId="0">'Индикаторы '!$11:$14</definedName>
    <definedName name="_xlnm.Print_Titles" localSheetId="1">Мероприятия!$8:$11</definedName>
    <definedName name="_xlnm.Print_Titles" localSheetId="2">'Подробный перечень'!$6:$9</definedName>
    <definedName name="_xlnm.Print_Titles" localSheetId="4">'прил .6 с мостом'!$1:$3</definedName>
    <definedName name="_xlnm.Print_Titles" localSheetId="3">'прил. 1  (2)'!$11:$12</definedName>
    <definedName name="_xlnm.Print_Area" localSheetId="0">'Индикаторы '!$A$1:$R$55</definedName>
    <definedName name="_xlnm.Print_Area" localSheetId="2">'Подробный перечень'!$A$1:$Y$937</definedName>
    <definedName name="_xlnm.Print_Area" localSheetId="4">'прил .6 с мостом'!$A$5:$E$23</definedName>
    <definedName name="_xlnm.Print_Area" localSheetId="3">'прил. 1  (2)'!$B$2:$P$43</definedName>
  </definedNames>
  <calcPr calcId="145621"/>
</workbook>
</file>

<file path=xl/calcChain.xml><?xml version="1.0" encoding="utf-8"?>
<calcChain xmlns="http://schemas.openxmlformats.org/spreadsheetml/2006/main">
  <c r="E43" i="12" l="1"/>
  <c r="E22" i="12"/>
  <c r="U230" i="6"/>
  <c r="R370" i="6" l="1"/>
  <c r="S370" i="6"/>
  <c r="T370" i="6"/>
  <c r="U370" i="6"/>
  <c r="R367" i="6"/>
  <c r="S367" i="6"/>
  <c r="T367" i="6"/>
  <c r="U367" i="6"/>
  <c r="R364" i="6"/>
  <c r="S364" i="6"/>
  <c r="T364" i="6"/>
  <c r="U364" i="6"/>
  <c r="R361" i="6"/>
  <c r="S361" i="6"/>
  <c r="T361" i="6"/>
  <c r="U361" i="6"/>
  <c r="R358" i="6"/>
  <c r="S358" i="6"/>
  <c r="T358" i="6"/>
  <c r="U358" i="6"/>
  <c r="Q17" i="6" l="1"/>
  <c r="R159" i="5" l="1"/>
  <c r="S159" i="5"/>
  <c r="T159" i="5"/>
  <c r="U159" i="5"/>
  <c r="T166" i="5" l="1"/>
  <c r="Q32" i="6"/>
  <c r="U147" i="6" l="1"/>
  <c r="U188" i="6"/>
  <c r="T188" i="6"/>
  <c r="T782" i="5"/>
  <c r="T345" i="6" l="1"/>
  <c r="U345" i="6"/>
  <c r="S345" i="6"/>
  <c r="R345" i="6"/>
  <c r="Q347" i="6"/>
  <c r="T347" i="6"/>
  <c r="R347" i="6"/>
  <c r="T346" i="6"/>
  <c r="S347" i="6"/>
  <c r="S346" i="6"/>
  <c r="K27" i="11" l="1"/>
  <c r="T87" i="5" l="1"/>
  <c r="T32" i="6"/>
  <c r="T95" i="5"/>
  <c r="E33" i="12" l="1"/>
  <c r="E12" i="12"/>
  <c r="U427" i="5"/>
  <c r="E44" i="12" l="1"/>
  <c r="E23" i="12" l="1"/>
  <c r="U372" i="6"/>
  <c r="U377" i="5" l="1"/>
  <c r="U376" i="5"/>
  <c r="T97" i="5"/>
  <c r="U74" i="6" l="1"/>
  <c r="U75" i="6"/>
  <c r="U69" i="6"/>
  <c r="U435" i="5"/>
  <c r="R20" i="6" l="1"/>
  <c r="R82" i="6"/>
  <c r="U119" i="6"/>
  <c r="W133" i="6"/>
  <c r="V133" i="6"/>
  <c r="Q133" i="6"/>
  <c r="S312" i="6" l="1"/>
  <c r="R312" i="6"/>
  <c r="U312" i="6"/>
  <c r="R15" i="5" l="1"/>
  <c r="S15" i="5"/>
  <c r="U73" i="6" l="1"/>
  <c r="Q74" i="6"/>
  <c r="Q73" i="6" s="1"/>
  <c r="Q75" i="6"/>
  <c r="U434" i="5"/>
  <c r="U334" i="6" l="1"/>
  <c r="Q334" i="6" s="1"/>
  <c r="U332" i="6"/>
  <c r="Q267" i="5" l="1"/>
  <c r="U267" i="5"/>
  <c r="R264" i="5"/>
  <c r="S264" i="5"/>
  <c r="T264" i="5"/>
  <c r="U264" i="5"/>
  <c r="U260" i="5"/>
  <c r="R260" i="5"/>
  <c r="S260" i="5"/>
  <c r="T260" i="5"/>
  <c r="Q265" i="5"/>
  <c r="U265" i="5"/>
  <c r="Q261" i="5"/>
  <c r="U261" i="5"/>
  <c r="R34" i="11"/>
  <c r="Q332" i="6" l="1"/>
  <c r="U329" i="6" l="1"/>
  <c r="O17" i="11" l="1"/>
  <c r="K17" i="11"/>
  <c r="K28" i="11"/>
  <c r="E28" i="12" l="1"/>
  <c r="K30" i="11"/>
  <c r="Q360" i="6" l="1"/>
  <c r="U360" i="6"/>
  <c r="U114" i="6"/>
  <c r="U116" i="6"/>
  <c r="U117" i="6"/>
  <c r="U120" i="6"/>
  <c r="U122" i="6"/>
  <c r="U140" i="6"/>
  <c r="Q46" i="9" l="1"/>
  <c r="P46" i="9"/>
  <c r="K46" i="9"/>
  <c r="Q45" i="9"/>
  <c r="P45" i="9"/>
  <c r="K45" i="9"/>
  <c r="Q44" i="9"/>
  <c r="P44" i="9"/>
  <c r="K44" i="9"/>
  <c r="Q42" i="9"/>
  <c r="P42" i="9"/>
  <c r="K42" i="9"/>
  <c r="Q41" i="9"/>
  <c r="P41" i="9"/>
  <c r="K41" i="9"/>
  <c r="Q35" i="9"/>
  <c r="P35" i="9"/>
  <c r="K35" i="9"/>
  <c r="Q34" i="9"/>
  <c r="P34" i="9"/>
  <c r="K34" i="9"/>
  <c r="Q33" i="9"/>
  <c r="P33" i="9"/>
  <c r="K33" i="9"/>
  <c r="Q32" i="9"/>
  <c r="P32" i="9"/>
  <c r="K31" i="9"/>
  <c r="K30" i="9"/>
  <c r="Q28" i="9"/>
  <c r="P28" i="9"/>
  <c r="K28" i="9"/>
  <c r="Q27" i="9"/>
  <c r="P27" i="9"/>
  <c r="K27" i="9"/>
  <c r="Q26" i="9"/>
  <c r="P26" i="9"/>
  <c r="K26" i="9"/>
  <c r="Q23" i="9"/>
  <c r="P23" i="9"/>
  <c r="K23" i="9"/>
  <c r="K20" i="9"/>
  <c r="K19" i="9"/>
  <c r="K18" i="9"/>
  <c r="K17" i="9"/>
  <c r="K43" i="11" l="1"/>
  <c r="K42" i="11"/>
  <c r="K39" i="11"/>
  <c r="K41" i="11"/>
  <c r="K38" i="11"/>
  <c r="K34" i="11"/>
  <c r="K25" i="11"/>
  <c r="K24" i="11"/>
  <c r="E61" i="11" l="1"/>
  <c r="K16" i="11"/>
  <c r="T920" i="5" l="1"/>
  <c r="Q920" i="5" s="1"/>
  <c r="Q262" i="6" l="1"/>
  <c r="U262" i="6"/>
  <c r="U254" i="6"/>
  <c r="T246" i="6"/>
  <c r="T238" i="6"/>
  <c r="T829" i="5" l="1"/>
  <c r="Q901" i="5"/>
  <c r="U889" i="5"/>
  <c r="U890" i="5"/>
  <c r="T841" i="5"/>
  <c r="T842" i="5"/>
  <c r="U833" i="5"/>
  <c r="T845" i="5"/>
  <c r="T822" i="5"/>
  <c r="U810" i="5"/>
  <c r="Q810" i="5" s="1"/>
  <c r="T783" i="5"/>
  <c r="Q754" i="5"/>
  <c r="U754" i="5"/>
  <c r="T718" i="5"/>
  <c r="U718" i="5"/>
  <c r="U715" i="5"/>
  <c r="T699" i="5"/>
  <c r="Q651" i="5"/>
  <c r="T651" i="5"/>
  <c r="Q649" i="5"/>
  <c r="T649" i="5"/>
  <c r="U575" i="5"/>
  <c r="T561" i="5"/>
  <c r="U555" i="5"/>
  <c r="T545" i="5"/>
  <c r="Q535" i="5"/>
  <c r="U535" i="5"/>
  <c r="T525" i="5"/>
  <c r="U300" i="5"/>
  <c r="T117" i="5"/>
  <c r="Q44" i="5"/>
  <c r="U44" i="5"/>
  <c r="U503" i="5" l="1"/>
  <c r="T89" i="5" l="1"/>
  <c r="S210" i="5"/>
  <c r="Q69" i="6" l="1"/>
  <c r="Q68" i="6" s="1"/>
  <c r="Q67" i="6" s="1"/>
  <c r="U68" i="6"/>
  <c r="U67" i="6" s="1"/>
  <c r="U431" i="5"/>
  <c r="U430" i="5" s="1"/>
  <c r="Q435" i="5"/>
  <c r="Q434" i="5" s="1"/>
  <c r="Q78" i="6"/>
  <c r="V78" i="6"/>
  <c r="W78" i="6"/>
  <c r="V274" i="5" l="1"/>
  <c r="Q238" i="6" l="1"/>
  <c r="Q783" i="5"/>
  <c r="Q841" i="5"/>
  <c r="Q842" i="5"/>
  <c r="Q890" i="5"/>
  <c r="Q889" i="5"/>
  <c r="Q833" i="5"/>
  <c r="T849" i="5"/>
  <c r="Q849" i="5" s="1"/>
  <c r="T828" i="5"/>
  <c r="Q829" i="5"/>
  <c r="U861" i="5"/>
  <c r="Q861" i="5" s="1"/>
  <c r="Q845" i="5"/>
  <c r="Q822" i="5"/>
  <c r="T816" i="5"/>
  <c r="Q816" i="5" s="1"/>
  <c r="T798" i="5"/>
  <c r="Q798" i="5" s="1"/>
  <c r="T770" i="5"/>
  <c r="Q770" i="5" s="1"/>
  <c r="T764" i="5"/>
  <c r="Q764" i="5" s="1"/>
  <c r="U141" i="6"/>
  <c r="Q718" i="5"/>
  <c r="Q717" i="5"/>
  <c r="U717" i="5"/>
  <c r="Q715" i="5"/>
  <c r="Q699" i="5"/>
  <c r="Q669" i="5"/>
  <c r="Q663" i="5" s="1"/>
  <c r="U669" i="5"/>
  <c r="U663" i="5" s="1"/>
  <c r="Q643" i="5"/>
  <c r="T643" i="5"/>
  <c r="Q629" i="5"/>
  <c r="T629" i="5"/>
  <c r="Q585" i="5"/>
  <c r="T585" i="5"/>
  <c r="Q575" i="5"/>
  <c r="U561" i="5"/>
  <c r="Q561" i="5" s="1"/>
  <c r="Q555" i="5"/>
  <c r="R532" i="5"/>
  <c r="S532" i="5"/>
  <c r="T532" i="5"/>
  <c r="U532" i="5"/>
  <c r="Q537" i="5"/>
  <c r="T537" i="5"/>
  <c r="Q545" i="5"/>
  <c r="U523" i="5"/>
  <c r="Q523" i="5" s="1"/>
  <c r="Q525" i="5"/>
  <c r="Q500" i="5"/>
  <c r="Q503" i="5"/>
  <c r="Q496" i="5"/>
  <c r="T493" i="5"/>
  <c r="Q493" i="5" s="1"/>
  <c r="U348" i="6" l="1"/>
  <c r="Q348" i="6" s="1"/>
  <c r="T929" i="5"/>
  <c r="Q928" i="5"/>
  <c r="T919" i="5"/>
  <c r="Q919" i="5" s="1"/>
  <c r="Q918" i="5"/>
  <c r="T331" i="6"/>
  <c r="Q331" i="6" s="1"/>
  <c r="T330" i="6" l="1"/>
  <c r="Q929" i="5"/>
  <c r="U404" i="5"/>
  <c r="Q96" i="5" l="1"/>
  <c r="Q33" i="6" s="1"/>
  <c r="T96" i="5"/>
  <c r="T88" i="5" s="1"/>
  <c r="Q97" i="5"/>
  <c r="Q34" i="6" s="1"/>
  <c r="Q404" i="5"/>
  <c r="Q376" i="5"/>
  <c r="Q377" i="5"/>
  <c r="U360" i="5"/>
  <c r="Q360" i="5" s="1"/>
  <c r="T290" i="5"/>
  <c r="T291" i="5"/>
  <c r="Q291" i="5" s="1"/>
  <c r="U274" i="5"/>
  <c r="Q274" i="5" s="1"/>
  <c r="Q210" i="5"/>
  <c r="S209" i="5"/>
  <c r="U166" i="5"/>
  <c r="U167" i="5"/>
  <c r="Q167" i="5" s="1"/>
  <c r="U273" i="5" l="1"/>
  <c r="U359" i="5"/>
  <c r="Q152" i="5"/>
  <c r="U151" i="5"/>
  <c r="V420" i="6" l="1"/>
  <c r="W420" i="6"/>
  <c r="T120" i="6"/>
  <c r="K26" i="11" l="1"/>
  <c r="K29" i="9" s="1"/>
  <c r="K31" i="11"/>
  <c r="K29" i="11" s="1"/>
  <c r="K32" i="9" s="1"/>
  <c r="T141" i="6"/>
  <c r="R85" i="6" l="1"/>
  <c r="R420" i="6" s="1"/>
  <c r="S85" i="6"/>
  <c r="S420" i="6" s="1"/>
  <c r="U85" i="6"/>
  <c r="U420" i="6" s="1"/>
  <c r="Q427" i="5"/>
  <c r="Q65" i="6" s="1"/>
  <c r="Q230" i="6"/>
  <c r="Q254" i="6"/>
  <c r="Q372" i="6"/>
  <c r="R18" i="5"/>
  <c r="S18" i="5"/>
  <c r="T18" i="5"/>
  <c r="T23" i="6" s="1"/>
  <c r="U18" i="5"/>
  <c r="R257" i="5"/>
  <c r="S257" i="5"/>
  <c r="T257" i="5"/>
  <c r="U257" i="5"/>
  <c r="Q257" i="5"/>
  <c r="Q299" i="5"/>
  <c r="Q18" i="5" s="1"/>
  <c r="Q23" i="6" s="1"/>
  <c r="R298" i="5"/>
  <c r="S298" i="5"/>
  <c r="T298" i="5"/>
  <c r="Q300" i="5"/>
  <c r="Q298" i="5" s="1"/>
  <c r="U298" i="5"/>
  <c r="Q198" i="5"/>
  <c r="U197" i="5"/>
  <c r="T116" i="5"/>
  <c r="Q117" i="5"/>
  <c r="Q246" i="6"/>
  <c r="Q85" i="6" l="1"/>
  <c r="Q420" i="6" s="1"/>
  <c r="T85" i="6"/>
  <c r="T420" i="6" s="1"/>
  <c r="S329" i="6"/>
  <c r="T329" i="6"/>
  <c r="R311" i="6" l="1"/>
  <c r="S311" i="6"/>
  <c r="T311" i="6"/>
  <c r="U311" i="6"/>
  <c r="Q312" i="6"/>
  <c r="W311" i="6" l="1"/>
  <c r="W315" i="6" s="1"/>
  <c r="V21" i="6"/>
  <c r="V81" i="6" s="1"/>
  <c r="W21" i="6"/>
  <c r="W81" i="6" s="1"/>
  <c r="V311" i="6" l="1"/>
  <c r="T312" i="6"/>
  <c r="V312" i="6"/>
  <c r="W312" i="6"/>
  <c r="Q370" i="6"/>
  <c r="R21" i="6"/>
  <c r="R81" i="6" s="1"/>
  <c r="S21" i="6"/>
  <c r="S81" i="6" s="1"/>
  <c r="Z190" i="6" l="1"/>
  <c r="R386" i="6"/>
  <c r="S386" i="6"/>
  <c r="T386" i="6"/>
  <c r="U386" i="6"/>
  <c r="V386" i="6"/>
  <c r="W386" i="6"/>
  <c r="Q33" i="11" l="1"/>
  <c r="K33" i="11"/>
  <c r="B51" i="12" l="1"/>
  <c r="B52" i="12"/>
  <c r="B53" i="12"/>
  <c r="B50" i="12"/>
  <c r="D47" i="12"/>
  <c r="E47" i="12"/>
  <c r="F47" i="12"/>
  <c r="G47" i="12"/>
  <c r="H47" i="12"/>
  <c r="I47" i="12"/>
  <c r="J47" i="12"/>
  <c r="C47" i="12"/>
  <c r="B47" i="12" l="1"/>
  <c r="Q260" i="5" l="1"/>
  <c r="AB106" i="6"/>
  <c r="K45" i="11" l="1"/>
  <c r="T34" i="6" l="1"/>
  <c r="T33" i="6"/>
  <c r="V718" i="5" l="1"/>
  <c r="V541" i="5"/>
  <c r="R193" i="6" l="1"/>
  <c r="S193" i="6"/>
  <c r="T193" i="6"/>
  <c r="R83" i="6"/>
  <c r="S83" i="6"/>
  <c r="R84" i="6"/>
  <c r="S84" i="6"/>
  <c r="R376" i="6"/>
  <c r="S376" i="6"/>
  <c r="T376" i="6"/>
  <c r="U376" i="6"/>
  <c r="U252" i="6"/>
  <c r="R260" i="6"/>
  <c r="S260" i="6"/>
  <c r="T260" i="6"/>
  <c r="U260" i="6"/>
  <c r="T244" i="6"/>
  <c r="R236" i="6"/>
  <c r="S236" i="6"/>
  <c r="T236" i="6"/>
  <c r="U236" i="6"/>
  <c r="Z231" i="6" l="1"/>
  <c r="Z230" i="6"/>
  <c r="Z229" i="6"/>
  <c r="R268" i="6" l="1"/>
  <c r="S268" i="6"/>
  <c r="T268" i="6"/>
  <c r="Z307" i="6"/>
  <c r="R147" i="6" l="1"/>
  <c r="U40" i="5"/>
  <c r="T40" i="5"/>
  <c r="T39" i="5" s="1"/>
  <c r="T29" i="6" s="1"/>
  <c r="U43" i="5"/>
  <c r="T43" i="5"/>
  <c r="R880" i="5"/>
  <c r="S880" i="5"/>
  <c r="T880" i="5"/>
  <c r="U880" i="5"/>
  <c r="U181" i="6" s="1"/>
  <c r="R879" i="5"/>
  <c r="S879" i="5"/>
  <c r="T879" i="5"/>
  <c r="U879" i="5"/>
  <c r="U180" i="6" s="1"/>
  <c r="R878" i="5"/>
  <c r="S878" i="5"/>
  <c r="T878" i="5"/>
  <c r="U878" i="5"/>
  <c r="R877" i="5"/>
  <c r="S877" i="5"/>
  <c r="T877" i="5"/>
  <c r="U877" i="5"/>
  <c r="R860" i="5"/>
  <c r="S860" i="5"/>
  <c r="T860" i="5"/>
  <c r="U860" i="5"/>
  <c r="Q860" i="5"/>
  <c r="R848" i="5"/>
  <c r="S848" i="5"/>
  <c r="T848" i="5"/>
  <c r="U848" i="5"/>
  <c r="Q848" i="5"/>
  <c r="U826" i="5"/>
  <c r="U174" i="6" s="1"/>
  <c r="U825" i="5"/>
  <c r="U823" i="5"/>
  <c r="U832" i="5"/>
  <c r="R832" i="5"/>
  <c r="S832" i="5"/>
  <c r="T832" i="5"/>
  <c r="R823" i="5"/>
  <c r="S823" i="5"/>
  <c r="T823" i="5"/>
  <c r="R825" i="5"/>
  <c r="R824" i="5" s="1"/>
  <c r="S825" i="5"/>
  <c r="T825" i="5"/>
  <c r="T173" i="6" s="1"/>
  <c r="R826" i="5"/>
  <c r="S826" i="5"/>
  <c r="T826" i="5"/>
  <c r="T174" i="6" s="1"/>
  <c r="R817" i="5"/>
  <c r="S817" i="5"/>
  <c r="T817" i="5"/>
  <c r="U817" i="5"/>
  <c r="R818" i="5"/>
  <c r="S818" i="5"/>
  <c r="T818" i="5"/>
  <c r="T171" i="6" s="1"/>
  <c r="U818" i="5"/>
  <c r="R814" i="5"/>
  <c r="S814" i="5"/>
  <c r="T814" i="5"/>
  <c r="T170" i="6" s="1"/>
  <c r="U814" i="5"/>
  <c r="R807" i="5"/>
  <c r="S807" i="5"/>
  <c r="T807" i="5"/>
  <c r="U807" i="5"/>
  <c r="R808" i="5"/>
  <c r="S808" i="5"/>
  <c r="T808" i="5"/>
  <c r="U808" i="5"/>
  <c r="R795" i="5"/>
  <c r="S795" i="5"/>
  <c r="T795" i="5"/>
  <c r="R796" i="5"/>
  <c r="S796" i="5"/>
  <c r="T796" i="5"/>
  <c r="T166" i="6" s="1"/>
  <c r="R777" i="5"/>
  <c r="S777" i="5"/>
  <c r="T777" i="5"/>
  <c r="R779" i="5"/>
  <c r="S779" i="5"/>
  <c r="T779" i="5"/>
  <c r="T162" i="6" s="1"/>
  <c r="T161" i="6" s="1"/>
  <c r="R780" i="5"/>
  <c r="S780" i="5"/>
  <c r="T780" i="5"/>
  <c r="R767" i="5"/>
  <c r="S767" i="5"/>
  <c r="T767" i="5"/>
  <c r="R768" i="5"/>
  <c r="S768" i="5"/>
  <c r="T768" i="5"/>
  <c r="T159" i="6" s="1"/>
  <c r="R756" i="5"/>
  <c r="S756" i="5"/>
  <c r="T756" i="5"/>
  <c r="T158" i="6" s="1"/>
  <c r="U756" i="5"/>
  <c r="R751" i="5"/>
  <c r="S751" i="5"/>
  <c r="S721" i="5" s="1"/>
  <c r="T751" i="5"/>
  <c r="U751" i="5"/>
  <c r="R752" i="5"/>
  <c r="S752" i="5"/>
  <c r="S725" i="5" s="1"/>
  <c r="T752" i="5"/>
  <c r="U752" i="5"/>
  <c r="U726" i="5"/>
  <c r="U148" i="6" s="1"/>
  <c r="U95" i="6" s="1"/>
  <c r="R644" i="5"/>
  <c r="S644" i="5"/>
  <c r="T644" i="5"/>
  <c r="R713" i="5"/>
  <c r="S713" i="5"/>
  <c r="T713" i="5"/>
  <c r="U713" i="5"/>
  <c r="R712" i="5"/>
  <c r="S712" i="5"/>
  <c r="T712" i="5"/>
  <c r="U712" i="5"/>
  <c r="R697" i="5"/>
  <c r="S697" i="5"/>
  <c r="T697" i="5"/>
  <c r="T138" i="6" s="1"/>
  <c r="U697" i="5"/>
  <c r="R664" i="5"/>
  <c r="R663" i="5" s="1"/>
  <c r="S664" i="5"/>
  <c r="S663" i="5" s="1"/>
  <c r="T664" i="5"/>
  <c r="T663" i="5" s="1"/>
  <c r="U664" i="5"/>
  <c r="R645" i="5"/>
  <c r="S645" i="5"/>
  <c r="T645" i="5"/>
  <c r="T131" i="6" s="1"/>
  <c r="U645" i="5"/>
  <c r="R631" i="5"/>
  <c r="S631" i="5"/>
  <c r="T631" i="5"/>
  <c r="T130" i="6" s="1"/>
  <c r="U631" i="5"/>
  <c r="R625" i="5"/>
  <c r="S625" i="5"/>
  <c r="T625" i="5"/>
  <c r="T129" i="6" s="1"/>
  <c r="U625" i="5"/>
  <c r="R579" i="5"/>
  <c r="S579" i="5"/>
  <c r="T579" i="5"/>
  <c r="T123" i="6" s="1"/>
  <c r="U579" i="5"/>
  <c r="R573" i="5"/>
  <c r="S573" i="5"/>
  <c r="T573" i="5"/>
  <c r="U573" i="5"/>
  <c r="R572" i="5"/>
  <c r="S572" i="5"/>
  <c r="T572" i="5"/>
  <c r="U572" i="5"/>
  <c r="R563" i="5"/>
  <c r="S563" i="5"/>
  <c r="T563" i="5"/>
  <c r="T121" i="6" s="1"/>
  <c r="U563" i="5"/>
  <c r="R557" i="5"/>
  <c r="S557" i="5"/>
  <c r="T557" i="5"/>
  <c r="U557" i="5"/>
  <c r="R550" i="5"/>
  <c r="S550" i="5"/>
  <c r="R551" i="5"/>
  <c r="R119" i="6" s="1"/>
  <c r="R103" i="6" s="1"/>
  <c r="S551" i="5"/>
  <c r="S119" i="6" s="1"/>
  <c r="T551" i="5"/>
  <c r="T119" i="6" s="1"/>
  <c r="U551" i="5"/>
  <c r="R533" i="5"/>
  <c r="S533" i="5"/>
  <c r="S117" i="6" s="1"/>
  <c r="S103" i="6" s="1"/>
  <c r="T533" i="5"/>
  <c r="T117" i="6" s="1"/>
  <c r="U533" i="5"/>
  <c r="R520" i="5"/>
  <c r="S520" i="5"/>
  <c r="T520" i="5"/>
  <c r="U520" i="5"/>
  <c r="R521" i="5"/>
  <c r="S521" i="5"/>
  <c r="T521" i="5"/>
  <c r="U521" i="5"/>
  <c r="R497" i="5"/>
  <c r="S497" i="5"/>
  <c r="T497" i="5"/>
  <c r="T114" i="6" s="1"/>
  <c r="U497" i="5"/>
  <c r="R496" i="5"/>
  <c r="R438" i="5" s="1"/>
  <c r="S496" i="5"/>
  <c r="S438" i="5" s="1"/>
  <c r="T496" i="5"/>
  <c r="U496" i="5"/>
  <c r="R489" i="5"/>
  <c r="R442" i="5" s="1"/>
  <c r="R440" i="5" s="1"/>
  <c r="S489" i="5"/>
  <c r="S442" i="5" s="1"/>
  <c r="S440" i="5" s="1"/>
  <c r="T489" i="5"/>
  <c r="U489" i="5"/>
  <c r="U442" i="5" s="1"/>
  <c r="U440" i="5" s="1"/>
  <c r="R157" i="5"/>
  <c r="S157" i="5"/>
  <c r="T157" i="5"/>
  <c r="U157" i="5"/>
  <c r="T113" i="6" l="1"/>
  <c r="T442" i="5"/>
  <c r="T440" i="5" s="1"/>
  <c r="S726" i="5"/>
  <c r="S148" i="6" s="1"/>
  <c r="S95" i="6" s="1"/>
  <c r="U179" i="6"/>
  <c r="U39" i="5"/>
  <c r="U29" i="6" s="1"/>
  <c r="T116" i="6"/>
  <c r="U103" i="6"/>
  <c r="U101" i="6" s="1"/>
  <c r="U725" i="5"/>
  <c r="U723" i="5" s="1"/>
  <c r="R725" i="5"/>
  <c r="S778" i="5"/>
  <c r="R778" i="5"/>
  <c r="T725" i="5"/>
  <c r="T778" i="5"/>
  <c r="S824" i="5"/>
  <c r="U824" i="5"/>
  <c r="T824" i="5"/>
  <c r="T726" i="5"/>
  <c r="T148" i="6" s="1"/>
  <c r="T95" i="6" s="1"/>
  <c r="R726" i="5"/>
  <c r="R148" i="6" s="1"/>
  <c r="R95" i="6" s="1"/>
  <c r="R721" i="5"/>
  <c r="U173" i="6"/>
  <c r="S101" i="6"/>
  <c r="S94" i="6"/>
  <c r="S384" i="6" s="1"/>
  <c r="R101" i="6"/>
  <c r="R94" i="6"/>
  <c r="T172" i="6"/>
  <c r="R92" i="6" l="1"/>
  <c r="R384" i="6"/>
  <c r="R417" i="6" s="1"/>
  <c r="S723" i="5"/>
  <c r="S145" i="6"/>
  <c r="S92" i="6"/>
  <c r="T103" i="6"/>
  <c r="T101" i="6" s="1"/>
  <c r="R145" i="6"/>
  <c r="T723" i="5"/>
  <c r="U172" i="6"/>
  <c r="R723" i="5"/>
  <c r="R426" i="5"/>
  <c r="S426" i="5"/>
  <c r="T426" i="5"/>
  <c r="T65" i="6" s="1"/>
  <c r="R390" i="5"/>
  <c r="S390" i="5"/>
  <c r="T390" i="5"/>
  <c r="U390" i="5"/>
  <c r="R392" i="5"/>
  <c r="R391" i="5" s="1"/>
  <c r="S392" i="5"/>
  <c r="S391" i="5" s="1"/>
  <c r="T392" i="5"/>
  <c r="T391" i="5" s="1"/>
  <c r="T63" i="6" s="1"/>
  <c r="U392" i="5"/>
  <c r="U391" i="5" s="1"/>
  <c r="U63" i="6" s="1"/>
  <c r="R370" i="5"/>
  <c r="S370" i="5"/>
  <c r="T370" i="5"/>
  <c r="U370" i="5"/>
  <c r="R372" i="5"/>
  <c r="S372" i="5"/>
  <c r="T372" i="5"/>
  <c r="T59" i="6" s="1"/>
  <c r="U372" i="5"/>
  <c r="R373" i="5"/>
  <c r="R17" i="5" s="1"/>
  <c r="S373" i="5"/>
  <c r="S17" i="5" s="1"/>
  <c r="T373" i="5"/>
  <c r="T60" i="6" s="1"/>
  <c r="U373" i="5"/>
  <c r="U60" i="6" s="1"/>
  <c r="R350" i="5"/>
  <c r="S350" i="5"/>
  <c r="T350" i="5"/>
  <c r="U350" i="5"/>
  <c r="R352" i="5"/>
  <c r="R351" i="5" s="1"/>
  <c r="S352" i="5"/>
  <c r="S351" i="5" s="1"/>
  <c r="T352" i="5"/>
  <c r="T351" i="5" s="1"/>
  <c r="T55" i="6" s="1"/>
  <c r="U352" i="5"/>
  <c r="U351" i="5" s="1"/>
  <c r="U55" i="6" s="1"/>
  <c r="R253" i="5"/>
  <c r="S253" i="5"/>
  <c r="T253" i="5"/>
  <c r="U253" i="5"/>
  <c r="R255" i="5"/>
  <c r="S255" i="5"/>
  <c r="T255" i="5"/>
  <c r="U255" i="5"/>
  <c r="R258" i="5"/>
  <c r="R16" i="5" s="1"/>
  <c r="S258" i="5"/>
  <c r="S16" i="5" s="1"/>
  <c r="T258" i="5"/>
  <c r="T51" i="6" s="1"/>
  <c r="U258" i="5"/>
  <c r="U51" i="6" s="1"/>
  <c r="R200" i="5"/>
  <c r="S200" i="5"/>
  <c r="T200" i="5"/>
  <c r="R202" i="5"/>
  <c r="R201" i="5" s="1"/>
  <c r="S202" i="5"/>
  <c r="T202" i="5"/>
  <c r="T201" i="5" s="1"/>
  <c r="R189" i="5"/>
  <c r="S189" i="5"/>
  <c r="T189" i="5"/>
  <c r="U189" i="5"/>
  <c r="R190" i="5"/>
  <c r="S190" i="5"/>
  <c r="S43" i="6" s="1"/>
  <c r="T190" i="5"/>
  <c r="T43" i="6" s="1"/>
  <c r="U190" i="5"/>
  <c r="U43" i="6" s="1"/>
  <c r="R191" i="5"/>
  <c r="S191" i="5"/>
  <c r="T191" i="5"/>
  <c r="U191" i="5"/>
  <c r="R158" i="5"/>
  <c r="S158" i="5"/>
  <c r="S40" i="6" s="1"/>
  <c r="S20" i="6" s="1"/>
  <c r="S82" i="6" s="1"/>
  <c r="S417" i="6" s="1"/>
  <c r="R146" i="5"/>
  <c r="S146" i="5"/>
  <c r="T146" i="5"/>
  <c r="U146" i="5"/>
  <c r="R148" i="5"/>
  <c r="S148" i="5"/>
  <c r="T148" i="5"/>
  <c r="T147" i="5" s="1"/>
  <c r="U148" i="5"/>
  <c r="R104" i="5"/>
  <c r="R103" i="5" s="1"/>
  <c r="S104" i="5"/>
  <c r="T104" i="5"/>
  <c r="R102" i="5"/>
  <c r="R11" i="5" s="1"/>
  <c r="S102" i="5"/>
  <c r="T102" i="5"/>
  <c r="U65" i="6"/>
  <c r="T158" i="5" l="1"/>
  <c r="T40" i="6" s="1"/>
  <c r="T20" i="6" s="1"/>
  <c r="T82" i="6" s="1"/>
  <c r="T15" i="5"/>
  <c r="U59" i="6"/>
  <c r="U21" i="6" s="1"/>
  <c r="U15" i="5"/>
  <c r="Q51" i="6"/>
  <c r="S147" i="5"/>
  <c r="R147" i="5"/>
  <c r="U147" i="5"/>
  <c r="U39" i="6" s="1"/>
  <c r="T103" i="5"/>
  <c r="T36" i="6" s="1"/>
  <c r="S201" i="5"/>
  <c r="S44" i="6" s="1"/>
  <c r="S13" i="5"/>
  <c r="Q60" i="6"/>
  <c r="T21" i="6"/>
  <c r="T81" i="6" s="1"/>
  <c r="Q59" i="6"/>
  <c r="Q21" i="6" s="1"/>
  <c r="U49" i="6"/>
  <c r="U254" i="5"/>
  <c r="U48" i="6" s="1"/>
  <c r="T49" i="6"/>
  <c r="T254" i="5"/>
  <c r="S103" i="5"/>
  <c r="S49" i="6"/>
  <c r="S254" i="5"/>
  <c r="S371" i="5"/>
  <c r="R49" i="6"/>
  <c r="R254" i="5"/>
  <c r="R48" i="6" s="1"/>
  <c r="R371" i="5"/>
  <c r="U158" i="5"/>
  <c r="U40" i="6" s="1"/>
  <c r="U20" i="6" s="1"/>
  <c r="U82" i="6" s="1"/>
  <c r="T48" i="6"/>
  <c r="T371" i="5"/>
  <c r="T58" i="6" s="1"/>
  <c r="T17" i="5"/>
  <c r="T22" i="6" s="1"/>
  <c r="T84" i="6" s="1"/>
  <c r="T16" i="5"/>
  <c r="T24" i="6" s="1"/>
  <c r="T83" i="6" s="1"/>
  <c r="R13" i="5"/>
  <c r="S48" i="6"/>
  <c r="U371" i="5"/>
  <c r="U58" i="6" s="1"/>
  <c r="U426" i="5"/>
  <c r="U17" i="5"/>
  <c r="U22" i="6" s="1"/>
  <c r="U84" i="6" s="1"/>
  <c r="U16" i="5"/>
  <c r="U24" i="6" s="1"/>
  <c r="U83" i="6" s="1"/>
  <c r="U81" i="6"/>
  <c r="Q81" i="6" l="1"/>
  <c r="U18" i="6"/>
  <c r="R79" i="6"/>
  <c r="Q49" i="6"/>
  <c r="U13" i="5"/>
  <c r="T13" i="5"/>
  <c r="R18" i="6"/>
  <c r="S18" i="6"/>
  <c r="S79" i="6"/>
  <c r="V645" i="5"/>
  <c r="U79" i="6" l="1"/>
  <c r="T79" i="6"/>
  <c r="T18" i="6"/>
  <c r="F41" i="11"/>
  <c r="F40" i="11"/>
  <c r="R35" i="11"/>
  <c r="N18" i="11"/>
  <c r="O18" i="11"/>
  <c r="AI14" i="5" l="1"/>
  <c r="V884" i="5" l="1"/>
  <c r="V849" i="5"/>
  <c r="L28" i="11" l="1"/>
  <c r="F23" i="11"/>
  <c r="M28" i="11" l="1"/>
  <c r="P31" i="9"/>
  <c r="L43" i="11"/>
  <c r="L25" i="11"/>
  <c r="M25" i="11" s="1"/>
  <c r="N25" i="11" s="1"/>
  <c r="O25" i="11" s="1"/>
  <c r="P25" i="11" s="1"/>
  <c r="L24" i="11"/>
  <c r="M24" i="11" s="1"/>
  <c r="N24" i="11" s="1"/>
  <c r="O24" i="11" s="1"/>
  <c r="P24" i="11" s="1"/>
  <c r="N28" i="11" l="1"/>
  <c r="O28" i="11" s="1"/>
  <c r="P28" i="11" s="1"/>
  <c r="Q31" i="9"/>
  <c r="M43" i="11"/>
  <c r="L45" i="11"/>
  <c r="AH14" i="5"/>
  <c r="N43" i="11" l="1"/>
  <c r="M45" i="11"/>
  <c r="M30" i="11"/>
  <c r="L30" i="11"/>
  <c r="L27" i="11" s="1"/>
  <c r="M27" i="11" l="1"/>
  <c r="P30" i="9"/>
  <c r="O43" i="11"/>
  <c r="N45" i="11"/>
  <c r="F24" i="11"/>
  <c r="M19" i="11"/>
  <c r="L18" i="11"/>
  <c r="AE14" i="5"/>
  <c r="AF14" i="5"/>
  <c r="L19" i="11" s="1"/>
  <c r="N27" i="11" l="1"/>
  <c r="O27" i="11" s="1"/>
  <c r="P27" i="11" s="1"/>
  <c r="Q30" i="9"/>
  <c r="P43" i="11"/>
  <c r="P45" i="11" s="1"/>
  <c r="O45" i="11"/>
  <c r="AB14" i="5"/>
  <c r="AC14" i="5"/>
  <c r="AB13" i="5"/>
  <c r="AC13" i="5"/>
  <c r="L37" i="11"/>
  <c r="M37" i="11" s="1"/>
  <c r="N37" i="11" s="1"/>
  <c r="O37" i="11" s="1"/>
  <c r="P37" i="11" s="1"/>
  <c r="F25" i="11" l="1"/>
  <c r="Q664" i="5" l="1"/>
  <c r="Q146" i="5"/>
  <c r="R313" i="6" l="1"/>
  <c r="S313" i="6"/>
  <c r="T313" i="6"/>
  <c r="U313" i="6"/>
  <c r="Q313" i="6"/>
  <c r="T921" i="5"/>
  <c r="T911" i="5"/>
  <c r="R903" i="5"/>
  <c r="S903" i="5"/>
  <c r="R913" i="5"/>
  <c r="S913" i="5"/>
  <c r="T913" i="5"/>
  <c r="U913" i="5"/>
  <c r="R914" i="5"/>
  <c r="S914" i="5"/>
  <c r="T914" i="5"/>
  <c r="U914" i="5"/>
  <c r="R915" i="5"/>
  <c r="S915" i="5"/>
  <c r="T915" i="5"/>
  <c r="U915" i="5"/>
  <c r="R917" i="5"/>
  <c r="S917" i="5"/>
  <c r="T917" i="5"/>
  <c r="U917" i="5"/>
  <c r="R923" i="5"/>
  <c r="S923" i="5"/>
  <c r="T923" i="5"/>
  <c r="U923" i="5"/>
  <c r="R924" i="5"/>
  <c r="S924" i="5"/>
  <c r="T924" i="5"/>
  <c r="U924" i="5"/>
  <c r="R925" i="5"/>
  <c r="S925" i="5"/>
  <c r="S922" i="5" s="1"/>
  <c r="T925" i="5"/>
  <c r="U925" i="5"/>
  <c r="R927" i="5"/>
  <c r="S927" i="5"/>
  <c r="T927" i="5"/>
  <c r="U927" i="5"/>
  <c r="U922" i="5" l="1"/>
  <c r="T922" i="5"/>
  <c r="T909" i="5"/>
  <c r="T908" i="5"/>
  <c r="T907" i="5"/>
  <c r="S909" i="5"/>
  <c r="S908" i="5"/>
  <c r="S907" i="5"/>
  <c r="R909" i="5"/>
  <c r="R908" i="5"/>
  <c r="R907" i="5"/>
  <c r="R922" i="5"/>
  <c r="U909" i="5"/>
  <c r="U908" i="5"/>
  <c r="U907" i="5"/>
  <c r="U385" i="6"/>
  <c r="U418" i="6" s="1"/>
  <c r="S385" i="6"/>
  <c r="S418" i="6" s="1"/>
  <c r="T385" i="6"/>
  <c r="T418" i="6" s="1"/>
  <c r="R385" i="6"/>
  <c r="R418" i="6" s="1"/>
  <c r="S905" i="5"/>
  <c r="R905" i="5"/>
  <c r="T912" i="5"/>
  <c r="R912" i="5"/>
  <c r="U912" i="5"/>
  <c r="S912" i="5"/>
  <c r="T903" i="5"/>
  <c r="U905" i="5" l="1"/>
  <c r="T905" i="5"/>
  <c r="R314" i="6"/>
  <c r="R315" i="6" s="1"/>
  <c r="S314" i="6"/>
  <c r="S315" i="6" s="1"/>
  <c r="T314" i="6"/>
  <c r="T315" i="6" s="1"/>
  <c r="U314" i="6"/>
  <c r="U315" i="6" s="1"/>
  <c r="R419" i="6" l="1"/>
  <c r="R309" i="6"/>
  <c r="U419" i="6"/>
  <c r="U309" i="6"/>
  <c r="S419" i="6"/>
  <c r="S309" i="6"/>
  <c r="T419" i="6"/>
  <c r="T309" i="6"/>
  <c r="T387" i="6"/>
  <c r="T421" i="6" s="1"/>
  <c r="R387" i="6"/>
  <c r="R421" i="6" s="1"/>
  <c r="U421" i="6"/>
  <c r="S421" i="6"/>
  <c r="Q270" i="6"/>
  <c r="U270" i="6" s="1"/>
  <c r="U268" i="6" s="1"/>
  <c r="V195" i="6"/>
  <c r="Q195" i="6"/>
  <c r="U195" i="6" s="1"/>
  <c r="U193" i="6" l="1"/>
  <c r="Z232" i="6"/>
  <c r="U207" i="6" s="1"/>
  <c r="S416" i="6"/>
  <c r="R416" i="6"/>
  <c r="Z228" i="6"/>
  <c r="S201" i="6" s="1"/>
  <c r="X201" i="6"/>
  <c r="S382" i="6"/>
  <c r="S226" i="6"/>
  <c r="T211" i="6"/>
  <c r="U206" i="6"/>
  <c r="R216" i="6"/>
  <c r="S227" i="6"/>
  <c r="S211" i="6"/>
  <c r="T228" i="6"/>
  <c r="T220" i="6"/>
  <c r="T212" i="6"/>
  <c r="T204" i="6"/>
  <c r="U215" i="6"/>
  <c r="R382" i="6"/>
  <c r="U223" i="6" l="1"/>
  <c r="T208" i="6"/>
  <c r="T216" i="6"/>
  <c r="T224" i="6"/>
  <c r="S203" i="6"/>
  <c r="S219" i="6"/>
  <c r="R208" i="6"/>
  <c r="R224" i="6"/>
  <c r="U222" i="6"/>
  <c r="T227" i="6"/>
  <c r="R227" i="6"/>
  <c r="S207" i="6"/>
  <c r="S215" i="6"/>
  <c r="S223" i="6"/>
  <c r="R204" i="6"/>
  <c r="R212" i="6"/>
  <c r="R220" i="6"/>
  <c r="R228" i="6"/>
  <c r="U214" i="6"/>
  <c r="T203" i="6"/>
  <c r="T219" i="6"/>
  <c r="S210" i="6"/>
  <c r="R211" i="6"/>
  <c r="S209" i="6"/>
  <c r="U200" i="6"/>
  <c r="T207" i="6"/>
  <c r="T215" i="6"/>
  <c r="T223" i="6"/>
  <c r="S202" i="6"/>
  <c r="S218" i="6"/>
  <c r="R203" i="6"/>
  <c r="R219" i="6"/>
  <c r="T206" i="6"/>
  <c r="R214" i="6"/>
  <c r="S206" i="6"/>
  <c r="S214" i="6"/>
  <c r="S222" i="6"/>
  <c r="S200" i="6"/>
  <c r="R207" i="6"/>
  <c r="R215" i="6"/>
  <c r="R223" i="6"/>
  <c r="U209" i="6"/>
  <c r="T222" i="6"/>
  <c r="S225" i="6"/>
  <c r="U216" i="6"/>
  <c r="R202" i="6"/>
  <c r="U217" i="6"/>
  <c r="T214" i="6"/>
  <c r="T200" i="6"/>
  <c r="S217" i="6"/>
  <c r="R206" i="6"/>
  <c r="R222" i="6"/>
  <c r="T221" i="6"/>
  <c r="U225" i="6"/>
  <c r="T210" i="6"/>
  <c r="T218" i="6"/>
  <c r="T226" i="6"/>
  <c r="S205" i="6"/>
  <c r="S213" i="6"/>
  <c r="S221" i="6"/>
  <c r="S229" i="6"/>
  <c r="R210" i="6"/>
  <c r="R218" i="6"/>
  <c r="R200" i="6"/>
  <c r="T201" i="6"/>
  <c r="S212" i="6"/>
  <c r="T209" i="6"/>
  <c r="S204" i="6"/>
  <c r="S224" i="6"/>
  <c r="R226" i="6"/>
  <c r="U208" i="6"/>
  <c r="U224" i="6"/>
  <c r="T205" i="6"/>
  <c r="T217" i="6"/>
  <c r="T225" i="6"/>
  <c r="S208" i="6"/>
  <c r="S220" i="6"/>
  <c r="R209" i="6"/>
  <c r="R225" i="6"/>
  <c r="R205" i="6"/>
  <c r="R221" i="6"/>
  <c r="S228" i="6"/>
  <c r="R213" i="6"/>
  <c r="R229" i="6"/>
  <c r="U228" i="6"/>
  <c r="T213" i="6"/>
  <c r="T229" i="6"/>
  <c r="S216" i="6"/>
  <c r="R201" i="6"/>
  <c r="R217" i="6"/>
  <c r="U203" i="6"/>
  <c r="U211" i="6"/>
  <c r="U219" i="6"/>
  <c r="U227" i="6"/>
  <c r="U202" i="6"/>
  <c r="U210" i="6"/>
  <c r="U218" i="6"/>
  <c r="U226" i="6"/>
  <c r="U201" i="6"/>
  <c r="U205" i="6"/>
  <c r="U213" i="6"/>
  <c r="U221" i="6"/>
  <c r="U229" i="6"/>
  <c r="U204" i="6"/>
  <c r="U212" i="6"/>
  <c r="U220" i="6"/>
  <c r="T202" i="6"/>
  <c r="W664" i="5"/>
  <c r="W825" i="5"/>
  <c r="W823" i="5"/>
  <c r="W856" i="5"/>
  <c r="V823" i="5"/>
  <c r="V825" i="5"/>
  <c r="V852" i="5"/>
  <c r="V826" i="5"/>
  <c r="V836" i="5"/>
  <c r="W663" i="5" l="1"/>
  <c r="V608" i="5"/>
  <c r="V615" i="5"/>
  <c r="V619" i="5"/>
  <c r="Q142" i="6"/>
  <c r="W277" i="5" l="1"/>
  <c r="W258" i="5" s="1"/>
  <c r="W260" i="5"/>
  <c r="V353" i="5" l="1"/>
  <c r="V267" i="5" l="1"/>
  <c r="V258" i="5" s="1"/>
  <c r="V51" i="6" s="1"/>
  <c r="V203" i="5"/>
  <c r="V200" i="5"/>
  <c r="Q258" i="5"/>
  <c r="Q255" i="5"/>
  <c r="Q148" i="5"/>
  <c r="Q147" i="5" s="1"/>
  <c r="Q39" i="6" s="1"/>
  <c r="Q151" i="5"/>
  <c r="Q254" i="5" l="1"/>
  <c r="W314" i="6"/>
  <c r="V314" i="6"/>
  <c r="W345" i="6"/>
  <c r="V345" i="6"/>
  <c r="W329" i="6"/>
  <c r="V329" i="6"/>
  <c r="Q923" i="5" l="1"/>
  <c r="Q924" i="5"/>
  <c r="Q346" i="6" s="1"/>
  <c r="Q345" i="6" s="1"/>
  <c r="Q925" i="5"/>
  <c r="Q927" i="5"/>
  <c r="Q913" i="5"/>
  <c r="Q907" i="5" s="1"/>
  <c r="Q914" i="5"/>
  <c r="Q330" i="6" s="1"/>
  <c r="Q329" i="6" s="1"/>
  <c r="Q915" i="5"/>
  <c r="Q909" i="5" s="1"/>
  <c r="Q917" i="5"/>
  <c r="Q922" i="5" l="1"/>
  <c r="Q386" i="6"/>
  <c r="Q908" i="5"/>
  <c r="Q905" i="5" s="1"/>
  <c r="Q912" i="5"/>
  <c r="Q314" i="6"/>
  <c r="Q921" i="5"/>
  <c r="U921" i="5"/>
  <c r="U911" i="5"/>
  <c r="Q911" i="5"/>
  <c r="Q903" i="5" s="1"/>
  <c r="U903" i="5" l="1"/>
  <c r="Q904" i="5"/>
  <c r="P901" i="5"/>
  <c r="L901" i="5" s="1"/>
  <c r="G901" i="5"/>
  <c r="W898" i="5"/>
  <c r="V898" i="5"/>
  <c r="Q898" i="5"/>
  <c r="L898" i="5"/>
  <c r="K898" i="5"/>
  <c r="J898" i="5"/>
  <c r="I898" i="5"/>
  <c r="H898" i="5"/>
  <c r="G898" i="5"/>
  <c r="W897" i="5"/>
  <c r="V897" i="5"/>
  <c r="Q897" i="5"/>
  <c r="L897" i="5"/>
  <c r="K897" i="5"/>
  <c r="J897" i="5"/>
  <c r="I897" i="5"/>
  <c r="H897" i="5"/>
  <c r="G897" i="5"/>
  <c r="J895" i="5"/>
  <c r="Q893" i="5"/>
  <c r="L893" i="5"/>
  <c r="K893" i="5"/>
  <c r="J893" i="5"/>
  <c r="I893" i="5"/>
  <c r="H893" i="5"/>
  <c r="G893" i="5"/>
  <c r="Q888" i="5"/>
  <c r="W888" i="5"/>
  <c r="V888" i="5"/>
  <c r="L882" i="5"/>
  <c r="M882" i="5" s="1"/>
  <c r="M880" i="5" s="1"/>
  <c r="J881" i="5"/>
  <c r="J877" i="5" s="1"/>
  <c r="W880" i="5"/>
  <c r="V880" i="5"/>
  <c r="Q880" i="5"/>
  <c r="P880" i="5"/>
  <c r="O880" i="5"/>
  <c r="N880" i="5"/>
  <c r="L880" i="5"/>
  <c r="K880" i="5"/>
  <c r="J880" i="5"/>
  <c r="I880" i="5"/>
  <c r="H880" i="5"/>
  <c r="G880" i="5"/>
  <c r="W879" i="5"/>
  <c r="W878" i="5" s="1"/>
  <c r="V879" i="5"/>
  <c r="Q879" i="5"/>
  <c r="Q878" i="5" s="1"/>
  <c r="V878" i="5"/>
  <c r="W877" i="5"/>
  <c r="V877" i="5"/>
  <c r="Q877" i="5"/>
  <c r="Q721" i="5" s="1"/>
  <c r="O877" i="5"/>
  <c r="N877" i="5"/>
  <c r="M877" i="5"/>
  <c r="L877" i="5"/>
  <c r="K877" i="5"/>
  <c r="I877" i="5"/>
  <c r="H877" i="5"/>
  <c r="G877" i="5"/>
  <c r="G874" i="5"/>
  <c r="G872" i="5" s="1"/>
  <c r="W872" i="5"/>
  <c r="V872" i="5"/>
  <c r="Q872" i="5"/>
  <c r="L872" i="5"/>
  <c r="K872" i="5"/>
  <c r="J872" i="5"/>
  <c r="I872" i="5"/>
  <c r="H872" i="5"/>
  <c r="W871" i="5"/>
  <c r="V871" i="5"/>
  <c r="Q871" i="5"/>
  <c r="L871" i="5"/>
  <c r="K871" i="5"/>
  <c r="J871" i="5"/>
  <c r="I871" i="5"/>
  <c r="H871" i="5"/>
  <c r="G871" i="5"/>
  <c r="V868" i="5"/>
  <c r="Q868" i="5"/>
  <c r="P868" i="5"/>
  <c r="O868" i="5"/>
  <c r="N868" i="5"/>
  <c r="M868" i="5"/>
  <c r="L868" i="5"/>
  <c r="K868" i="5"/>
  <c r="J868" i="5"/>
  <c r="I868" i="5"/>
  <c r="H868" i="5"/>
  <c r="G868" i="5"/>
  <c r="V867" i="5"/>
  <c r="Q867" i="5"/>
  <c r="P867" i="5"/>
  <c r="O867" i="5"/>
  <c r="N867" i="5"/>
  <c r="M867" i="5"/>
  <c r="L867" i="5"/>
  <c r="K867" i="5"/>
  <c r="J867" i="5"/>
  <c r="I867" i="5"/>
  <c r="H867" i="5"/>
  <c r="G867" i="5"/>
  <c r="W864" i="5"/>
  <c r="V864" i="5"/>
  <c r="Q864" i="5"/>
  <c r="P864" i="5"/>
  <c r="O864" i="5"/>
  <c r="N864" i="5"/>
  <c r="M864" i="5"/>
  <c r="L864" i="5"/>
  <c r="K864" i="5"/>
  <c r="J864" i="5"/>
  <c r="I864" i="5"/>
  <c r="H864" i="5"/>
  <c r="G864" i="5"/>
  <c r="W863" i="5"/>
  <c r="V863" i="5"/>
  <c r="Q863" i="5"/>
  <c r="P863" i="5"/>
  <c r="O863" i="5"/>
  <c r="N863" i="5"/>
  <c r="M863" i="5"/>
  <c r="L863" i="5"/>
  <c r="K863" i="5"/>
  <c r="J863" i="5"/>
  <c r="I863" i="5"/>
  <c r="H863" i="5"/>
  <c r="G863" i="5"/>
  <c r="W860" i="5"/>
  <c r="V860" i="5"/>
  <c r="W848" i="5"/>
  <c r="V848" i="5"/>
  <c r="L846" i="5"/>
  <c r="W844" i="5"/>
  <c r="V844" i="5"/>
  <c r="Q844" i="5"/>
  <c r="P842" i="5"/>
  <c r="L842" i="5" s="1"/>
  <c r="Q840" i="5"/>
  <c r="O834" i="5"/>
  <c r="W832" i="5"/>
  <c r="V832" i="5"/>
  <c r="Q832" i="5"/>
  <c r="L830" i="5"/>
  <c r="Q828" i="5"/>
  <c r="W828" i="5"/>
  <c r="V828" i="5"/>
  <c r="W826" i="5"/>
  <c r="Q826" i="5"/>
  <c r="O826" i="5"/>
  <c r="N826" i="5"/>
  <c r="M826" i="5"/>
  <c r="K826" i="5"/>
  <c r="J826" i="5"/>
  <c r="I826" i="5"/>
  <c r="H826" i="5"/>
  <c r="G826" i="5"/>
  <c r="W824" i="5"/>
  <c r="Q825" i="5"/>
  <c r="Q823" i="5"/>
  <c r="P823" i="5"/>
  <c r="O823" i="5"/>
  <c r="N823" i="5"/>
  <c r="M823" i="5"/>
  <c r="L823" i="5"/>
  <c r="K823" i="5"/>
  <c r="J823" i="5"/>
  <c r="I823" i="5"/>
  <c r="H823" i="5"/>
  <c r="G823" i="5"/>
  <c r="W818" i="5"/>
  <c r="V818" i="5"/>
  <c r="Q818" i="5"/>
  <c r="W817" i="5"/>
  <c r="V817" i="5"/>
  <c r="Q817" i="5"/>
  <c r="L817" i="5"/>
  <c r="K817" i="5"/>
  <c r="J817" i="5"/>
  <c r="I817" i="5"/>
  <c r="H817" i="5"/>
  <c r="G817" i="5"/>
  <c r="W814" i="5"/>
  <c r="V814" i="5"/>
  <c r="Q814" i="5"/>
  <c r="W813" i="5"/>
  <c r="V813" i="5"/>
  <c r="Q813" i="5"/>
  <c r="L813" i="5"/>
  <c r="K813" i="5"/>
  <c r="J813" i="5"/>
  <c r="I813" i="5"/>
  <c r="H813" i="5"/>
  <c r="G813" i="5"/>
  <c r="K810" i="5"/>
  <c r="G810" i="5" s="1"/>
  <c r="G808" i="5" s="1"/>
  <c r="W808" i="5"/>
  <c r="V808" i="5"/>
  <c r="Q808" i="5"/>
  <c r="L808" i="5"/>
  <c r="J808" i="5"/>
  <c r="I808" i="5"/>
  <c r="H808" i="5"/>
  <c r="W807" i="5"/>
  <c r="V807" i="5"/>
  <c r="Q807" i="5"/>
  <c r="L807" i="5"/>
  <c r="K807" i="5"/>
  <c r="J807" i="5"/>
  <c r="I807" i="5"/>
  <c r="H807" i="5"/>
  <c r="G807" i="5"/>
  <c r="Q805" i="5"/>
  <c r="L805" i="5"/>
  <c r="K805" i="5"/>
  <c r="J805" i="5"/>
  <c r="I805" i="5"/>
  <c r="H805" i="5"/>
  <c r="G805" i="5"/>
  <c r="G804" i="5"/>
  <c r="G803" i="5"/>
  <c r="W802" i="5"/>
  <c r="V802" i="5"/>
  <c r="Q802" i="5"/>
  <c r="L802" i="5"/>
  <c r="K802" i="5"/>
  <c r="J802" i="5"/>
  <c r="I802" i="5"/>
  <c r="H802" i="5"/>
  <c r="G802" i="5"/>
  <c r="W801" i="5"/>
  <c r="V801" i="5"/>
  <c r="Q801" i="5"/>
  <c r="L801" i="5"/>
  <c r="K801" i="5"/>
  <c r="J801" i="5"/>
  <c r="I801" i="5"/>
  <c r="H801" i="5"/>
  <c r="G801" i="5"/>
  <c r="J799" i="5"/>
  <c r="K799" i="5" s="1"/>
  <c r="P798" i="5"/>
  <c r="P796" i="5" s="1"/>
  <c r="K797" i="5"/>
  <c r="W796" i="5"/>
  <c r="V796" i="5"/>
  <c r="Q796" i="5"/>
  <c r="O796" i="5"/>
  <c r="N796" i="5"/>
  <c r="M796" i="5"/>
  <c r="L796" i="5"/>
  <c r="K796" i="5"/>
  <c r="J796" i="5"/>
  <c r="I796" i="5"/>
  <c r="H796" i="5"/>
  <c r="G796" i="5"/>
  <c r="W795" i="5"/>
  <c r="V795" i="5"/>
  <c r="Q795" i="5"/>
  <c r="P795" i="5"/>
  <c r="O795" i="5"/>
  <c r="N795" i="5"/>
  <c r="M795" i="5"/>
  <c r="L795" i="5"/>
  <c r="J795" i="5"/>
  <c r="I795" i="5"/>
  <c r="H795" i="5"/>
  <c r="G795" i="5"/>
  <c r="Q792" i="5"/>
  <c r="Q790" i="5" s="1"/>
  <c r="P792" i="5"/>
  <c r="J792" i="5"/>
  <c r="G792" i="5" s="1"/>
  <c r="G790" i="5" s="1"/>
  <c r="W790" i="5"/>
  <c r="V790" i="5"/>
  <c r="P790" i="5"/>
  <c r="O790" i="5"/>
  <c r="N790" i="5"/>
  <c r="M790" i="5"/>
  <c r="L790" i="5"/>
  <c r="K790" i="5"/>
  <c r="I790" i="5"/>
  <c r="H790" i="5"/>
  <c r="W789" i="5"/>
  <c r="V789" i="5"/>
  <c r="Q789" i="5"/>
  <c r="P789" i="5"/>
  <c r="O789" i="5"/>
  <c r="N789" i="5"/>
  <c r="M789" i="5"/>
  <c r="L789" i="5"/>
  <c r="K789" i="5"/>
  <c r="J789" i="5"/>
  <c r="I789" i="5"/>
  <c r="H789" i="5"/>
  <c r="G789" i="5"/>
  <c r="W786" i="5"/>
  <c r="W164" i="6" s="1"/>
  <c r="V786" i="5"/>
  <c r="Q786" i="5"/>
  <c r="L786" i="5"/>
  <c r="K786" i="5"/>
  <c r="J786" i="5"/>
  <c r="I786" i="5"/>
  <c r="H786" i="5"/>
  <c r="G786" i="5"/>
  <c r="W785" i="5"/>
  <c r="V785" i="5"/>
  <c r="Q785" i="5"/>
  <c r="L785" i="5"/>
  <c r="K785" i="5"/>
  <c r="J785" i="5"/>
  <c r="I785" i="5"/>
  <c r="H785" i="5"/>
  <c r="G785" i="5"/>
  <c r="V782" i="5"/>
  <c r="Q782" i="5"/>
  <c r="V780" i="5"/>
  <c r="V163" i="6" s="1"/>
  <c r="Q780" i="5"/>
  <c r="V779" i="5"/>
  <c r="Q779" i="5"/>
  <c r="W778" i="5"/>
  <c r="Q778" i="5"/>
  <c r="L778" i="5"/>
  <c r="K778" i="5"/>
  <c r="J778" i="5"/>
  <c r="I778" i="5"/>
  <c r="H778" i="5"/>
  <c r="G778" i="5"/>
  <c r="W777" i="5"/>
  <c r="V777" i="5"/>
  <c r="Q777" i="5"/>
  <c r="L777" i="5"/>
  <c r="K777" i="5"/>
  <c r="J777" i="5"/>
  <c r="I777" i="5"/>
  <c r="H777" i="5"/>
  <c r="G777" i="5"/>
  <c r="Q774" i="5"/>
  <c r="Q772" i="5" s="1"/>
  <c r="P774" i="5"/>
  <c r="G774" i="5"/>
  <c r="G772" i="5" s="1"/>
  <c r="W772" i="5"/>
  <c r="V772" i="5"/>
  <c r="P772" i="5"/>
  <c r="O772" i="5"/>
  <c r="N772" i="5"/>
  <c r="M772" i="5"/>
  <c r="L772" i="5"/>
  <c r="K772" i="5"/>
  <c r="J772" i="5"/>
  <c r="I772" i="5"/>
  <c r="H772" i="5"/>
  <c r="W771" i="5"/>
  <c r="V771" i="5"/>
  <c r="Q771" i="5"/>
  <c r="P771" i="5"/>
  <c r="O771" i="5"/>
  <c r="N771" i="5"/>
  <c r="M771" i="5"/>
  <c r="L771" i="5"/>
  <c r="K771" i="5"/>
  <c r="J771" i="5"/>
  <c r="I771" i="5"/>
  <c r="H771" i="5"/>
  <c r="G771" i="5"/>
  <c r="W768" i="5"/>
  <c r="V768" i="5"/>
  <c r="Q768" i="5"/>
  <c r="P768" i="5"/>
  <c r="O768" i="5"/>
  <c r="N768" i="5"/>
  <c r="M768" i="5"/>
  <c r="L768" i="5"/>
  <c r="K768" i="5"/>
  <c r="J768" i="5"/>
  <c r="I768" i="5"/>
  <c r="H768" i="5"/>
  <c r="G768" i="5"/>
  <c r="W767" i="5"/>
  <c r="V767" i="5"/>
  <c r="Q767" i="5"/>
  <c r="P767" i="5"/>
  <c r="O767" i="5"/>
  <c r="N767" i="5"/>
  <c r="M767" i="5"/>
  <c r="L767" i="5"/>
  <c r="K767" i="5"/>
  <c r="J767" i="5"/>
  <c r="I767" i="5"/>
  <c r="H767" i="5"/>
  <c r="G767" i="5"/>
  <c r="V766" i="5"/>
  <c r="V756" i="5" s="1"/>
  <c r="G764" i="5"/>
  <c r="G763" i="5"/>
  <c r="L762" i="5"/>
  <c r="L756" i="5" s="1"/>
  <c r="G762" i="5"/>
  <c r="G761" i="5"/>
  <c r="G760" i="5"/>
  <c r="G759" i="5"/>
  <c r="G758" i="5"/>
  <c r="G757" i="5"/>
  <c r="W756" i="5"/>
  <c r="Q756" i="5"/>
  <c r="P756" i="5"/>
  <c r="O756" i="5"/>
  <c r="N756" i="5"/>
  <c r="M756" i="5"/>
  <c r="K756" i="5"/>
  <c r="J756" i="5"/>
  <c r="I756" i="5"/>
  <c r="H756" i="5"/>
  <c r="W755" i="5"/>
  <c r="V755" i="5"/>
  <c r="Q755" i="5"/>
  <c r="M755" i="5"/>
  <c r="L755" i="5"/>
  <c r="K755" i="5"/>
  <c r="J755" i="5"/>
  <c r="I755" i="5"/>
  <c r="H755" i="5"/>
  <c r="W752" i="5"/>
  <c r="V752" i="5"/>
  <c r="Q752" i="5"/>
  <c r="L752" i="5"/>
  <c r="K752" i="5"/>
  <c r="J752" i="5"/>
  <c r="I752" i="5"/>
  <c r="H752" i="5"/>
  <c r="G752" i="5"/>
  <c r="W751" i="5"/>
  <c r="V751" i="5"/>
  <c r="Q751" i="5"/>
  <c r="L751" i="5"/>
  <c r="K751" i="5"/>
  <c r="J751" i="5"/>
  <c r="I751" i="5"/>
  <c r="H751" i="5"/>
  <c r="G751" i="5"/>
  <c r="I750" i="5"/>
  <c r="I746" i="5" s="1"/>
  <c r="K749" i="5"/>
  <c r="K745" i="5" s="1"/>
  <c r="V746" i="5"/>
  <c r="Q746" i="5"/>
  <c r="P746" i="5"/>
  <c r="O746" i="5"/>
  <c r="N746" i="5"/>
  <c r="M746" i="5"/>
  <c r="L746" i="5"/>
  <c r="K746" i="5"/>
  <c r="J746" i="5"/>
  <c r="H746" i="5"/>
  <c r="G746" i="5"/>
  <c r="V745" i="5"/>
  <c r="Q745" i="5"/>
  <c r="O745" i="5"/>
  <c r="N745" i="5"/>
  <c r="M745" i="5"/>
  <c r="L745" i="5"/>
  <c r="J745" i="5"/>
  <c r="I745" i="5"/>
  <c r="H745" i="5"/>
  <c r="G745" i="5"/>
  <c r="W742" i="5"/>
  <c r="V742" i="5"/>
  <c r="Q742" i="5"/>
  <c r="W741" i="5"/>
  <c r="V741" i="5"/>
  <c r="Q741" i="5"/>
  <c r="Q739" i="5"/>
  <c r="L739" i="5"/>
  <c r="K739" i="5"/>
  <c r="J739" i="5"/>
  <c r="I739" i="5"/>
  <c r="H739" i="5"/>
  <c r="G739" i="5"/>
  <c r="G737" i="5"/>
  <c r="G735" i="5"/>
  <c r="W734" i="5"/>
  <c r="V734" i="5"/>
  <c r="Q734" i="5"/>
  <c r="P734" i="5"/>
  <c r="O734" i="5"/>
  <c r="N734" i="5"/>
  <c r="N725" i="5" s="1"/>
  <c r="N723" i="5" s="1"/>
  <c r="M734" i="5"/>
  <c r="L734" i="5"/>
  <c r="K734" i="5"/>
  <c r="J734" i="5"/>
  <c r="I734" i="5"/>
  <c r="H734" i="5"/>
  <c r="G734" i="5"/>
  <c r="W733" i="5"/>
  <c r="V733" i="5"/>
  <c r="Q733" i="5"/>
  <c r="P733" i="5"/>
  <c r="O733" i="5"/>
  <c r="N733" i="5"/>
  <c r="M733" i="5"/>
  <c r="L733" i="5"/>
  <c r="K733" i="5"/>
  <c r="J733" i="5"/>
  <c r="I733" i="5"/>
  <c r="H733" i="5"/>
  <c r="G733" i="5"/>
  <c r="O732" i="5"/>
  <c r="O730" i="5" s="1"/>
  <c r="L732" i="5"/>
  <c r="L730" i="5" s="1"/>
  <c r="W730" i="5"/>
  <c r="V730" i="5"/>
  <c r="Q730" i="5"/>
  <c r="P730" i="5"/>
  <c r="N730" i="5"/>
  <c r="M730" i="5"/>
  <c r="K730" i="5"/>
  <c r="J730" i="5"/>
  <c r="I730" i="5"/>
  <c r="H730" i="5"/>
  <c r="G730" i="5"/>
  <c r="W729" i="5"/>
  <c r="V729" i="5"/>
  <c r="Q729" i="5"/>
  <c r="P729" i="5"/>
  <c r="O729" i="5"/>
  <c r="N729" i="5"/>
  <c r="M729" i="5"/>
  <c r="L729" i="5"/>
  <c r="L721" i="5" s="1"/>
  <c r="K729" i="5"/>
  <c r="J729" i="5"/>
  <c r="I729" i="5"/>
  <c r="H729" i="5"/>
  <c r="G729" i="5"/>
  <c r="W726" i="5"/>
  <c r="V726" i="5"/>
  <c r="Q726" i="5"/>
  <c r="H719" i="5"/>
  <c r="G719" i="5" s="1"/>
  <c r="P718" i="5"/>
  <c r="L718" i="5" s="1"/>
  <c r="J718" i="5"/>
  <c r="G718" i="5" s="1"/>
  <c r="L717" i="5"/>
  <c r="L715" i="5"/>
  <c r="W713" i="5"/>
  <c r="V713" i="5"/>
  <c r="Q713" i="5"/>
  <c r="P713" i="5"/>
  <c r="O713" i="5"/>
  <c r="N713" i="5"/>
  <c r="M713" i="5"/>
  <c r="K713" i="5"/>
  <c r="J713" i="5"/>
  <c r="I713" i="5"/>
  <c r="H713" i="5"/>
  <c r="G713" i="5"/>
  <c r="W712" i="5"/>
  <c r="V712" i="5"/>
  <c r="Q712" i="5"/>
  <c r="P712" i="5"/>
  <c r="O712" i="5"/>
  <c r="N712" i="5"/>
  <c r="M712" i="5"/>
  <c r="L712" i="5"/>
  <c r="K712" i="5"/>
  <c r="J712" i="5"/>
  <c r="I712" i="5"/>
  <c r="H712" i="5"/>
  <c r="G712" i="5"/>
  <c r="W707" i="5"/>
  <c r="V707" i="5"/>
  <c r="Q707" i="5"/>
  <c r="P707" i="5"/>
  <c r="O707" i="5"/>
  <c r="N707" i="5"/>
  <c r="M707" i="5"/>
  <c r="L707" i="5"/>
  <c r="K707" i="5"/>
  <c r="J707" i="5"/>
  <c r="I707" i="5"/>
  <c r="H707" i="5"/>
  <c r="G707" i="5"/>
  <c r="W706" i="5"/>
  <c r="V706" i="5"/>
  <c r="Q706" i="5"/>
  <c r="P706" i="5"/>
  <c r="O706" i="5"/>
  <c r="N706" i="5"/>
  <c r="M706" i="5"/>
  <c r="L706" i="5"/>
  <c r="K706" i="5"/>
  <c r="J706" i="5"/>
  <c r="I706" i="5"/>
  <c r="H706" i="5"/>
  <c r="G706" i="5"/>
  <c r="G705" i="5"/>
  <c r="G697" i="5" s="1"/>
  <c r="I704" i="5"/>
  <c r="L699" i="5"/>
  <c r="W697" i="5"/>
  <c r="V697" i="5"/>
  <c r="Q697" i="5"/>
  <c r="P697" i="5"/>
  <c r="O697" i="5"/>
  <c r="N697" i="5"/>
  <c r="M697" i="5"/>
  <c r="L697" i="5"/>
  <c r="K697" i="5"/>
  <c r="J697" i="5"/>
  <c r="I697" i="5"/>
  <c r="H697" i="5"/>
  <c r="W696" i="5"/>
  <c r="V696" i="5"/>
  <c r="Q696" i="5"/>
  <c r="L696" i="5"/>
  <c r="K696" i="5"/>
  <c r="J696" i="5"/>
  <c r="I696" i="5"/>
  <c r="H696" i="5"/>
  <c r="G696" i="5"/>
  <c r="J693" i="5"/>
  <c r="G693" i="5" s="1"/>
  <c r="G689" i="5" s="1"/>
  <c r="G692" i="5"/>
  <c r="L691" i="5"/>
  <c r="L689" i="5" s="1"/>
  <c r="V689" i="5"/>
  <c r="Q689" i="5"/>
  <c r="P689" i="5"/>
  <c r="O689" i="5"/>
  <c r="N689" i="5"/>
  <c r="M689" i="5"/>
  <c r="K689" i="5"/>
  <c r="I689" i="5"/>
  <c r="H689" i="5"/>
  <c r="V688" i="5"/>
  <c r="Q688" i="5"/>
  <c r="L688" i="5"/>
  <c r="K688" i="5"/>
  <c r="J688" i="5"/>
  <c r="I688" i="5"/>
  <c r="H688" i="5"/>
  <c r="G688" i="5"/>
  <c r="O687" i="5"/>
  <c r="L687" i="5" s="1"/>
  <c r="L681" i="5" s="1"/>
  <c r="J683" i="5"/>
  <c r="G683" i="5" s="1"/>
  <c r="G681" i="5" s="1"/>
  <c r="G682" i="5"/>
  <c r="G680" i="5" s="1"/>
  <c r="V681" i="5"/>
  <c r="Q681" i="5"/>
  <c r="P681" i="5"/>
  <c r="O681" i="5"/>
  <c r="N681" i="5"/>
  <c r="M681" i="5"/>
  <c r="K681" i="5"/>
  <c r="I681" i="5"/>
  <c r="H681" i="5"/>
  <c r="V680" i="5"/>
  <c r="Q680" i="5"/>
  <c r="P680" i="5"/>
  <c r="O680" i="5"/>
  <c r="N680" i="5"/>
  <c r="M680" i="5"/>
  <c r="L680" i="5"/>
  <c r="K680" i="5"/>
  <c r="J680" i="5"/>
  <c r="I680" i="5"/>
  <c r="H680" i="5"/>
  <c r="G678" i="5"/>
  <c r="V677" i="5"/>
  <c r="V675" i="5" s="1"/>
  <c r="M677" i="5"/>
  <c r="L677" i="5" s="1"/>
  <c r="L675" i="5" s="1"/>
  <c r="G676" i="5"/>
  <c r="W675" i="5"/>
  <c r="Q675" i="5"/>
  <c r="P675" i="5"/>
  <c r="O675" i="5"/>
  <c r="N675" i="5"/>
  <c r="K675" i="5"/>
  <c r="J675" i="5"/>
  <c r="I675" i="5"/>
  <c r="H675" i="5"/>
  <c r="G675" i="5"/>
  <c r="W674" i="5"/>
  <c r="V674" i="5"/>
  <c r="Q674" i="5"/>
  <c r="P674" i="5"/>
  <c r="O674" i="5"/>
  <c r="N674" i="5"/>
  <c r="M674" i="5"/>
  <c r="L674" i="5"/>
  <c r="K674" i="5"/>
  <c r="J674" i="5"/>
  <c r="I674" i="5"/>
  <c r="H674" i="5"/>
  <c r="O673" i="5"/>
  <c r="L673" i="5" s="1"/>
  <c r="L671" i="5"/>
  <c r="V669" i="5"/>
  <c r="L667" i="5"/>
  <c r="V665" i="5"/>
  <c r="Q665" i="5"/>
  <c r="P665" i="5"/>
  <c r="N665" i="5"/>
  <c r="M665" i="5"/>
  <c r="K665" i="5"/>
  <c r="J665" i="5"/>
  <c r="I665" i="5"/>
  <c r="H665" i="5"/>
  <c r="G665" i="5"/>
  <c r="V664" i="5"/>
  <c r="W662" i="5"/>
  <c r="V662" i="5"/>
  <c r="Q662" i="5"/>
  <c r="P662" i="5"/>
  <c r="O662" i="5"/>
  <c r="N662" i="5"/>
  <c r="M662" i="5"/>
  <c r="L662" i="5"/>
  <c r="K662" i="5"/>
  <c r="J662" i="5"/>
  <c r="I662" i="5"/>
  <c r="H662" i="5"/>
  <c r="G662" i="5"/>
  <c r="G661" i="5"/>
  <c r="G655" i="5" s="1"/>
  <c r="G660" i="5"/>
  <c r="G654" i="5" s="1"/>
  <c r="V655" i="5"/>
  <c r="Q655" i="5"/>
  <c r="P655" i="5"/>
  <c r="O655" i="5"/>
  <c r="N655" i="5"/>
  <c r="M655" i="5"/>
  <c r="L655" i="5"/>
  <c r="K655" i="5"/>
  <c r="J655" i="5"/>
  <c r="I655" i="5"/>
  <c r="H655" i="5"/>
  <c r="V654" i="5"/>
  <c r="Q654" i="5"/>
  <c r="L654" i="5"/>
  <c r="K654" i="5"/>
  <c r="J654" i="5"/>
  <c r="I654" i="5"/>
  <c r="H654" i="5"/>
  <c r="P651" i="5"/>
  <c r="L651" i="5" s="1"/>
  <c r="J649" i="5"/>
  <c r="G649" i="5" s="1"/>
  <c r="G645" i="5" s="1"/>
  <c r="G648" i="5"/>
  <c r="V647" i="5"/>
  <c r="L647" i="5"/>
  <c r="W645" i="5"/>
  <c r="V131" i="6"/>
  <c r="Q645" i="5"/>
  <c r="P645" i="5"/>
  <c r="O645" i="5"/>
  <c r="N645" i="5"/>
  <c r="M645" i="5"/>
  <c r="K645" i="5"/>
  <c r="J645" i="5"/>
  <c r="I645" i="5"/>
  <c r="H645" i="5"/>
  <c r="W644" i="5"/>
  <c r="V644" i="5"/>
  <c r="Q644" i="5"/>
  <c r="P644" i="5"/>
  <c r="O644" i="5"/>
  <c r="N644" i="5"/>
  <c r="M644" i="5"/>
  <c r="L644" i="5"/>
  <c r="K644" i="5"/>
  <c r="J644" i="5"/>
  <c r="I644" i="5"/>
  <c r="H644" i="5"/>
  <c r="G644" i="5"/>
  <c r="G642" i="5"/>
  <c r="G630" i="5" s="1"/>
  <c r="G638" i="5"/>
  <c r="O637" i="5"/>
  <c r="L637" i="5" s="1"/>
  <c r="L631" i="5" s="1"/>
  <c r="G633" i="5"/>
  <c r="W631" i="5"/>
  <c r="V631" i="5"/>
  <c r="Q631" i="5"/>
  <c r="P631" i="5"/>
  <c r="N631" i="5"/>
  <c r="M631" i="5"/>
  <c r="K631" i="5"/>
  <c r="J631" i="5"/>
  <c r="I631" i="5"/>
  <c r="H631" i="5"/>
  <c r="G631" i="5"/>
  <c r="W630" i="5"/>
  <c r="V630" i="5"/>
  <c r="Q630" i="5"/>
  <c r="P630" i="5"/>
  <c r="O630" i="5"/>
  <c r="N630" i="5"/>
  <c r="M630" i="5"/>
  <c r="L630" i="5"/>
  <c r="K630" i="5"/>
  <c r="J630" i="5"/>
  <c r="I630" i="5"/>
  <c r="H630" i="5"/>
  <c r="J627" i="5"/>
  <c r="G627" i="5" s="1"/>
  <c r="G625" i="5" s="1"/>
  <c r="G626" i="5"/>
  <c r="W625" i="5"/>
  <c r="V625" i="5"/>
  <c r="Q625" i="5"/>
  <c r="L625" i="5"/>
  <c r="K625" i="5"/>
  <c r="I625" i="5"/>
  <c r="H625" i="5"/>
  <c r="W624" i="5"/>
  <c r="V624" i="5"/>
  <c r="Q624" i="5"/>
  <c r="L624" i="5"/>
  <c r="K624" i="5"/>
  <c r="J624" i="5"/>
  <c r="I624" i="5"/>
  <c r="H624" i="5"/>
  <c r="G624" i="5"/>
  <c r="Q619" i="5"/>
  <c r="W609" i="5"/>
  <c r="W443" i="5" s="1"/>
  <c r="V609" i="5"/>
  <c r="V443" i="5" s="1"/>
  <c r="Q609" i="5"/>
  <c r="Q443" i="5" s="1"/>
  <c r="L609" i="5"/>
  <c r="K609" i="5"/>
  <c r="J609" i="5"/>
  <c r="I609" i="5"/>
  <c r="H609" i="5"/>
  <c r="G609" i="5"/>
  <c r="Q608" i="5"/>
  <c r="V607" i="5"/>
  <c r="W606" i="5"/>
  <c r="V606" i="5"/>
  <c r="Q606" i="5"/>
  <c r="L606" i="5"/>
  <c r="K606" i="5"/>
  <c r="J606" i="5"/>
  <c r="I606" i="5"/>
  <c r="H606" i="5"/>
  <c r="G606" i="5"/>
  <c r="V603" i="5"/>
  <c r="V601" i="5" s="1"/>
  <c r="L603" i="5"/>
  <c r="L601" i="5" s="1"/>
  <c r="W601" i="5"/>
  <c r="Q601" i="5"/>
  <c r="P601" i="5"/>
  <c r="O601" i="5"/>
  <c r="N601" i="5"/>
  <c r="M601" i="5"/>
  <c r="K601" i="5"/>
  <c r="J601" i="5"/>
  <c r="I601" i="5"/>
  <c r="H601" i="5"/>
  <c r="G601" i="5"/>
  <c r="W600" i="5"/>
  <c r="V600" i="5"/>
  <c r="Q600" i="5"/>
  <c r="P600" i="5"/>
  <c r="P438" i="5" s="1"/>
  <c r="O600" i="5"/>
  <c r="O438" i="5" s="1"/>
  <c r="N600" i="5"/>
  <c r="M600" i="5"/>
  <c r="L600" i="5"/>
  <c r="K600" i="5"/>
  <c r="J600" i="5"/>
  <c r="I600" i="5"/>
  <c r="H600" i="5"/>
  <c r="G600" i="5"/>
  <c r="G599" i="5"/>
  <c r="G598" i="5"/>
  <c r="V597" i="5"/>
  <c r="Q597" i="5"/>
  <c r="L597" i="5"/>
  <c r="K597" i="5"/>
  <c r="J597" i="5"/>
  <c r="I597" i="5"/>
  <c r="H597" i="5"/>
  <c r="G595" i="5"/>
  <c r="G594" i="5"/>
  <c r="J593" i="5"/>
  <c r="G593" i="5" s="1"/>
  <c r="G592" i="5"/>
  <c r="V589" i="5"/>
  <c r="Q589" i="5"/>
  <c r="L589" i="5"/>
  <c r="K589" i="5"/>
  <c r="J589" i="5"/>
  <c r="I589" i="5"/>
  <c r="H589" i="5"/>
  <c r="G589" i="5"/>
  <c r="W588" i="5"/>
  <c r="V588" i="5"/>
  <c r="V587" i="5" s="1"/>
  <c r="Q588" i="5"/>
  <c r="L588" i="5"/>
  <c r="K588" i="5"/>
  <c r="J588" i="5"/>
  <c r="J587" i="5" s="1"/>
  <c r="I588" i="5"/>
  <c r="H588" i="5"/>
  <c r="W587" i="5"/>
  <c r="W586" i="5"/>
  <c r="V586" i="5"/>
  <c r="Q586" i="5"/>
  <c r="L586" i="5"/>
  <c r="K586" i="5"/>
  <c r="J586" i="5"/>
  <c r="I586" i="5"/>
  <c r="H586" i="5"/>
  <c r="M585" i="5"/>
  <c r="M579" i="5" s="1"/>
  <c r="G581" i="5"/>
  <c r="G579" i="5" s="1"/>
  <c r="V579" i="5"/>
  <c r="Q579" i="5"/>
  <c r="P579" i="5"/>
  <c r="O579" i="5"/>
  <c r="N579" i="5"/>
  <c r="L579" i="5"/>
  <c r="K579" i="5"/>
  <c r="J579" i="5"/>
  <c r="I579" i="5"/>
  <c r="H579" i="5"/>
  <c r="V578" i="5"/>
  <c r="Q578" i="5"/>
  <c r="L578" i="5"/>
  <c r="K578" i="5"/>
  <c r="J578" i="5"/>
  <c r="I578" i="5"/>
  <c r="H578" i="5"/>
  <c r="G578" i="5"/>
  <c r="L577" i="5"/>
  <c r="L573" i="5" s="1"/>
  <c r="J575" i="5"/>
  <c r="G575" i="5" s="1"/>
  <c r="G573" i="5" s="1"/>
  <c r="G574" i="5"/>
  <c r="G572" i="5" s="1"/>
  <c r="V573" i="5"/>
  <c r="Q573" i="5"/>
  <c r="M573" i="5"/>
  <c r="K573" i="5"/>
  <c r="I573" i="5"/>
  <c r="H573" i="5"/>
  <c r="V572" i="5"/>
  <c r="Q572" i="5"/>
  <c r="L572" i="5"/>
  <c r="K572" i="5"/>
  <c r="J572" i="5"/>
  <c r="I572" i="5"/>
  <c r="H572" i="5"/>
  <c r="L571" i="5"/>
  <c r="L563" i="5" s="1"/>
  <c r="I565" i="5"/>
  <c r="G565" i="5" s="1"/>
  <c r="G563" i="5" s="1"/>
  <c r="W563" i="5"/>
  <c r="V563" i="5"/>
  <c r="Q563" i="5"/>
  <c r="P563" i="5"/>
  <c r="O563" i="5"/>
  <c r="N563" i="5"/>
  <c r="M563" i="5"/>
  <c r="K563" i="5"/>
  <c r="J563" i="5"/>
  <c r="I563" i="5"/>
  <c r="H563" i="5"/>
  <c r="W562" i="5"/>
  <c r="V562" i="5"/>
  <c r="Q562" i="5"/>
  <c r="L562" i="5"/>
  <c r="K562" i="5"/>
  <c r="J562" i="5"/>
  <c r="I562" i="5"/>
  <c r="H562" i="5"/>
  <c r="G562" i="5"/>
  <c r="W557" i="5"/>
  <c r="V557" i="5"/>
  <c r="Q557" i="5"/>
  <c r="P557" i="5"/>
  <c r="O557" i="5"/>
  <c r="N557" i="5"/>
  <c r="M557" i="5"/>
  <c r="L557" i="5"/>
  <c r="K557" i="5"/>
  <c r="J557" i="5"/>
  <c r="I557" i="5"/>
  <c r="H557" i="5"/>
  <c r="G557" i="5"/>
  <c r="W556" i="5"/>
  <c r="V556" i="5"/>
  <c r="Q556" i="5"/>
  <c r="L556" i="5"/>
  <c r="K556" i="5"/>
  <c r="J556" i="5"/>
  <c r="I556" i="5"/>
  <c r="H556" i="5"/>
  <c r="G556" i="5"/>
  <c r="W551" i="5"/>
  <c r="V551" i="5"/>
  <c r="Q551" i="5"/>
  <c r="L551" i="5"/>
  <c r="K551" i="5"/>
  <c r="J551" i="5"/>
  <c r="I551" i="5"/>
  <c r="H551" i="5"/>
  <c r="G551" i="5"/>
  <c r="W550" i="5"/>
  <c r="V550" i="5"/>
  <c r="Q550" i="5"/>
  <c r="L550" i="5"/>
  <c r="K550" i="5"/>
  <c r="J550" i="5"/>
  <c r="I550" i="5"/>
  <c r="H550" i="5"/>
  <c r="G550" i="5"/>
  <c r="W547" i="5"/>
  <c r="V547" i="5"/>
  <c r="Q547" i="5"/>
  <c r="L547" i="5"/>
  <c r="K547" i="5"/>
  <c r="J547" i="5"/>
  <c r="I547" i="5"/>
  <c r="H547" i="5"/>
  <c r="G547" i="5"/>
  <c r="W546" i="5"/>
  <c r="V546" i="5"/>
  <c r="Q546" i="5"/>
  <c r="L546" i="5"/>
  <c r="K546" i="5"/>
  <c r="J546" i="5"/>
  <c r="I546" i="5"/>
  <c r="H546" i="5"/>
  <c r="G546" i="5"/>
  <c r="W533" i="5"/>
  <c r="V533" i="5"/>
  <c r="Q533" i="5"/>
  <c r="L533" i="5"/>
  <c r="K533" i="5"/>
  <c r="J533" i="5"/>
  <c r="I533" i="5"/>
  <c r="H533" i="5"/>
  <c r="G533" i="5"/>
  <c r="V532" i="5"/>
  <c r="Q532" i="5"/>
  <c r="L532" i="5"/>
  <c r="K532" i="5"/>
  <c r="J532" i="5"/>
  <c r="I532" i="5"/>
  <c r="H532" i="5"/>
  <c r="G532" i="5"/>
  <c r="J529" i="5"/>
  <c r="G529" i="5" s="1"/>
  <c r="G521" i="5" s="1"/>
  <c r="G528" i="5"/>
  <c r="G520" i="5" s="1"/>
  <c r="W521" i="5"/>
  <c r="V521" i="5"/>
  <c r="Q521" i="5"/>
  <c r="L521" i="5"/>
  <c r="K521" i="5"/>
  <c r="I521" i="5"/>
  <c r="H521" i="5"/>
  <c r="W520" i="5"/>
  <c r="V520" i="5"/>
  <c r="Q520" i="5"/>
  <c r="L520" i="5"/>
  <c r="K520" i="5"/>
  <c r="J520" i="5"/>
  <c r="I520" i="5"/>
  <c r="H520" i="5"/>
  <c r="G513" i="5"/>
  <c r="K512" i="5"/>
  <c r="G512" i="5" s="1"/>
  <c r="V511" i="5"/>
  <c r="Q511" i="5"/>
  <c r="L511" i="5"/>
  <c r="J511" i="5"/>
  <c r="I511" i="5"/>
  <c r="H511" i="5"/>
  <c r="G510" i="5"/>
  <c r="V509" i="5"/>
  <c r="Q509" i="5"/>
  <c r="L509" i="5"/>
  <c r="K509" i="5"/>
  <c r="K443" i="5" s="1"/>
  <c r="J509" i="5"/>
  <c r="J443" i="5" s="1"/>
  <c r="I509" i="5"/>
  <c r="I443" i="5" s="1"/>
  <c r="H509" i="5"/>
  <c r="H443" i="5" s="1"/>
  <c r="G509" i="5"/>
  <c r="V508" i="5"/>
  <c r="V507" i="5" s="1"/>
  <c r="Q508" i="5"/>
  <c r="Q507" i="5" s="1"/>
  <c r="L508" i="5"/>
  <c r="L507" i="5" s="1"/>
  <c r="J508" i="5"/>
  <c r="I508" i="5"/>
  <c r="H508" i="5"/>
  <c r="V506" i="5"/>
  <c r="Q506" i="5"/>
  <c r="L506" i="5"/>
  <c r="K506" i="5"/>
  <c r="J506" i="5"/>
  <c r="I506" i="5"/>
  <c r="H506" i="5"/>
  <c r="G506" i="5"/>
  <c r="G504" i="5"/>
  <c r="W497" i="5"/>
  <c r="W114" i="6" s="1"/>
  <c r="V497" i="5"/>
  <c r="Q497" i="5"/>
  <c r="L497" i="5"/>
  <c r="K497" i="5"/>
  <c r="J497" i="5"/>
  <c r="I497" i="5"/>
  <c r="H497" i="5"/>
  <c r="G497" i="5"/>
  <c r="W496" i="5"/>
  <c r="V496" i="5"/>
  <c r="L496" i="5"/>
  <c r="K496" i="5"/>
  <c r="J496" i="5"/>
  <c r="I496" i="5"/>
  <c r="H496" i="5"/>
  <c r="G496" i="5"/>
  <c r="L493" i="5"/>
  <c r="G491" i="5"/>
  <c r="W489" i="5"/>
  <c r="V489" i="5"/>
  <c r="Q489" i="5"/>
  <c r="M489" i="5"/>
  <c r="L489" i="5"/>
  <c r="K489" i="5"/>
  <c r="J489" i="5"/>
  <c r="I489" i="5"/>
  <c r="H489" i="5"/>
  <c r="G489" i="5"/>
  <c r="W488" i="5"/>
  <c r="V488" i="5"/>
  <c r="Q488" i="5"/>
  <c r="L488" i="5"/>
  <c r="K488" i="5"/>
  <c r="J488" i="5"/>
  <c r="I488" i="5"/>
  <c r="H488" i="5"/>
  <c r="G488" i="5"/>
  <c r="V485" i="5"/>
  <c r="X483" i="5"/>
  <c r="W483" i="5"/>
  <c r="V483" i="5"/>
  <c r="Q483" i="5"/>
  <c r="L483" i="5"/>
  <c r="K483" i="5"/>
  <c r="J483" i="5"/>
  <c r="I483" i="5"/>
  <c r="H483" i="5"/>
  <c r="G483" i="5"/>
  <c r="X482" i="5"/>
  <c r="W482" i="5"/>
  <c r="V482" i="5"/>
  <c r="Q482" i="5"/>
  <c r="L482" i="5"/>
  <c r="K482" i="5"/>
  <c r="J482" i="5"/>
  <c r="I482" i="5"/>
  <c r="H482" i="5"/>
  <c r="G482" i="5"/>
  <c r="J479" i="5"/>
  <c r="G479" i="5" s="1"/>
  <c r="G473" i="5" s="1"/>
  <c r="G478" i="5"/>
  <c r="G472" i="5" s="1"/>
  <c r="L475" i="5"/>
  <c r="L473" i="5" s="1"/>
  <c r="V473" i="5"/>
  <c r="Q473" i="5"/>
  <c r="P473" i="5"/>
  <c r="O473" i="5"/>
  <c r="N473" i="5"/>
  <c r="M473" i="5"/>
  <c r="K473" i="5"/>
  <c r="I473" i="5"/>
  <c r="H473" i="5"/>
  <c r="V472" i="5"/>
  <c r="Q472" i="5"/>
  <c r="L472" i="5"/>
  <c r="K472" i="5"/>
  <c r="J472" i="5"/>
  <c r="I472" i="5"/>
  <c r="H472" i="5"/>
  <c r="N469" i="5"/>
  <c r="L469" i="5" s="1"/>
  <c r="G468" i="5"/>
  <c r="G464" i="5" s="1"/>
  <c r="L467" i="5"/>
  <c r="W465" i="5"/>
  <c r="V465" i="5"/>
  <c r="Q465" i="5"/>
  <c r="P465" i="5"/>
  <c r="O465" i="5"/>
  <c r="M465" i="5"/>
  <c r="K465" i="5"/>
  <c r="J465" i="5"/>
  <c r="I465" i="5"/>
  <c r="H465" i="5"/>
  <c r="G465" i="5"/>
  <c r="W464" i="5"/>
  <c r="V464" i="5"/>
  <c r="Q464" i="5"/>
  <c r="N464" i="5"/>
  <c r="N438" i="5" s="1"/>
  <c r="M464" i="5"/>
  <c r="L464" i="5"/>
  <c r="K464" i="5"/>
  <c r="J464" i="5"/>
  <c r="I464" i="5"/>
  <c r="H464" i="5"/>
  <c r="M459" i="5"/>
  <c r="L459" i="5"/>
  <c r="W455" i="5"/>
  <c r="W442" i="5" s="1"/>
  <c r="W440" i="5" s="1"/>
  <c r="V455" i="5"/>
  <c r="Q455" i="5"/>
  <c r="P455" i="5"/>
  <c r="O455" i="5"/>
  <c r="N455" i="5"/>
  <c r="M455" i="5"/>
  <c r="L455" i="5"/>
  <c r="K455" i="5"/>
  <c r="J455" i="5"/>
  <c r="I455" i="5"/>
  <c r="H455" i="5"/>
  <c r="G455" i="5"/>
  <c r="W454" i="5"/>
  <c r="V454" i="5"/>
  <c r="V438" i="5" s="1"/>
  <c r="Q454" i="5"/>
  <c r="M454" i="5"/>
  <c r="M438" i="5" s="1"/>
  <c r="L454" i="5"/>
  <c r="K454" i="5"/>
  <c r="J454" i="5"/>
  <c r="I454" i="5"/>
  <c r="H454" i="5"/>
  <c r="G454" i="5"/>
  <c r="J449" i="5"/>
  <c r="G449" i="5" s="1"/>
  <c r="G447" i="5" s="1"/>
  <c r="G448" i="5"/>
  <c r="G446" i="5" s="1"/>
  <c r="V447" i="5"/>
  <c r="Q447" i="5"/>
  <c r="L447" i="5"/>
  <c r="K447" i="5"/>
  <c r="I447" i="5"/>
  <c r="H447" i="5"/>
  <c r="H442" i="5" s="1"/>
  <c r="V446" i="5"/>
  <c r="Q446" i="5"/>
  <c r="L446" i="5"/>
  <c r="L438" i="5" s="1"/>
  <c r="K446" i="5"/>
  <c r="K438" i="5" s="1"/>
  <c r="G438" i="5" s="1"/>
  <c r="J446" i="5"/>
  <c r="I446" i="5"/>
  <c r="H446" i="5"/>
  <c r="AF443" i="5"/>
  <c r="V431" i="5"/>
  <c r="Q431" i="5"/>
  <c r="Q430" i="5" s="1"/>
  <c r="P431" i="5"/>
  <c r="O431" i="5"/>
  <c r="N431" i="5"/>
  <c r="M431" i="5"/>
  <c r="L431" i="5"/>
  <c r="L428" i="5"/>
  <c r="G428" i="5"/>
  <c r="L427" i="5"/>
  <c r="K427" i="5"/>
  <c r="K426" i="5" s="1"/>
  <c r="I427" i="5"/>
  <c r="I426" i="5" s="1"/>
  <c r="W426" i="5"/>
  <c r="V426" i="5"/>
  <c r="Q426" i="5"/>
  <c r="P426" i="5"/>
  <c r="O426" i="5"/>
  <c r="N426" i="5"/>
  <c r="M426" i="5"/>
  <c r="J426" i="5"/>
  <c r="H426" i="5"/>
  <c r="V423" i="5"/>
  <c r="Q423" i="5"/>
  <c r="L423" i="5"/>
  <c r="K423" i="5"/>
  <c r="J423" i="5"/>
  <c r="I423" i="5"/>
  <c r="H423" i="5"/>
  <c r="G423" i="5"/>
  <c r="V419" i="5"/>
  <c r="Q419" i="5"/>
  <c r="P419" i="5"/>
  <c r="O419" i="5"/>
  <c r="N419" i="5"/>
  <c r="M419" i="5"/>
  <c r="L419" i="5"/>
  <c r="K419" i="5"/>
  <c r="J419" i="5"/>
  <c r="I419" i="5"/>
  <c r="H419" i="5"/>
  <c r="G419" i="5"/>
  <c r="V415" i="5"/>
  <c r="Q415" i="5"/>
  <c r="L415" i="5"/>
  <c r="K415" i="5"/>
  <c r="J415" i="5"/>
  <c r="I415" i="5"/>
  <c r="H415" i="5"/>
  <c r="G415" i="5"/>
  <c r="G413" i="5"/>
  <c r="G412" i="5"/>
  <c r="G408" i="5" s="1"/>
  <c r="V411" i="5"/>
  <c r="Q411" i="5"/>
  <c r="L411" i="5"/>
  <c r="K411" i="5"/>
  <c r="J411" i="5"/>
  <c r="I411" i="5"/>
  <c r="H411" i="5"/>
  <c r="G410" i="5"/>
  <c r="G406" i="5" s="1"/>
  <c r="V409" i="5"/>
  <c r="Q409" i="5"/>
  <c r="L409" i="5"/>
  <c r="K409" i="5"/>
  <c r="J409" i="5"/>
  <c r="I409" i="5"/>
  <c r="H409" i="5"/>
  <c r="V408" i="5"/>
  <c r="Q408" i="5"/>
  <c r="P408" i="5"/>
  <c r="P407" i="5" s="1"/>
  <c r="O408" i="5"/>
  <c r="O407" i="5" s="1"/>
  <c r="N408" i="5"/>
  <c r="N407" i="5" s="1"/>
  <c r="M408" i="5"/>
  <c r="M407" i="5" s="1"/>
  <c r="L408" i="5"/>
  <c r="K408" i="5"/>
  <c r="J408" i="5"/>
  <c r="I408" i="5"/>
  <c r="H408" i="5"/>
  <c r="V406" i="5"/>
  <c r="Q406" i="5"/>
  <c r="L406" i="5"/>
  <c r="K406" i="5"/>
  <c r="J406" i="5"/>
  <c r="I406" i="5"/>
  <c r="H406" i="5"/>
  <c r="W403" i="5"/>
  <c r="V403" i="5"/>
  <c r="Q403" i="5"/>
  <c r="L403" i="5"/>
  <c r="K403" i="5"/>
  <c r="J403" i="5"/>
  <c r="I403" i="5"/>
  <c r="H403" i="5"/>
  <c r="G403" i="5"/>
  <c r="L401" i="5"/>
  <c r="L399" i="5" s="1"/>
  <c r="V399" i="5"/>
  <c r="Q399" i="5"/>
  <c r="P399" i="5"/>
  <c r="O399" i="5"/>
  <c r="N399" i="5"/>
  <c r="M399" i="5"/>
  <c r="K399" i="5"/>
  <c r="J399" i="5"/>
  <c r="I399" i="5"/>
  <c r="H399" i="5"/>
  <c r="G399" i="5"/>
  <c r="K397" i="5"/>
  <c r="G397" i="5" s="1"/>
  <c r="G396" i="5"/>
  <c r="G392" i="5" s="1"/>
  <c r="V395" i="5"/>
  <c r="Q395" i="5"/>
  <c r="L395" i="5"/>
  <c r="J395" i="5"/>
  <c r="I395" i="5"/>
  <c r="H395" i="5"/>
  <c r="G394" i="5"/>
  <c r="G390" i="5" s="1"/>
  <c r="W393" i="5"/>
  <c r="V393" i="5"/>
  <c r="Q393" i="5"/>
  <c r="P393" i="5"/>
  <c r="O393" i="5"/>
  <c r="O391" i="5" s="1"/>
  <c r="N393" i="5"/>
  <c r="N391" i="5" s="1"/>
  <c r="M393" i="5"/>
  <c r="M391" i="5" s="1"/>
  <c r="K393" i="5"/>
  <c r="J393" i="5"/>
  <c r="I393" i="5"/>
  <c r="H393" i="5"/>
  <c r="W392" i="5"/>
  <c r="V392" i="5"/>
  <c r="Q392" i="5"/>
  <c r="L392" i="5"/>
  <c r="K392" i="5"/>
  <c r="K391" i="5" s="1"/>
  <c r="J392" i="5"/>
  <c r="J391" i="5" s="1"/>
  <c r="I392" i="5"/>
  <c r="I391" i="5" s="1"/>
  <c r="H392" i="5"/>
  <c r="H391" i="5" s="1"/>
  <c r="P391" i="5"/>
  <c r="W390" i="5"/>
  <c r="V390" i="5"/>
  <c r="Q390" i="5"/>
  <c r="P390" i="5"/>
  <c r="L390" i="5"/>
  <c r="K390" i="5"/>
  <c r="J390" i="5"/>
  <c r="I390" i="5"/>
  <c r="H390" i="5"/>
  <c r="V387" i="5"/>
  <c r="V383" i="5"/>
  <c r="L383" i="5"/>
  <c r="K383" i="5"/>
  <c r="J383" i="5"/>
  <c r="I383" i="5"/>
  <c r="H383" i="5"/>
  <c r="G383" i="5"/>
  <c r="V381" i="5"/>
  <c r="Q381" i="5"/>
  <c r="Q379" i="5" s="1"/>
  <c r="L381" i="5"/>
  <c r="K381" i="5"/>
  <c r="J381" i="5"/>
  <c r="I381" i="5"/>
  <c r="H381" i="5"/>
  <c r="G381" i="5"/>
  <c r="V380" i="5"/>
  <c r="V379" i="5" s="1"/>
  <c r="L380" i="5"/>
  <c r="K380" i="5"/>
  <c r="J380" i="5"/>
  <c r="I380" i="5"/>
  <c r="H380" i="5"/>
  <c r="G380" i="5"/>
  <c r="V378" i="5"/>
  <c r="Q378" i="5"/>
  <c r="L378" i="5"/>
  <c r="K378" i="5"/>
  <c r="J378" i="5"/>
  <c r="I378" i="5"/>
  <c r="H378" i="5"/>
  <c r="G378" i="5"/>
  <c r="Q375" i="5"/>
  <c r="L375" i="5"/>
  <c r="K375" i="5"/>
  <c r="J375" i="5"/>
  <c r="I375" i="5"/>
  <c r="H375" i="5"/>
  <c r="G375" i="5"/>
  <c r="Q373" i="5"/>
  <c r="L373" i="5"/>
  <c r="K373" i="5"/>
  <c r="J373" i="5"/>
  <c r="I373" i="5"/>
  <c r="H373" i="5"/>
  <c r="G373" i="5"/>
  <c r="Q372" i="5"/>
  <c r="L372" i="5"/>
  <c r="K372" i="5"/>
  <c r="J372" i="5"/>
  <c r="I372" i="5"/>
  <c r="H372" i="5"/>
  <c r="G372" i="5"/>
  <c r="Q370" i="5"/>
  <c r="L370" i="5"/>
  <c r="K370" i="5"/>
  <c r="J370" i="5"/>
  <c r="I370" i="5"/>
  <c r="H370" i="5"/>
  <c r="G370" i="5"/>
  <c r="V367" i="5"/>
  <c r="Q367" i="5"/>
  <c r="L367" i="5"/>
  <c r="K367" i="5"/>
  <c r="J367" i="5"/>
  <c r="I367" i="5"/>
  <c r="H367" i="5"/>
  <c r="G367" i="5"/>
  <c r="V365" i="5"/>
  <c r="Q365" i="5"/>
  <c r="L365" i="5"/>
  <c r="K365" i="5"/>
  <c r="J365" i="5"/>
  <c r="I365" i="5"/>
  <c r="H365" i="5"/>
  <c r="G365" i="5"/>
  <c r="V364" i="5"/>
  <c r="Q364" i="5"/>
  <c r="L364" i="5"/>
  <c r="K364" i="5"/>
  <c r="J364" i="5"/>
  <c r="I364" i="5"/>
  <c r="H364" i="5"/>
  <c r="G364" i="5"/>
  <c r="V363" i="5"/>
  <c r="Q363" i="5"/>
  <c r="L363" i="5"/>
  <c r="K363" i="5"/>
  <c r="J363" i="5"/>
  <c r="I363" i="5"/>
  <c r="H363" i="5"/>
  <c r="G363" i="5"/>
  <c r="V362" i="5"/>
  <c r="Q362" i="5"/>
  <c r="L362" i="5"/>
  <c r="K362" i="5"/>
  <c r="J362" i="5"/>
  <c r="I362" i="5"/>
  <c r="H362" i="5"/>
  <c r="G362" i="5"/>
  <c r="L361" i="5"/>
  <c r="L353" i="5" s="1"/>
  <c r="W359" i="5"/>
  <c r="V359" i="5"/>
  <c r="Q359" i="5"/>
  <c r="P359" i="5"/>
  <c r="O359" i="5"/>
  <c r="N359" i="5"/>
  <c r="M359" i="5"/>
  <c r="L359" i="5"/>
  <c r="K359" i="5"/>
  <c r="J359" i="5"/>
  <c r="I359" i="5"/>
  <c r="H359" i="5"/>
  <c r="G359" i="5"/>
  <c r="V355" i="5"/>
  <c r="Q355" i="5"/>
  <c r="P355" i="5"/>
  <c r="O355" i="5"/>
  <c r="N355" i="5"/>
  <c r="M355" i="5"/>
  <c r="L355" i="5"/>
  <c r="K355" i="5"/>
  <c r="J355" i="5"/>
  <c r="I355" i="5"/>
  <c r="H355" i="5"/>
  <c r="G355" i="5"/>
  <c r="W353" i="5"/>
  <c r="Q353" i="5"/>
  <c r="P353" i="5"/>
  <c r="O353" i="5"/>
  <c r="N353" i="5"/>
  <c r="M353" i="5"/>
  <c r="K353" i="5"/>
  <c r="J353" i="5"/>
  <c r="I353" i="5"/>
  <c r="H353" i="5"/>
  <c r="G353" i="5"/>
  <c r="W352" i="5"/>
  <c r="V352" i="5"/>
  <c r="Q352" i="5"/>
  <c r="P352" i="5"/>
  <c r="O352" i="5"/>
  <c r="N352" i="5"/>
  <c r="M352" i="5"/>
  <c r="L352" i="5"/>
  <c r="K352" i="5"/>
  <c r="J352" i="5"/>
  <c r="I352" i="5"/>
  <c r="H352" i="5"/>
  <c r="G352" i="5"/>
  <c r="W350" i="5"/>
  <c r="V350" i="5"/>
  <c r="Q350" i="5"/>
  <c r="P350" i="5"/>
  <c r="O350" i="5"/>
  <c r="N350" i="5"/>
  <c r="M350" i="5"/>
  <c r="L350" i="5"/>
  <c r="K350" i="5"/>
  <c r="J350" i="5"/>
  <c r="I350" i="5"/>
  <c r="H350" i="5"/>
  <c r="G350" i="5"/>
  <c r="V347" i="5"/>
  <c r="L345" i="5"/>
  <c r="V343" i="5"/>
  <c r="Q343" i="5"/>
  <c r="P343" i="5"/>
  <c r="O343" i="5"/>
  <c r="K343" i="5"/>
  <c r="J343" i="5"/>
  <c r="I343" i="5"/>
  <c r="H343" i="5"/>
  <c r="G343" i="5"/>
  <c r="G341" i="5"/>
  <c r="G337" i="5" s="1"/>
  <c r="G340" i="5"/>
  <c r="G336" i="5" s="1"/>
  <c r="V339" i="5"/>
  <c r="Q339" i="5"/>
  <c r="L339" i="5"/>
  <c r="K339" i="5"/>
  <c r="J339" i="5"/>
  <c r="I339" i="5"/>
  <c r="H339" i="5"/>
  <c r="G338" i="5"/>
  <c r="W337" i="5"/>
  <c r="V337" i="5"/>
  <c r="Q337" i="5"/>
  <c r="P337" i="5"/>
  <c r="O337" i="5"/>
  <c r="N337" i="5"/>
  <c r="M337" i="5"/>
  <c r="K337" i="5"/>
  <c r="J337" i="5"/>
  <c r="I337" i="5"/>
  <c r="H337" i="5"/>
  <c r="W336" i="5"/>
  <c r="V336" i="5"/>
  <c r="Q336" i="5"/>
  <c r="P336" i="5"/>
  <c r="O336" i="5"/>
  <c r="N336" i="5"/>
  <c r="M336" i="5"/>
  <c r="L336" i="5"/>
  <c r="K336" i="5"/>
  <c r="J336" i="5"/>
  <c r="I336" i="5"/>
  <c r="H336" i="5"/>
  <c r="W334" i="5"/>
  <c r="V334" i="5"/>
  <c r="Q334" i="5"/>
  <c r="L334" i="5"/>
  <c r="K334" i="5"/>
  <c r="J334" i="5"/>
  <c r="I334" i="5"/>
  <c r="H334" i="5"/>
  <c r="G334" i="5"/>
  <c r="W331" i="5"/>
  <c r="V331" i="5"/>
  <c r="Q331" i="5"/>
  <c r="L331" i="5"/>
  <c r="K331" i="5"/>
  <c r="J331" i="5"/>
  <c r="I331" i="5"/>
  <c r="H331" i="5"/>
  <c r="G331" i="5"/>
  <c r="W329" i="5"/>
  <c r="W327" i="5" s="1"/>
  <c r="V329" i="5"/>
  <c r="Q329" i="5"/>
  <c r="Q327" i="5" s="1"/>
  <c r="L329" i="5"/>
  <c r="L327" i="5" s="1"/>
  <c r="K329" i="5"/>
  <c r="K327" i="5" s="1"/>
  <c r="J329" i="5"/>
  <c r="J327" i="5" s="1"/>
  <c r="I329" i="5"/>
  <c r="I327" i="5" s="1"/>
  <c r="H329" i="5"/>
  <c r="H327" i="5" s="1"/>
  <c r="G329" i="5"/>
  <c r="G327" i="5" s="1"/>
  <c r="V327" i="5"/>
  <c r="W326" i="5"/>
  <c r="V326" i="5"/>
  <c r="Q326" i="5"/>
  <c r="L326" i="5"/>
  <c r="K326" i="5"/>
  <c r="J326" i="5"/>
  <c r="I326" i="5"/>
  <c r="H326" i="5"/>
  <c r="G326" i="5"/>
  <c r="G325" i="5"/>
  <c r="G317" i="5" s="1"/>
  <c r="G324" i="5"/>
  <c r="G316" i="5" s="1"/>
  <c r="V323" i="5"/>
  <c r="Q323" i="5"/>
  <c r="P323" i="5"/>
  <c r="O323" i="5"/>
  <c r="N323" i="5"/>
  <c r="M323" i="5"/>
  <c r="L323" i="5"/>
  <c r="K323" i="5"/>
  <c r="J323" i="5"/>
  <c r="I323" i="5"/>
  <c r="H323" i="5"/>
  <c r="G323" i="5"/>
  <c r="G322" i="5"/>
  <c r="G314" i="5" s="1"/>
  <c r="V319" i="5"/>
  <c r="L319" i="5"/>
  <c r="G319" i="5"/>
  <c r="V317" i="5"/>
  <c r="V315" i="5" s="1"/>
  <c r="Q317" i="5"/>
  <c r="Q315" i="5" s="1"/>
  <c r="L317" i="5"/>
  <c r="K317" i="5"/>
  <c r="J317" i="5"/>
  <c r="I317" i="5"/>
  <c r="H317" i="5"/>
  <c r="P316" i="5"/>
  <c r="P315" i="5" s="1"/>
  <c r="O316" i="5"/>
  <c r="O315" i="5" s="1"/>
  <c r="N316" i="5"/>
  <c r="M316" i="5"/>
  <c r="M315" i="5" s="1"/>
  <c r="L316" i="5"/>
  <c r="K316" i="5"/>
  <c r="J316" i="5"/>
  <c r="I316" i="5"/>
  <c r="H316" i="5"/>
  <c r="N315" i="5"/>
  <c r="V314" i="5"/>
  <c r="Q314" i="5"/>
  <c r="P314" i="5"/>
  <c r="O314" i="5"/>
  <c r="N314" i="5"/>
  <c r="M314" i="5"/>
  <c r="L314" i="5"/>
  <c r="K314" i="5"/>
  <c r="J314" i="5"/>
  <c r="I314" i="5"/>
  <c r="H314" i="5"/>
  <c r="W311" i="5"/>
  <c r="W307" i="5"/>
  <c r="G304" i="5"/>
  <c r="W303" i="5"/>
  <c r="V303" i="5"/>
  <c r="Q303" i="5"/>
  <c r="L303" i="5"/>
  <c r="K303" i="5"/>
  <c r="J303" i="5"/>
  <c r="I303" i="5"/>
  <c r="H303" i="5"/>
  <c r="G302" i="5"/>
  <c r="L301" i="5"/>
  <c r="L298" i="5" s="1"/>
  <c r="G301" i="5"/>
  <c r="G300" i="5"/>
  <c r="V298" i="5"/>
  <c r="P298" i="5"/>
  <c r="O298" i="5"/>
  <c r="N298" i="5"/>
  <c r="M298" i="5"/>
  <c r="K298" i="5"/>
  <c r="J298" i="5"/>
  <c r="I298" i="5"/>
  <c r="H298" i="5"/>
  <c r="G297" i="5"/>
  <c r="K296" i="5"/>
  <c r="K294" i="5" s="1"/>
  <c r="J296" i="5"/>
  <c r="I296" i="5"/>
  <c r="W295" i="5"/>
  <c r="W255" i="5" s="1"/>
  <c r="J295" i="5"/>
  <c r="I295" i="5"/>
  <c r="V294" i="5"/>
  <c r="Q294" i="5"/>
  <c r="L294" i="5"/>
  <c r="H294" i="5"/>
  <c r="K293" i="5"/>
  <c r="G293" i="5" s="1"/>
  <c r="K292" i="5"/>
  <c r="G292" i="5" s="1"/>
  <c r="L291" i="5"/>
  <c r="L255" i="5" s="1"/>
  <c r="G291" i="5"/>
  <c r="V290" i="5"/>
  <c r="Q290" i="5"/>
  <c r="P290" i="5"/>
  <c r="O290" i="5"/>
  <c r="N290" i="5"/>
  <c r="M290" i="5"/>
  <c r="L290" i="5"/>
  <c r="J290" i="5"/>
  <c r="I290" i="5"/>
  <c r="H290" i="5"/>
  <c r="G289" i="5"/>
  <c r="V286" i="5"/>
  <c r="V281" i="5"/>
  <c r="L281" i="5"/>
  <c r="K281" i="5"/>
  <c r="J281" i="5"/>
  <c r="I281" i="5"/>
  <c r="H281" i="5"/>
  <c r="G281" i="5"/>
  <c r="V277" i="5"/>
  <c r="Q277" i="5"/>
  <c r="P277" i="5"/>
  <c r="O277" i="5"/>
  <c r="N277" i="5"/>
  <c r="M277" i="5"/>
  <c r="L277" i="5"/>
  <c r="K277" i="5"/>
  <c r="J277" i="5"/>
  <c r="I277" i="5"/>
  <c r="H277" i="5"/>
  <c r="G277" i="5"/>
  <c r="G276" i="5"/>
  <c r="V273" i="5"/>
  <c r="Q273" i="5"/>
  <c r="P273" i="5"/>
  <c r="O273" i="5"/>
  <c r="N273" i="5"/>
  <c r="M273" i="5"/>
  <c r="L273" i="5"/>
  <c r="K273" i="5"/>
  <c r="J273" i="5"/>
  <c r="I273" i="5"/>
  <c r="H273" i="5"/>
  <c r="G273" i="5"/>
  <c r="G272" i="5"/>
  <c r="K271" i="5"/>
  <c r="G271" i="5" s="1"/>
  <c r="G270" i="5"/>
  <c r="V269" i="5"/>
  <c r="Q269" i="5"/>
  <c r="P269" i="5"/>
  <c r="O269" i="5"/>
  <c r="N269" i="5"/>
  <c r="M269" i="5"/>
  <c r="L269" i="5"/>
  <c r="J269" i="5"/>
  <c r="I269" i="5"/>
  <c r="H269" i="5"/>
  <c r="L268" i="5"/>
  <c r="L253" i="5" s="1"/>
  <c r="K268" i="5"/>
  <c r="G268" i="5" s="1"/>
  <c r="V264" i="5"/>
  <c r="V255" i="5"/>
  <c r="V49" i="6" s="1"/>
  <c r="W264" i="5"/>
  <c r="Q264" i="5"/>
  <c r="P264" i="5"/>
  <c r="O264" i="5"/>
  <c r="N264" i="5"/>
  <c r="M264" i="5"/>
  <c r="L264" i="5"/>
  <c r="G263" i="5"/>
  <c r="G261" i="5"/>
  <c r="G260" i="5" s="1"/>
  <c r="V260" i="5"/>
  <c r="L260" i="5"/>
  <c r="K260" i="5"/>
  <c r="J260" i="5"/>
  <c r="I260" i="5"/>
  <c r="H260" i="5"/>
  <c r="G259" i="5"/>
  <c r="P258" i="5"/>
  <c r="O258" i="5"/>
  <c r="N258" i="5"/>
  <c r="M258" i="5"/>
  <c r="H258" i="5"/>
  <c r="V256" i="5"/>
  <c r="Q256" i="5"/>
  <c r="P255" i="5"/>
  <c r="O255" i="5"/>
  <c r="N255" i="5"/>
  <c r="M255" i="5"/>
  <c r="K255" i="5"/>
  <c r="J255" i="5"/>
  <c r="H255" i="5"/>
  <c r="W253" i="5"/>
  <c r="V253" i="5"/>
  <c r="Q253" i="5"/>
  <c r="P253" i="5"/>
  <c r="O253" i="5"/>
  <c r="M253" i="5"/>
  <c r="J253" i="5"/>
  <c r="I253" i="5"/>
  <c r="H253" i="5"/>
  <c r="W251" i="5"/>
  <c r="W247" i="5" s="1"/>
  <c r="W246" i="5" s="1"/>
  <c r="V251" i="5"/>
  <c r="V247" i="5" s="1"/>
  <c r="Q250" i="5"/>
  <c r="L250" i="5"/>
  <c r="K250" i="5"/>
  <c r="J250" i="5"/>
  <c r="I250" i="5"/>
  <c r="H250" i="5"/>
  <c r="G250" i="5"/>
  <c r="V248" i="5"/>
  <c r="Q248" i="5"/>
  <c r="L248" i="5"/>
  <c r="K248" i="5"/>
  <c r="J248" i="5"/>
  <c r="I248" i="5"/>
  <c r="H248" i="5"/>
  <c r="G248" i="5"/>
  <c r="Q247" i="5"/>
  <c r="L247" i="5"/>
  <c r="K247" i="5"/>
  <c r="J247" i="5"/>
  <c r="I247" i="5"/>
  <c r="H247" i="5"/>
  <c r="G247" i="5"/>
  <c r="W245" i="5"/>
  <c r="V245" i="5"/>
  <c r="Q245" i="5"/>
  <c r="L245" i="5"/>
  <c r="K245" i="5"/>
  <c r="J245" i="5"/>
  <c r="I245" i="5"/>
  <c r="H245" i="5"/>
  <c r="G245" i="5"/>
  <c r="V238" i="5"/>
  <c r="Q238" i="5"/>
  <c r="L238" i="5"/>
  <c r="K238" i="5"/>
  <c r="J238" i="5"/>
  <c r="I238" i="5"/>
  <c r="H238" i="5"/>
  <c r="G238" i="5"/>
  <c r="V236" i="5"/>
  <c r="Q236" i="5"/>
  <c r="L236" i="5"/>
  <c r="K236" i="5"/>
  <c r="J236" i="5"/>
  <c r="I236" i="5"/>
  <c r="H236" i="5"/>
  <c r="G236" i="5"/>
  <c r="V234" i="5"/>
  <c r="Q234" i="5"/>
  <c r="L234" i="5"/>
  <c r="K234" i="5"/>
  <c r="J234" i="5"/>
  <c r="I234" i="5"/>
  <c r="H234" i="5"/>
  <c r="G234" i="5"/>
  <c r="V233" i="5"/>
  <c r="Q233" i="5"/>
  <c r="L233" i="5"/>
  <c r="K233" i="5"/>
  <c r="J233" i="5"/>
  <c r="I233" i="5"/>
  <c r="H233" i="5"/>
  <c r="G233" i="5"/>
  <c r="V231" i="5"/>
  <c r="Q231" i="5"/>
  <c r="L231" i="5"/>
  <c r="K231" i="5"/>
  <c r="J231" i="5"/>
  <c r="I231" i="5"/>
  <c r="H231" i="5"/>
  <c r="G231" i="5"/>
  <c r="G229" i="5"/>
  <c r="G225" i="5" s="1"/>
  <c r="G228" i="5"/>
  <c r="G224" i="5" s="1"/>
  <c r="V227" i="5"/>
  <c r="Q227" i="5"/>
  <c r="L227" i="5"/>
  <c r="K227" i="5"/>
  <c r="J227" i="5"/>
  <c r="I227" i="5"/>
  <c r="H227" i="5"/>
  <c r="G226" i="5"/>
  <c r="G222" i="5" s="1"/>
  <c r="V225" i="5"/>
  <c r="Q225" i="5"/>
  <c r="L225" i="5"/>
  <c r="K225" i="5"/>
  <c r="J225" i="5"/>
  <c r="I225" i="5"/>
  <c r="H225" i="5"/>
  <c r="V224" i="5"/>
  <c r="Q224" i="5"/>
  <c r="L224" i="5"/>
  <c r="K224" i="5"/>
  <c r="J224" i="5"/>
  <c r="I224" i="5"/>
  <c r="H224" i="5"/>
  <c r="H223" i="5"/>
  <c r="V222" i="5"/>
  <c r="Q222" i="5"/>
  <c r="L222" i="5"/>
  <c r="K222" i="5"/>
  <c r="J222" i="5"/>
  <c r="I222" i="5"/>
  <c r="H222" i="5"/>
  <c r="V216" i="5"/>
  <c r="Q216" i="5"/>
  <c r="L216" i="5"/>
  <c r="L214" i="5"/>
  <c r="V213" i="5"/>
  <c r="Q213" i="5"/>
  <c r="P213" i="5"/>
  <c r="O213" i="5"/>
  <c r="N213" i="5"/>
  <c r="M213" i="5"/>
  <c r="L213" i="5"/>
  <c r="L212" i="5"/>
  <c r="G211" i="5"/>
  <c r="G210" i="5"/>
  <c r="V209" i="5"/>
  <c r="Q209" i="5"/>
  <c r="P209" i="5"/>
  <c r="O209" i="5"/>
  <c r="N209" i="5"/>
  <c r="M209" i="5"/>
  <c r="L209" i="5"/>
  <c r="K209" i="5"/>
  <c r="J209" i="5"/>
  <c r="I209" i="5"/>
  <c r="H209" i="5"/>
  <c r="L208" i="5"/>
  <c r="V205" i="5"/>
  <c r="Q205" i="5"/>
  <c r="P205" i="5"/>
  <c r="O205" i="5"/>
  <c r="N205" i="5"/>
  <c r="M205" i="5"/>
  <c r="L205" i="5"/>
  <c r="Q203" i="5"/>
  <c r="P203" i="5"/>
  <c r="O203" i="5"/>
  <c r="N203" i="5"/>
  <c r="M203" i="5"/>
  <c r="L203" i="5"/>
  <c r="K203" i="5"/>
  <c r="J203" i="5"/>
  <c r="I203" i="5"/>
  <c r="H203" i="5"/>
  <c r="V202" i="5"/>
  <c r="Q202" i="5"/>
  <c r="P202" i="5"/>
  <c r="O202" i="5"/>
  <c r="N202" i="5"/>
  <c r="M202" i="5"/>
  <c r="L202" i="5"/>
  <c r="K202" i="5"/>
  <c r="J202" i="5"/>
  <c r="I202" i="5"/>
  <c r="H202" i="5"/>
  <c r="G202" i="5"/>
  <c r="Q200" i="5"/>
  <c r="P200" i="5"/>
  <c r="O200" i="5"/>
  <c r="N200" i="5"/>
  <c r="M200" i="5"/>
  <c r="L200" i="5"/>
  <c r="K200" i="5"/>
  <c r="J200" i="5"/>
  <c r="I200" i="5"/>
  <c r="H200" i="5"/>
  <c r="G200" i="5"/>
  <c r="G199" i="5"/>
  <c r="V197" i="5"/>
  <c r="V190" i="5" s="1"/>
  <c r="Q197" i="5"/>
  <c r="L197" i="5"/>
  <c r="K197" i="5"/>
  <c r="J197" i="5"/>
  <c r="I197" i="5"/>
  <c r="H197" i="5"/>
  <c r="G197" i="5"/>
  <c r="W194" i="5"/>
  <c r="W190" i="5" s="1"/>
  <c r="W192" i="5"/>
  <c r="V192" i="5"/>
  <c r="Q192" i="5"/>
  <c r="L192" i="5"/>
  <c r="L190" i="5" s="1"/>
  <c r="K192" i="5"/>
  <c r="K190" i="5" s="1"/>
  <c r="J192" i="5"/>
  <c r="J190" i="5" s="1"/>
  <c r="I192" i="5"/>
  <c r="I190" i="5" s="1"/>
  <c r="H192" i="5"/>
  <c r="H190" i="5" s="1"/>
  <c r="G192" i="5"/>
  <c r="G190" i="5" s="1"/>
  <c r="W191" i="5"/>
  <c r="V191" i="5"/>
  <c r="Q191" i="5"/>
  <c r="Q190" i="5"/>
  <c r="W189" i="5"/>
  <c r="V189" i="5"/>
  <c r="Q189" i="5"/>
  <c r="L189" i="5"/>
  <c r="K189" i="5"/>
  <c r="J189" i="5"/>
  <c r="I189" i="5"/>
  <c r="H189" i="5"/>
  <c r="G189" i="5"/>
  <c r="V187" i="5"/>
  <c r="W183" i="5"/>
  <c r="V183" i="5"/>
  <c r="V180" i="5"/>
  <c r="G178" i="5"/>
  <c r="V177" i="5"/>
  <c r="Q177" i="5"/>
  <c r="L177" i="5"/>
  <c r="K177" i="5"/>
  <c r="J177" i="5"/>
  <c r="I177" i="5"/>
  <c r="H177" i="5"/>
  <c r="G177" i="5"/>
  <c r="G175" i="5"/>
  <c r="V174" i="5"/>
  <c r="Q174" i="5"/>
  <c r="L174" i="5"/>
  <c r="K174" i="5"/>
  <c r="J174" i="5"/>
  <c r="I174" i="5"/>
  <c r="H174" i="5"/>
  <c r="G174" i="5"/>
  <c r="W172" i="5"/>
  <c r="V172" i="5"/>
  <c r="Q172" i="5"/>
  <c r="L172" i="5"/>
  <c r="K172" i="5"/>
  <c r="J172" i="5"/>
  <c r="I172" i="5"/>
  <c r="H172" i="5"/>
  <c r="W171" i="5"/>
  <c r="W170" i="5" s="1"/>
  <c r="V170" i="5"/>
  <c r="Q170" i="5"/>
  <c r="L170" i="5"/>
  <c r="K170" i="5"/>
  <c r="J170" i="5"/>
  <c r="I170" i="5"/>
  <c r="H170" i="5"/>
  <c r="W169" i="5"/>
  <c r="V169" i="5"/>
  <c r="Q169" i="5"/>
  <c r="L169" i="5"/>
  <c r="K169" i="5"/>
  <c r="J169" i="5"/>
  <c r="I169" i="5"/>
  <c r="H169" i="5"/>
  <c r="G169" i="5"/>
  <c r="K168" i="5"/>
  <c r="G168" i="5" s="1"/>
  <c r="P167" i="5"/>
  <c r="L167" i="5" s="1"/>
  <c r="G167" i="5"/>
  <c r="V166" i="5"/>
  <c r="Q166" i="5"/>
  <c r="O166" i="5"/>
  <c r="N166" i="5"/>
  <c r="M166" i="5"/>
  <c r="K166" i="5"/>
  <c r="J166" i="5"/>
  <c r="I166" i="5"/>
  <c r="H166" i="5"/>
  <c r="G165" i="5"/>
  <c r="K164" i="5"/>
  <c r="G164" i="5" s="1"/>
  <c r="G163" i="5"/>
  <c r="G159" i="5" s="1"/>
  <c r="V162" i="5"/>
  <c r="Q162" i="5"/>
  <c r="P162" i="5"/>
  <c r="O162" i="5"/>
  <c r="N162" i="5"/>
  <c r="M162" i="5"/>
  <c r="L162" i="5"/>
  <c r="J162" i="5"/>
  <c r="I162" i="5"/>
  <c r="H162" i="5"/>
  <c r="G161" i="5"/>
  <c r="V160" i="5"/>
  <c r="Q160" i="5"/>
  <c r="P160" i="5"/>
  <c r="O160" i="5"/>
  <c r="N160" i="5"/>
  <c r="M160" i="5"/>
  <c r="L160" i="5"/>
  <c r="J160" i="5"/>
  <c r="I160" i="5"/>
  <c r="H160" i="5"/>
  <c r="V159" i="5"/>
  <c r="V158" i="5" s="1"/>
  <c r="Q159" i="5"/>
  <c r="O159" i="5"/>
  <c r="N159" i="5"/>
  <c r="M159" i="5"/>
  <c r="K159" i="5"/>
  <c r="J159" i="5"/>
  <c r="I159" i="5"/>
  <c r="H159" i="5"/>
  <c r="V157" i="5"/>
  <c r="Q157" i="5"/>
  <c r="P157" i="5"/>
  <c r="O157" i="5"/>
  <c r="N157" i="5"/>
  <c r="M157" i="5"/>
  <c r="L157" i="5"/>
  <c r="K157" i="5"/>
  <c r="J157" i="5"/>
  <c r="I157" i="5"/>
  <c r="H157" i="5"/>
  <c r="V155" i="5"/>
  <c r="Q155" i="5"/>
  <c r="L155" i="5"/>
  <c r="K155" i="5"/>
  <c r="J155" i="5"/>
  <c r="I155" i="5"/>
  <c r="H155" i="5"/>
  <c r="G155" i="5"/>
  <c r="G153" i="5"/>
  <c r="G141" i="5" s="1"/>
  <c r="L144" i="5"/>
  <c r="G144" i="5"/>
  <c r="G140" i="5" s="1"/>
  <c r="W143" i="5"/>
  <c r="V143" i="5"/>
  <c r="P143" i="5"/>
  <c r="O143" i="5"/>
  <c r="N143" i="5"/>
  <c r="M143" i="5"/>
  <c r="L143" i="5"/>
  <c r="K143" i="5"/>
  <c r="J143" i="5"/>
  <c r="I143" i="5"/>
  <c r="H143" i="5"/>
  <c r="G143" i="5"/>
  <c r="G142" i="5"/>
  <c r="G138" i="5" s="1"/>
  <c r="V141" i="5"/>
  <c r="Q141" i="5"/>
  <c r="Q139" i="5" s="1"/>
  <c r="L141" i="5"/>
  <c r="K141" i="5"/>
  <c r="J141" i="5"/>
  <c r="I141" i="5"/>
  <c r="H141" i="5"/>
  <c r="W140" i="5"/>
  <c r="W139" i="5" s="1"/>
  <c r="V140" i="5"/>
  <c r="P140" i="5"/>
  <c r="P139" i="5" s="1"/>
  <c r="O140" i="5"/>
  <c r="O139" i="5" s="1"/>
  <c r="N140" i="5"/>
  <c r="N139" i="5" s="1"/>
  <c r="M140" i="5"/>
  <c r="M139" i="5" s="1"/>
  <c r="L140" i="5"/>
  <c r="K140" i="5"/>
  <c r="J140" i="5"/>
  <c r="I140" i="5"/>
  <c r="H140" i="5"/>
  <c r="W138" i="5"/>
  <c r="V138" i="5"/>
  <c r="Q138" i="5"/>
  <c r="L138" i="5"/>
  <c r="K138" i="5"/>
  <c r="J138" i="5"/>
  <c r="I138" i="5"/>
  <c r="H138" i="5"/>
  <c r="G137" i="5"/>
  <c r="L136" i="5"/>
  <c r="L132" i="5" s="1"/>
  <c r="G136" i="5"/>
  <c r="G132" i="5" s="1"/>
  <c r="V135" i="5"/>
  <c r="Q135" i="5"/>
  <c r="P135" i="5"/>
  <c r="O135" i="5"/>
  <c r="N135" i="5"/>
  <c r="M135" i="5"/>
  <c r="L135" i="5"/>
  <c r="K135" i="5"/>
  <c r="J135" i="5"/>
  <c r="I135" i="5"/>
  <c r="H135" i="5"/>
  <c r="G135" i="5"/>
  <c r="L134" i="5"/>
  <c r="L130" i="5" s="1"/>
  <c r="G134" i="5"/>
  <c r="G130" i="5" s="1"/>
  <c r="V133" i="5"/>
  <c r="V131" i="5" s="1"/>
  <c r="Q133" i="5"/>
  <c r="L133" i="5"/>
  <c r="K133" i="5"/>
  <c r="J133" i="5"/>
  <c r="I133" i="5"/>
  <c r="H133" i="5"/>
  <c r="G133" i="5"/>
  <c r="G131" i="5" s="1"/>
  <c r="Q132" i="5"/>
  <c r="P132" i="5"/>
  <c r="P131" i="5" s="1"/>
  <c r="O132" i="5"/>
  <c r="N132" i="5"/>
  <c r="N131" i="5" s="1"/>
  <c r="M132" i="5"/>
  <c r="M131" i="5" s="1"/>
  <c r="K132" i="5"/>
  <c r="J132" i="5"/>
  <c r="I132" i="5"/>
  <c r="H132" i="5"/>
  <c r="O131" i="5"/>
  <c r="Q130" i="5"/>
  <c r="O130" i="5"/>
  <c r="N130" i="5"/>
  <c r="M130" i="5"/>
  <c r="K130" i="5"/>
  <c r="J130" i="5"/>
  <c r="I130" i="5"/>
  <c r="H130" i="5"/>
  <c r="G129" i="5"/>
  <c r="G128" i="5"/>
  <c r="V127" i="5"/>
  <c r="Q127" i="5"/>
  <c r="L127" i="5"/>
  <c r="K127" i="5"/>
  <c r="J127" i="5"/>
  <c r="I127" i="5"/>
  <c r="H127" i="5"/>
  <c r="G126" i="5"/>
  <c r="G125" i="5"/>
  <c r="L124" i="5"/>
  <c r="G124" i="5"/>
  <c r="V123" i="5"/>
  <c r="Q123" i="5"/>
  <c r="P123" i="5"/>
  <c r="O123" i="5"/>
  <c r="N123" i="5"/>
  <c r="M123" i="5"/>
  <c r="L123" i="5"/>
  <c r="K123" i="5"/>
  <c r="J123" i="5"/>
  <c r="I123" i="5"/>
  <c r="H123" i="5"/>
  <c r="G123" i="5"/>
  <c r="P122" i="5"/>
  <c r="L122" i="5"/>
  <c r="G122" i="5"/>
  <c r="G121" i="5"/>
  <c r="G120" i="5"/>
  <c r="V119" i="5"/>
  <c r="Q119" i="5"/>
  <c r="L119" i="5"/>
  <c r="K119" i="5"/>
  <c r="J119" i="5"/>
  <c r="I119" i="5"/>
  <c r="H119" i="5"/>
  <c r="G118" i="5"/>
  <c r="G117" i="5"/>
  <c r="G116" i="5" s="1"/>
  <c r="Q116" i="5"/>
  <c r="P116" i="5"/>
  <c r="O116" i="5"/>
  <c r="N116" i="5"/>
  <c r="M116" i="5"/>
  <c r="L116" i="5"/>
  <c r="K116" i="5"/>
  <c r="J116" i="5"/>
  <c r="I116" i="5"/>
  <c r="H116" i="5"/>
  <c r="W115" i="5"/>
  <c r="W102" i="5" s="1"/>
  <c r="G115" i="5"/>
  <c r="V113" i="5"/>
  <c r="Q111" i="5"/>
  <c r="P111" i="5"/>
  <c r="O111" i="5"/>
  <c r="N111" i="5"/>
  <c r="M111" i="5"/>
  <c r="L111" i="5"/>
  <c r="K111" i="5"/>
  <c r="J111" i="5"/>
  <c r="I111" i="5"/>
  <c r="H111" i="5"/>
  <c r="F111" i="5"/>
  <c r="E111" i="5"/>
  <c r="D111" i="5"/>
  <c r="C111" i="5"/>
  <c r="B111" i="5"/>
  <c r="V110" i="5"/>
  <c r="F110" i="5"/>
  <c r="E110" i="5"/>
  <c r="D110" i="5"/>
  <c r="C110" i="5"/>
  <c r="B110" i="5"/>
  <c r="Y109" i="5"/>
  <c r="V109" i="5"/>
  <c r="Q109" i="5"/>
  <c r="P109" i="5"/>
  <c r="O109" i="5"/>
  <c r="N109" i="5"/>
  <c r="M109" i="5"/>
  <c r="L109" i="5"/>
  <c r="K109" i="5"/>
  <c r="J109" i="5"/>
  <c r="I109" i="5"/>
  <c r="H109" i="5"/>
  <c r="F109" i="5"/>
  <c r="E109" i="5"/>
  <c r="D109" i="5"/>
  <c r="C109" i="5"/>
  <c r="B109" i="5"/>
  <c r="G108" i="5"/>
  <c r="G111" i="5" s="1"/>
  <c r="V107" i="5"/>
  <c r="Q107" i="5"/>
  <c r="Q110" i="5" s="1"/>
  <c r="P107" i="5"/>
  <c r="P110" i="5" s="1"/>
  <c r="O107" i="5"/>
  <c r="O110" i="5" s="1"/>
  <c r="N107" i="5"/>
  <c r="N110" i="5" s="1"/>
  <c r="M107" i="5"/>
  <c r="M110" i="5" s="1"/>
  <c r="L107" i="5"/>
  <c r="L110" i="5" s="1"/>
  <c r="K107" i="5"/>
  <c r="K110" i="5" s="1"/>
  <c r="J107" i="5"/>
  <c r="J110" i="5" s="1"/>
  <c r="I107" i="5"/>
  <c r="I110" i="5" s="1"/>
  <c r="H107" i="5"/>
  <c r="H110" i="5" s="1"/>
  <c r="G107" i="5"/>
  <c r="G110" i="5" s="1"/>
  <c r="G106" i="5"/>
  <c r="G109" i="5" s="1"/>
  <c r="W105" i="5"/>
  <c r="V105" i="5"/>
  <c r="Q105" i="5"/>
  <c r="P105" i="5"/>
  <c r="O105" i="5"/>
  <c r="N105" i="5"/>
  <c r="M105" i="5"/>
  <c r="L105" i="5"/>
  <c r="K105" i="5"/>
  <c r="J105" i="5"/>
  <c r="I105" i="5"/>
  <c r="H105" i="5"/>
  <c r="W104" i="5"/>
  <c r="V104" i="5"/>
  <c r="Q104" i="5"/>
  <c r="P104" i="5"/>
  <c r="O104" i="5"/>
  <c r="N104" i="5"/>
  <c r="M104" i="5"/>
  <c r="L104" i="5"/>
  <c r="K104" i="5"/>
  <c r="J104" i="5"/>
  <c r="I104" i="5"/>
  <c r="H104" i="5"/>
  <c r="Q103" i="5"/>
  <c r="V102" i="5"/>
  <c r="Q102" i="5"/>
  <c r="P102" i="5"/>
  <c r="O102" i="5"/>
  <c r="N102" i="5"/>
  <c r="M102" i="5"/>
  <c r="K102" i="5"/>
  <c r="J102" i="5"/>
  <c r="I102" i="5"/>
  <c r="H102" i="5"/>
  <c r="Q95" i="5"/>
  <c r="L95" i="5"/>
  <c r="K95" i="5"/>
  <c r="J95" i="5"/>
  <c r="I95" i="5"/>
  <c r="H95" i="5"/>
  <c r="G95" i="5"/>
  <c r="G94" i="5"/>
  <c r="K93" i="5"/>
  <c r="G93" i="5" s="1"/>
  <c r="G92" i="5"/>
  <c r="G88" i="5" s="1"/>
  <c r="Q91" i="5"/>
  <c r="L91" i="5"/>
  <c r="J91" i="5"/>
  <c r="I91" i="5"/>
  <c r="H91" i="5"/>
  <c r="G90" i="5"/>
  <c r="V89" i="5"/>
  <c r="Q89" i="5"/>
  <c r="L89" i="5"/>
  <c r="J89" i="5"/>
  <c r="I89" i="5"/>
  <c r="H89" i="5"/>
  <c r="V88" i="5"/>
  <c r="V87" i="5" s="1"/>
  <c r="Q88" i="5"/>
  <c r="L88" i="5"/>
  <c r="K88" i="5"/>
  <c r="J88" i="5"/>
  <c r="I88" i="5"/>
  <c r="H88" i="5"/>
  <c r="V86" i="5"/>
  <c r="Q86" i="5"/>
  <c r="L86" i="5"/>
  <c r="K86" i="5"/>
  <c r="J86" i="5"/>
  <c r="I86" i="5"/>
  <c r="H86" i="5"/>
  <c r="W83" i="5"/>
  <c r="W79" i="5"/>
  <c r="V79" i="5"/>
  <c r="W75" i="5"/>
  <c r="W71" i="5"/>
  <c r="L69" i="5"/>
  <c r="L55" i="5" s="1"/>
  <c r="V67" i="5"/>
  <c r="Q67" i="5"/>
  <c r="P67" i="5"/>
  <c r="O67" i="5"/>
  <c r="N67" i="5"/>
  <c r="M67" i="5"/>
  <c r="L67" i="5"/>
  <c r="K67" i="5"/>
  <c r="J67" i="5"/>
  <c r="I67" i="5"/>
  <c r="H67" i="5"/>
  <c r="P66" i="5"/>
  <c r="P52" i="5" s="1"/>
  <c r="L66" i="5"/>
  <c r="L52" i="5" s="1"/>
  <c r="K64" i="5"/>
  <c r="J64" i="5"/>
  <c r="I64" i="5"/>
  <c r="H64" i="5"/>
  <c r="G64" i="5"/>
  <c r="AH61" i="5"/>
  <c r="V61" i="5"/>
  <c r="Q61" i="5"/>
  <c r="L61" i="5"/>
  <c r="K61" i="5"/>
  <c r="J61" i="5"/>
  <c r="I61" i="5"/>
  <c r="H61" i="5"/>
  <c r="G61" i="5"/>
  <c r="G59" i="5"/>
  <c r="G55" i="5" s="1"/>
  <c r="G58" i="5"/>
  <c r="K57" i="5"/>
  <c r="J57" i="5"/>
  <c r="I57" i="5"/>
  <c r="H57" i="5"/>
  <c r="G56" i="5"/>
  <c r="W55" i="5"/>
  <c r="V55" i="5"/>
  <c r="Q55" i="5"/>
  <c r="P55" i="5"/>
  <c r="O55" i="5"/>
  <c r="N55" i="5"/>
  <c r="M55" i="5"/>
  <c r="K55" i="5"/>
  <c r="J55" i="5"/>
  <c r="I55" i="5"/>
  <c r="H55" i="5"/>
  <c r="W54" i="5"/>
  <c r="V54" i="5"/>
  <c r="Q54" i="5"/>
  <c r="P54" i="5"/>
  <c r="O54" i="5"/>
  <c r="N54" i="5"/>
  <c r="M54" i="5"/>
  <c r="L54" i="5"/>
  <c r="K54" i="5"/>
  <c r="J54" i="5"/>
  <c r="I54" i="5"/>
  <c r="H54" i="5"/>
  <c r="W52" i="5"/>
  <c r="V52" i="5"/>
  <c r="Q52" i="5"/>
  <c r="O52" i="5"/>
  <c r="N52" i="5"/>
  <c r="M52" i="5"/>
  <c r="K52" i="5"/>
  <c r="J52" i="5"/>
  <c r="I52" i="5"/>
  <c r="H52" i="5"/>
  <c r="K51" i="5"/>
  <c r="G51" i="5" s="1"/>
  <c r="O50" i="5"/>
  <c r="O48" i="5" s="1"/>
  <c r="N50" i="5"/>
  <c r="N48" i="5" s="1"/>
  <c r="M50" i="5"/>
  <c r="M48" i="5" s="1"/>
  <c r="L50" i="5"/>
  <c r="L48" i="5" s="1"/>
  <c r="J50" i="5"/>
  <c r="I50" i="5"/>
  <c r="H50" i="5"/>
  <c r="H49" i="5" s="1"/>
  <c r="K49" i="5"/>
  <c r="K46" i="5" s="1"/>
  <c r="P48" i="5"/>
  <c r="J48" i="5"/>
  <c r="I48" i="5"/>
  <c r="I47" i="5" s="1"/>
  <c r="H48" i="5"/>
  <c r="H47" i="5" s="1"/>
  <c r="Q47" i="5"/>
  <c r="J47" i="5"/>
  <c r="Q46" i="5"/>
  <c r="O46" i="5"/>
  <c r="N46" i="5"/>
  <c r="M46" i="5"/>
  <c r="L46" i="5"/>
  <c r="J46" i="5"/>
  <c r="I46" i="5"/>
  <c r="K45" i="5"/>
  <c r="G45" i="5" s="1"/>
  <c r="G44" i="5"/>
  <c r="G40" i="5" s="1"/>
  <c r="W43" i="5"/>
  <c r="V43" i="5"/>
  <c r="Q43" i="5"/>
  <c r="J43" i="5"/>
  <c r="I43" i="5"/>
  <c r="H43" i="5"/>
  <c r="G42" i="5"/>
  <c r="G38" i="5" s="1"/>
  <c r="J41" i="5"/>
  <c r="I41" i="5"/>
  <c r="H41" i="5"/>
  <c r="W40" i="5"/>
  <c r="W39" i="5" s="1"/>
  <c r="V40" i="5"/>
  <c r="Q40" i="5"/>
  <c r="Q39" i="5" s="1"/>
  <c r="K40" i="5"/>
  <c r="J40" i="5"/>
  <c r="I40" i="5"/>
  <c r="H40" i="5"/>
  <c r="V39" i="5"/>
  <c r="W38" i="5"/>
  <c r="V38" i="5"/>
  <c r="Q38" i="5"/>
  <c r="L38" i="5"/>
  <c r="K38" i="5"/>
  <c r="J38" i="5"/>
  <c r="I38" i="5"/>
  <c r="H38" i="5"/>
  <c r="K37" i="5"/>
  <c r="G37" i="5" s="1"/>
  <c r="G36" i="5"/>
  <c r="J35" i="5"/>
  <c r="I35" i="5"/>
  <c r="H35" i="5"/>
  <c r="G34" i="5"/>
  <c r="K33" i="5"/>
  <c r="G33" i="5" s="1"/>
  <c r="G32" i="5"/>
  <c r="J31" i="5"/>
  <c r="I31" i="5"/>
  <c r="H31" i="5"/>
  <c r="G30" i="5"/>
  <c r="G29" i="5"/>
  <c r="G28" i="5"/>
  <c r="W27" i="5"/>
  <c r="K27" i="5"/>
  <c r="J27" i="5"/>
  <c r="I27" i="5"/>
  <c r="H27" i="5"/>
  <c r="G26" i="5"/>
  <c r="W25" i="5"/>
  <c r="V25" i="5"/>
  <c r="Q25" i="5"/>
  <c r="J25" i="5"/>
  <c r="I25" i="5"/>
  <c r="H25" i="5"/>
  <c r="W24" i="5"/>
  <c r="V24" i="5"/>
  <c r="Q24" i="5"/>
  <c r="L24" i="5"/>
  <c r="L23" i="5" s="1"/>
  <c r="K24" i="5"/>
  <c r="J24" i="5"/>
  <c r="J23" i="5" s="1"/>
  <c r="I24" i="5"/>
  <c r="H24" i="5"/>
  <c r="H23" i="5" s="1"/>
  <c r="W22" i="5"/>
  <c r="V22" i="5"/>
  <c r="Q22" i="5"/>
  <c r="L22" i="5"/>
  <c r="K22" i="5"/>
  <c r="J22" i="5"/>
  <c r="I22" i="5"/>
  <c r="H22" i="5"/>
  <c r="W16" i="5"/>
  <c r="V16" i="5"/>
  <c r="V24" i="6" s="1"/>
  <c r="V83" i="6" s="1"/>
  <c r="Q16" i="5"/>
  <c r="Q24" i="6" s="1"/>
  <c r="Q83" i="6" s="1"/>
  <c r="AI13" i="5"/>
  <c r="M18" i="11" s="1"/>
  <c r="AH13" i="5"/>
  <c r="Q15" i="5" l="1"/>
  <c r="I442" i="5"/>
  <c r="Q438" i="5"/>
  <c r="W438" i="5"/>
  <c r="P442" i="5"/>
  <c r="P440" i="5" s="1"/>
  <c r="V442" i="5"/>
  <c r="V440" i="5" s="1"/>
  <c r="V439" i="5" s="1"/>
  <c r="Q442" i="5"/>
  <c r="Q440" i="5" s="1"/>
  <c r="I507" i="5"/>
  <c r="H440" i="5"/>
  <c r="G443" i="5"/>
  <c r="Q607" i="5"/>
  <c r="J625" i="5"/>
  <c r="O665" i="5"/>
  <c r="O725" i="5"/>
  <c r="O723" i="5" s="1"/>
  <c r="G31" i="5"/>
  <c r="M158" i="5"/>
  <c r="H315" i="5"/>
  <c r="J315" i="5"/>
  <c r="L315" i="5"/>
  <c r="M442" i="5"/>
  <c r="M440" i="5" s="1"/>
  <c r="W439" i="5"/>
  <c r="I725" i="5"/>
  <c r="I723" i="5" s="1"/>
  <c r="Q725" i="5"/>
  <c r="O631" i="5"/>
  <c r="O442" i="5" s="1"/>
  <c r="O440" i="5" s="1"/>
  <c r="O335" i="5"/>
  <c r="V250" i="5"/>
  <c r="K48" i="5"/>
  <c r="K47" i="5" s="1"/>
  <c r="K25" i="5"/>
  <c r="K23" i="5" s="1"/>
  <c r="W250" i="5"/>
  <c r="H587" i="5"/>
  <c r="L587" i="5"/>
  <c r="G586" i="5"/>
  <c r="K808" i="5"/>
  <c r="K725" i="5" s="1"/>
  <c r="K723" i="5" s="1"/>
  <c r="I23" i="5"/>
  <c r="M15" i="5"/>
  <c r="L246" i="5"/>
  <c r="V23" i="5"/>
  <c r="K31" i="5"/>
  <c r="Q11" i="5"/>
  <c r="Q16" i="6" s="1"/>
  <c r="I158" i="5"/>
  <c r="N158" i="5"/>
  <c r="K253" i="5"/>
  <c r="M254" i="5"/>
  <c r="O254" i="5"/>
  <c r="I315" i="5"/>
  <c r="K315" i="5"/>
  <c r="V778" i="5"/>
  <c r="V162" i="6"/>
  <c r="G597" i="5"/>
  <c r="G755" i="5"/>
  <c r="H725" i="5"/>
  <c r="V725" i="5"/>
  <c r="V723" i="5" s="1"/>
  <c r="G756" i="5"/>
  <c r="H246" i="5"/>
  <c r="J246" i="5"/>
  <c r="W721" i="5"/>
  <c r="N11" i="5"/>
  <c r="G295" i="5"/>
  <c r="J294" i="5"/>
  <c r="V335" i="5"/>
  <c r="W335" i="5"/>
  <c r="Q587" i="5"/>
  <c r="G674" i="5"/>
  <c r="J689" i="5"/>
  <c r="G119" i="5"/>
  <c r="V824" i="5"/>
  <c r="Q824" i="5"/>
  <c r="G157" i="5"/>
  <c r="N335" i="5"/>
  <c r="P335" i="5"/>
  <c r="G127" i="5"/>
  <c r="Q158" i="5"/>
  <c r="V391" i="5"/>
  <c r="J790" i="5"/>
  <c r="J725" i="5" s="1"/>
  <c r="J723" i="5" s="1"/>
  <c r="H158" i="5"/>
  <c r="O158" i="5"/>
  <c r="N254" i="5"/>
  <c r="P254" i="5"/>
  <c r="M335" i="5"/>
  <c r="Q335" i="5"/>
  <c r="K407" i="5"/>
  <c r="Q407" i="5"/>
  <c r="G411" i="5"/>
  <c r="G427" i="5"/>
  <c r="G426" i="5" s="1"/>
  <c r="L426" i="5"/>
  <c r="M675" i="5"/>
  <c r="Q201" i="5"/>
  <c r="L131" i="5"/>
  <c r="H131" i="5"/>
  <c r="O17" i="5"/>
  <c r="J223" i="5"/>
  <c r="L223" i="5"/>
  <c r="V223" i="5"/>
  <c r="G246" i="5"/>
  <c r="I246" i="5"/>
  <c r="K246" i="5"/>
  <c r="Q246" i="5"/>
  <c r="K269" i="5"/>
  <c r="G303" i="5"/>
  <c r="L351" i="5"/>
  <c r="H507" i="5"/>
  <c r="J507" i="5"/>
  <c r="G27" i="5"/>
  <c r="G315" i="5"/>
  <c r="W391" i="5"/>
  <c r="K41" i="5"/>
  <c r="K39" i="5" s="1"/>
  <c r="L53" i="5"/>
  <c r="N53" i="5"/>
  <c r="P53" i="5"/>
  <c r="G57" i="5"/>
  <c r="Q53" i="5"/>
  <c r="W53" i="5"/>
  <c r="J158" i="5"/>
  <c r="I223" i="5"/>
  <c r="K223" i="5"/>
  <c r="Q223" i="5"/>
  <c r="H254" i="5"/>
  <c r="J258" i="5"/>
  <c r="J254" i="5" s="1"/>
  <c r="G269" i="5"/>
  <c r="G298" i="5"/>
  <c r="G351" i="5"/>
  <c r="J351" i="5"/>
  <c r="N351" i="5"/>
  <c r="L379" i="5"/>
  <c r="Q391" i="5"/>
  <c r="V407" i="5"/>
  <c r="K508" i="5"/>
  <c r="K507" i="5" s="1"/>
  <c r="Q23" i="5"/>
  <c r="W23" i="5"/>
  <c r="G24" i="5"/>
  <c r="V53" i="5"/>
  <c r="L87" i="5"/>
  <c r="G105" i="5"/>
  <c r="G253" i="5"/>
  <c r="K795" i="5"/>
  <c r="K721" i="5" s="1"/>
  <c r="V11" i="5"/>
  <c r="L102" i="5"/>
  <c r="M201" i="5"/>
  <c r="G209" i="5"/>
  <c r="V254" i="5"/>
  <c r="G290" i="5"/>
  <c r="G339" i="5"/>
  <c r="L393" i="5"/>
  <c r="L391" i="5" s="1"/>
  <c r="K395" i="5"/>
  <c r="G409" i="5"/>
  <c r="I587" i="5"/>
  <c r="K587" i="5"/>
  <c r="J681" i="5"/>
  <c r="G588" i="5"/>
  <c r="G587" i="5" s="1"/>
  <c r="V17" i="5"/>
  <c r="I39" i="5"/>
  <c r="H39" i="5"/>
  <c r="J39" i="5"/>
  <c r="K43" i="5"/>
  <c r="K50" i="5"/>
  <c r="M17" i="5"/>
  <c r="G52" i="5"/>
  <c r="O15" i="5"/>
  <c r="O13" i="5" s="1"/>
  <c r="H87" i="5"/>
  <c r="K89" i="5"/>
  <c r="K87" i="5" s="1"/>
  <c r="Q87" i="5"/>
  <c r="J103" i="5"/>
  <c r="L103" i="5"/>
  <c r="V103" i="5"/>
  <c r="W103" i="5"/>
  <c r="K139" i="5"/>
  <c r="P159" i="5"/>
  <c r="P158" i="5" s="1"/>
  <c r="G172" i="5"/>
  <c r="G170" i="5" s="1"/>
  <c r="I201" i="5"/>
  <c r="L258" i="5"/>
  <c r="L254" i="5" s="1"/>
  <c r="K290" i="5"/>
  <c r="W294" i="5"/>
  <c r="G296" i="5"/>
  <c r="G371" i="5"/>
  <c r="J521" i="5"/>
  <c r="I407" i="5"/>
  <c r="V663" i="5"/>
  <c r="L665" i="5"/>
  <c r="L713" i="5"/>
  <c r="L826" i="5"/>
  <c r="J87" i="5"/>
  <c r="I87" i="5"/>
  <c r="H379" i="5"/>
  <c r="J131" i="5"/>
  <c r="G86" i="5"/>
  <c r="V351" i="5"/>
  <c r="V721" i="5"/>
  <c r="W725" i="5"/>
  <c r="W723" i="5" s="1"/>
  <c r="P11" i="5"/>
  <c r="Q17" i="5"/>
  <c r="L371" i="5"/>
  <c r="K15" i="5"/>
  <c r="N17" i="5"/>
  <c r="H53" i="5"/>
  <c r="J53" i="5"/>
  <c r="M103" i="5"/>
  <c r="H335" i="5"/>
  <c r="J335" i="5"/>
  <c r="G335" i="5"/>
  <c r="H351" i="5"/>
  <c r="P351" i="5"/>
  <c r="H371" i="5"/>
  <c r="J371" i="5"/>
  <c r="H723" i="5"/>
  <c r="K103" i="5"/>
  <c r="O103" i="5"/>
  <c r="K201" i="5"/>
  <c r="O201" i="5"/>
  <c r="Q723" i="5"/>
  <c r="Q722" i="5" s="1"/>
  <c r="G50" i="5"/>
  <c r="G48" i="5"/>
  <c r="G47" i="5" s="1"/>
  <c r="W17" i="5"/>
  <c r="G22" i="5"/>
  <c r="G54" i="5"/>
  <c r="G53" i="5" s="1"/>
  <c r="I53" i="5"/>
  <c r="K53" i="5"/>
  <c r="M53" i="5"/>
  <c r="O53" i="5"/>
  <c r="I103" i="5"/>
  <c r="G102" i="5"/>
  <c r="I139" i="5"/>
  <c r="H139" i="5"/>
  <c r="J139" i="5"/>
  <c r="L139" i="5"/>
  <c r="V139" i="5"/>
  <c r="K162" i="5"/>
  <c r="G166" i="5"/>
  <c r="H201" i="5"/>
  <c r="J201" i="5"/>
  <c r="L201" i="5"/>
  <c r="N201" i="5"/>
  <c r="P201" i="5"/>
  <c r="V201" i="5"/>
  <c r="G227" i="5"/>
  <c r="J379" i="5"/>
  <c r="J447" i="5"/>
  <c r="L465" i="5"/>
  <c r="L442" i="5" s="1"/>
  <c r="L440" i="5" s="1"/>
  <c r="L439" i="5" s="1"/>
  <c r="J473" i="5"/>
  <c r="J573" i="5"/>
  <c r="L645" i="5"/>
  <c r="P826" i="5"/>
  <c r="P725" i="5" s="1"/>
  <c r="P723" i="5" s="1"/>
  <c r="G223" i="5"/>
  <c r="I294" i="5"/>
  <c r="G294" i="5" s="1"/>
  <c r="K258" i="5"/>
  <c r="K254" i="5" s="1"/>
  <c r="I335" i="5"/>
  <c r="K335" i="5"/>
  <c r="G379" i="5"/>
  <c r="H407" i="5"/>
  <c r="J407" i="5"/>
  <c r="L407" i="5"/>
  <c r="G407" i="5"/>
  <c r="H17" i="5"/>
  <c r="G17" i="5" s="1"/>
  <c r="J17" i="5"/>
  <c r="P17" i="5"/>
  <c r="G104" i="5"/>
  <c r="G103" i="5" s="1"/>
  <c r="N103" i="5"/>
  <c r="P103" i="5"/>
  <c r="I131" i="5"/>
  <c r="K131" i="5"/>
  <c r="Q131" i="5"/>
  <c r="I351" i="5"/>
  <c r="K351" i="5"/>
  <c r="M351" i="5"/>
  <c r="O351" i="5"/>
  <c r="Q351" i="5"/>
  <c r="W351" i="5"/>
  <c r="I371" i="5"/>
  <c r="K371" i="5"/>
  <c r="Q371" i="5"/>
  <c r="I379" i="5"/>
  <c r="K379" i="5"/>
  <c r="V722" i="5"/>
  <c r="M725" i="5"/>
  <c r="M723" i="5" s="1"/>
  <c r="K11" i="5"/>
  <c r="G11" i="5" s="1"/>
  <c r="M11" i="5"/>
  <c r="O11" i="5"/>
  <c r="W11" i="5"/>
  <c r="L11" i="5"/>
  <c r="V246" i="5"/>
  <c r="L725" i="5"/>
  <c r="L723" i="5" s="1"/>
  <c r="L722" i="5" s="1"/>
  <c r="G139" i="5"/>
  <c r="G35" i="5"/>
  <c r="G25" i="5"/>
  <c r="G23" i="5" s="1"/>
  <c r="G43" i="5"/>
  <c r="G41" i="5"/>
  <c r="G39" i="5" s="1"/>
  <c r="G49" i="5"/>
  <c r="H46" i="5"/>
  <c r="G46" i="5" s="1"/>
  <c r="L47" i="5"/>
  <c r="G89" i="5"/>
  <c r="G87" i="5" s="1"/>
  <c r="G91" i="5"/>
  <c r="G162" i="5"/>
  <c r="G160" i="5"/>
  <c r="G158" i="5" s="1"/>
  <c r="L159" i="5"/>
  <c r="L158" i="5" s="1"/>
  <c r="L166" i="5"/>
  <c r="W254" i="5"/>
  <c r="W15" i="5"/>
  <c r="H15" i="5"/>
  <c r="J15" i="5"/>
  <c r="L15" i="5"/>
  <c r="N15" i="5"/>
  <c r="P15" i="5"/>
  <c r="V15" i="5"/>
  <c r="V13" i="5" s="1"/>
  <c r="V12" i="5" s="1"/>
  <c r="K35" i="5"/>
  <c r="K91" i="5"/>
  <c r="H103" i="5"/>
  <c r="K160" i="5"/>
  <c r="P166" i="5"/>
  <c r="G203" i="5"/>
  <c r="G201" i="5" s="1"/>
  <c r="G255" i="5"/>
  <c r="I255" i="5"/>
  <c r="G258" i="5"/>
  <c r="I258" i="5"/>
  <c r="I17" i="5" s="1"/>
  <c r="L343" i="5"/>
  <c r="L337" i="5"/>
  <c r="L17" i="5" s="1"/>
  <c r="G395" i="5"/>
  <c r="G393" i="5"/>
  <c r="G391" i="5" s="1"/>
  <c r="G508" i="5"/>
  <c r="G507" i="5" s="1"/>
  <c r="G511" i="5"/>
  <c r="N465" i="5"/>
  <c r="N442" i="5" s="1"/>
  <c r="N440" i="5" s="1"/>
  <c r="K511" i="5"/>
  <c r="O85" i="13"/>
  <c r="D85" i="13"/>
  <c r="D94" i="13" s="1"/>
  <c r="P84" i="13"/>
  <c r="J84" i="13"/>
  <c r="H89" i="13" s="1"/>
  <c r="P83" i="13"/>
  <c r="J83" i="13"/>
  <c r="P82" i="13"/>
  <c r="I82" i="13"/>
  <c r="I88" i="13" s="1"/>
  <c r="H82" i="13"/>
  <c r="H88" i="13" s="1"/>
  <c r="G82" i="13"/>
  <c r="G88" i="13" s="1"/>
  <c r="F82" i="13"/>
  <c r="F88" i="13" s="1"/>
  <c r="E82" i="13"/>
  <c r="E88" i="13" s="1"/>
  <c r="D79" i="13"/>
  <c r="J78" i="13"/>
  <c r="J77" i="13"/>
  <c r="I72" i="13"/>
  <c r="H72" i="13"/>
  <c r="G72" i="13"/>
  <c r="F72" i="13"/>
  <c r="E72" i="13"/>
  <c r="J68" i="13"/>
  <c r="I67" i="13"/>
  <c r="G67" i="13"/>
  <c r="I65" i="13"/>
  <c r="H65" i="13"/>
  <c r="H67" i="13" s="1"/>
  <c r="G65" i="13"/>
  <c r="F65" i="13"/>
  <c r="J65" i="13" s="1"/>
  <c r="K65" i="13" s="1"/>
  <c r="E66" i="13" s="1"/>
  <c r="E65" i="13"/>
  <c r="C63" i="13"/>
  <c r="H63" i="13" s="1"/>
  <c r="I62" i="13"/>
  <c r="H62" i="13"/>
  <c r="H64" i="13" s="1"/>
  <c r="H69" i="13" s="1"/>
  <c r="G62" i="13"/>
  <c r="G93" i="13" s="1"/>
  <c r="F62" i="13"/>
  <c r="E62" i="13"/>
  <c r="D62" i="13"/>
  <c r="J56" i="13"/>
  <c r="I56" i="13"/>
  <c r="H56" i="13"/>
  <c r="G56" i="13"/>
  <c r="F56" i="13"/>
  <c r="E56" i="13"/>
  <c r="D56" i="13"/>
  <c r="C56" i="13"/>
  <c r="B56" i="13"/>
  <c r="K56" i="13" s="1"/>
  <c r="J55" i="13"/>
  <c r="I55" i="13"/>
  <c r="H55" i="13"/>
  <c r="G55" i="13"/>
  <c r="F55" i="13"/>
  <c r="E55" i="13"/>
  <c r="D55" i="13"/>
  <c r="C55" i="13"/>
  <c r="B55" i="13"/>
  <c r="K53" i="13"/>
  <c r="C52" i="13"/>
  <c r="B52" i="13"/>
  <c r="J51" i="13"/>
  <c r="I51" i="13"/>
  <c r="H51" i="13"/>
  <c r="G51" i="13"/>
  <c r="F51" i="13"/>
  <c r="E51" i="13"/>
  <c r="D51" i="13"/>
  <c r="C51" i="13"/>
  <c r="B51" i="13"/>
  <c r="E49" i="13"/>
  <c r="D49" i="13"/>
  <c r="C49" i="13"/>
  <c r="B49" i="13"/>
  <c r="J47" i="13"/>
  <c r="I47" i="13"/>
  <c r="H47" i="13"/>
  <c r="G47" i="13"/>
  <c r="F47" i="13"/>
  <c r="E47" i="13"/>
  <c r="D47" i="13"/>
  <c r="C47" i="13"/>
  <c r="B47" i="13"/>
  <c r="J46" i="13"/>
  <c r="I46" i="13"/>
  <c r="H46" i="13"/>
  <c r="G46" i="13"/>
  <c r="F46" i="13"/>
  <c r="E46" i="13"/>
  <c r="D46" i="13"/>
  <c r="C46" i="13"/>
  <c r="B46" i="13"/>
  <c r="J45" i="13"/>
  <c r="I45" i="13"/>
  <c r="H45" i="13"/>
  <c r="G45" i="13"/>
  <c r="F45" i="13"/>
  <c r="E45" i="13"/>
  <c r="D45" i="13"/>
  <c r="C45" i="13"/>
  <c r="B45" i="13"/>
  <c r="J44" i="13"/>
  <c r="I44" i="13"/>
  <c r="H44" i="13"/>
  <c r="G44" i="13"/>
  <c r="F44" i="13"/>
  <c r="E44" i="13"/>
  <c r="D44" i="13"/>
  <c r="C44" i="13"/>
  <c r="B44" i="13"/>
  <c r="J43" i="13"/>
  <c r="I43" i="13"/>
  <c r="H43" i="13"/>
  <c r="G43" i="13"/>
  <c r="F43" i="13"/>
  <c r="E43" i="13"/>
  <c r="D43" i="13"/>
  <c r="C43" i="13"/>
  <c r="B43" i="13"/>
  <c r="J42" i="13"/>
  <c r="I42" i="13"/>
  <c r="H42" i="13"/>
  <c r="G42" i="13"/>
  <c r="F42" i="13"/>
  <c r="E42" i="13"/>
  <c r="D42" i="13"/>
  <c r="C42" i="13"/>
  <c r="B42" i="13"/>
  <c r="J41" i="13"/>
  <c r="I41" i="13"/>
  <c r="H41" i="13"/>
  <c r="G41" i="13"/>
  <c r="F41" i="13"/>
  <c r="E41" i="13"/>
  <c r="D41" i="13"/>
  <c r="C41" i="13"/>
  <c r="B41" i="13"/>
  <c r="J40" i="13"/>
  <c r="I40" i="13"/>
  <c r="H40" i="13"/>
  <c r="G40" i="13"/>
  <c r="F40" i="13"/>
  <c r="E40" i="13"/>
  <c r="D40" i="13"/>
  <c r="C40" i="13"/>
  <c r="B40" i="13"/>
  <c r="J39" i="13"/>
  <c r="I39" i="13"/>
  <c r="H39" i="13"/>
  <c r="G39" i="13"/>
  <c r="F39" i="13"/>
  <c r="E39" i="13"/>
  <c r="D39" i="13"/>
  <c r="C39" i="13"/>
  <c r="B39" i="13"/>
  <c r="J38" i="13"/>
  <c r="I38" i="13"/>
  <c r="H38" i="13"/>
  <c r="G38" i="13"/>
  <c r="F38" i="13"/>
  <c r="E38" i="13"/>
  <c r="D38" i="13"/>
  <c r="C38" i="13"/>
  <c r="B38" i="13"/>
  <c r="J37" i="13"/>
  <c r="I37" i="13"/>
  <c r="H37" i="13"/>
  <c r="G37" i="13"/>
  <c r="F37" i="13"/>
  <c r="E37" i="13"/>
  <c r="D37" i="13"/>
  <c r="C37" i="13"/>
  <c r="B37" i="13"/>
  <c r="J36" i="13"/>
  <c r="I36" i="13"/>
  <c r="H36" i="13"/>
  <c r="G36" i="13"/>
  <c r="F36" i="13"/>
  <c r="E36" i="13"/>
  <c r="D36" i="13"/>
  <c r="C36" i="13"/>
  <c r="B36" i="13"/>
  <c r="D35" i="13"/>
  <c r="C35" i="13"/>
  <c r="J34" i="13"/>
  <c r="I34" i="13"/>
  <c r="H34" i="13"/>
  <c r="G34" i="13"/>
  <c r="F34" i="13"/>
  <c r="E34" i="13"/>
  <c r="D34" i="13"/>
  <c r="C34" i="13"/>
  <c r="B34" i="13"/>
  <c r="J33" i="13"/>
  <c r="I33" i="13"/>
  <c r="H33" i="13"/>
  <c r="G33" i="13"/>
  <c r="F33" i="13"/>
  <c r="E33" i="13"/>
  <c r="D33" i="13"/>
  <c r="C33" i="13"/>
  <c r="B33" i="13"/>
  <c r="J32" i="13"/>
  <c r="I32" i="13"/>
  <c r="H32" i="13"/>
  <c r="G32" i="13"/>
  <c r="F32" i="13"/>
  <c r="E32" i="13"/>
  <c r="D32" i="13"/>
  <c r="C32" i="13"/>
  <c r="B32" i="13"/>
  <c r="J31" i="13"/>
  <c r="I31" i="13"/>
  <c r="H31" i="13"/>
  <c r="G31" i="13"/>
  <c r="F31" i="13"/>
  <c r="E31" i="13"/>
  <c r="D31" i="13"/>
  <c r="C31" i="13"/>
  <c r="B31" i="13"/>
  <c r="J30" i="13"/>
  <c r="D30" i="13"/>
  <c r="C30" i="13"/>
  <c r="J29" i="13"/>
  <c r="I29" i="13"/>
  <c r="H29" i="13"/>
  <c r="G29" i="13"/>
  <c r="F29" i="13"/>
  <c r="E29" i="13"/>
  <c r="D29" i="13"/>
  <c r="C29" i="13"/>
  <c r="B29" i="13"/>
  <c r="J28" i="13"/>
  <c r="I28" i="13"/>
  <c r="H28" i="13"/>
  <c r="G28" i="13"/>
  <c r="F28" i="13"/>
  <c r="E28" i="13"/>
  <c r="D28" i="13"/>
  <c r="C28" i="13"/>
  <c r="B28" i="13"/>
  <c r="J27" i="13"/>
  <c r="I27" i="13"/>
  <c r="H27" i="13"/>
  <c r="G27" i="13"/>
  <c r="F27" i="13"/>
  <c r="E27" i="13"/>
  <c r="D27" i="13"/>
  <c r="C27" i="13"/>
  <c r="B27" i="13"/>
  <c r="J26" i="13"/>
  <c r="I26" i="13"/>
  <c r="H26" i="13"/>
  <c r="G26" i="13"/>
  <c r="F26" i="13"/>
  <c r="E26" i="13"/>
  <c r="D26" i="13"/>
  <c r="C26" i="13"/>
  <c r="B26" i="13"/>
  <c r="J24" i="13"/>
  <c r="I24" i="13"/>
  <c r="H24" i="13"/>
  <c r="G24" i="13"/>
  <c r="F24" i="13"/>
  <c r="E24" i="13"/>
  <c r="D24" i="13"/>
  <c r="C24" i="13"/>
  <c r="B24" i="13"/>
  <c r="J23" i="13"/>
  <c r="I23" i="13"/>
  <c r="H23" i="13"/>
  <c r="G23" i="13"/>
  <c r="F23" i="13"/>
  <c r="E23" i="13"/>
  <c r="D23" i="13"/>
  <c r="C23" i="13"/>
  <c r="B23" i="13"/>
  <c r="J22" i="13"/>
  <c r="I22" i="13"/>
  <c r="H22" i="13"/>
  <c r="G22" i="13"/>
  <c r="F22" i="13"/>
  <c r="E22" i="13"/>
  <c r="D22" i="13"/>
  <c r="C22" i="13"/>
  <c r="B22" i="13"/>
  <c r="J21" i="13"/>
  <c r="I21" i="13"/>
  <c r="H21" i="13"/>
  <c r="G21" i="13"/>
  <c r="F21" i="13"/>
  <c r="E21" i="13"/>
  <c r="D21" i="13"/>
  <c r="C21" i="13"/>
  <c r="B21" i="13"/>
  <c r="J20" i="13"/>
  <c r="I20" i="13"/>
  <c r="H20" i="13"/>
  <c r="G20" i="13"/>
  <c r="F20" i="13"/>
  <c r="E20" i="13"/>
  <c r="D20" i="13"/>
  <c r="C20" i="13"/>
  <c r="B20" i="13"/>
  <c r="J19" i="13"/>
  <c r="I19" i="13"/>
  <c r="H19" i="13"/>
  <c r="G19" i="13"/>
  <c r="F19" i="13"/>
  <c r="E19" i="13"/>
  <c r="D19" i="13"/>
  <c r="C19" i="13"/>
  <c r="B19" i="13"/>
  <c r="J18" i="13"/>
  <c r="I18" i="13"/>
  <c r="H18" i="13"/>
  <c r="G18" i="13"/>
  <c r="F18" i="13"/>
  <c r="E18" i="13"/>
  <c r="D18" i="13"/>
  <c r="C18" i="13"/>
  <c r="B18" i="13"/>
  <c r="J17" i="13"/>
  <c r="I17" i="13"/>
  <c r="H17" i="13"/>
  <c r="G17" i="13"/>
  <c r="F17" i="13"/>
  <c r="E17" i="13"/>
  <c r="D17" i="13"/>
  <c r="C17" i="13"/>
  <c r="B17" i="13"/>
  <c r="J16" i="13"/>
  <c r="I16" i="13"/>
  <c r="H16" i="13"/>
  <c r="G16" i="13"/>
  <c r="F16" i="13"/>
  <c r="E16" i="13"/>
  <c r="D16" i="13"/>
  <c r="C16" i="13"/>
  <c r="B16" i="13"/>
  <c r="J15" i="13"/>
  <c r="I15" i="13"/>
  <c r="H15" i="13"/>
  <c r="G15" i="13"/>
  <c r="F15" i="13"/>
  <c r="E15" i="13"/>
  <c r="D15" i="13"/>
  <c r="C15" i="13"/>
  <c r="B15" i="13"/>
  <c r="J13" i="13"/>
  <c r="I13" i="13"/>
  <c r="H13" i="13"/>
  <c r="G13" i="13"/>
  <c r="F13" i="13"/>
  <c r="E13" i="13"/>
  <c r="D13" i="13"/>
  <c r="C13" i="13"/>
  <c r="B13" i="13"/>
  <c r="J12" i="13"/>
  <c r="I12" i="13"/>
  <c r="H12" i="13"/>
  <c r="G12" i="13"/>
  <c r="F12" i="13"/>
  <c r="E12" i="13"/>
  <c r="D12" i="13"/>
  <c r="C12" i="13"/>
  <c r="B12" i="13"/>
  <c r="J11" i="13"/>
  <c r="I11" i="13"/>
  <c r="H11" i="13"/>
  <c r="G11" i="13"/>
  <c r="F11" i="13"/>
  <c r="E11" i="13"/>
  <c r="D11" i="13"/>
  <c r="C11" i="13"/>
  <c r="B11" i="13"/>
  <c r="J10" i="13"/>
  <c r="I10" i="13"/>
  <c r="H10" i="13"/>
  <c r="G10" i="13"/>
  <c r="F10" i="13"/>
  <c r="E10" i="13"/>
  <c r="D10" i="13"/>
  <c r="C10" i="13"/>
  <c r="B10" i="13"/>
  <c r="D9" i="13"/>
  <c r="C9" i="13"/>
  <c r="B9" i="13"/>
  <c r="J8" i="13"/>
  <c r="I8" i="13"/>
  <c r="H8" i="13"/>
  <c r="G8" i="13"/>
  <c r="F8" i="13"/>
  <c r="E8" i="13"/>
  <c r="D8" i="13"/>
  <c r="C8" i="13"/>
  <c r="B8" i="13"/>
  <c r="J7" i="13"/>
  <c r="I7" i="13"/>
  <c r="H7" i="13"/>
  <c r="G7" i="13"/>
  <c r="F7" i="13"/>
  <c r="E7" i="13"/>
  <c r="D7" i="13"/>
  <c r="C7" i="13"/>
  <c r="B7" i="13"/>
  <c r="J6" i="13"/>
  <c r="I6" i="13"/>
  <c r="H6" i="13"/>
  <c r="G6" i="13"/>
  <c r="F6" i="13"/>
  <c r="E6" i="13"/>
  <c r="D6" i="13"/>
  <c r="C6" i="13"/>
  <c r="B6" i="13"/>
  <c r="J5" i="13"/>
  <c r="I5" i="13"/>
  <c r="H5" i="13"/>
  <c r="G5" i="13"/>
  <c r="F5" i="13"/>
  <c r="E5" i="13"/>
  <c r="D5" i="13"/>
  <c r="C5" i="13"/>
  <c r="B5" i="13"/>
  <c r="D101" i="12"/>
  <c r="F100" i="12"/>
  <c r="O89" i="12"/>
  <c r="P87" i="12" s="1"/>
  <c r="D89" i="12"/>
  <c r="D98" i="12" s="1"/>
  <c r="J87" i="12"/>
  <c r="H93" i="12" s="1"/>
  <c r="P86" i="12"/>
  <c r="J86" i="12"/>
  <c r="I85" i="12"/>
  <c r="H85" i="12"/>
  <c r="H92" i="12" s="1"/>
  <c r="G85" i="12"/>
  <c r="G92" i="12" s="1"/>
  <c r="F85" i="12"/>
  <c r="E85" i="12"/>
  <c r="D82" i="12"/>
  <c r="J81" i="12"/>
  <c r="J80" i="12"/>
  <c r="I75" i="12"/>
  <c r="H75" i="12"/>
  <c r="G75" i="12"/>
  <c r="F75" i="12"/>
  <c r="E75" i="12"/>
  <c r="J71" i="12"/>
  <c r="I70" i="12"/>
  <c r="I68" i="12"/>
  <c r="H68" i="12"/>
  <c r="H70" i="12" s="1"/>
  <c r="G68" i="12"/>
  <c r="G70" i="12" s="1"/>
  <c r="F68" i="12"/>
  <c r="E68" i="12"/>
  <c r="C66" i="12"/>
  <c r="H66" i="12" s="1"/>
  <c r="I65" i="12"/>
  <c r="H65" i="12"/>
  <c r="G65" i="12"/>
  <c r="G97" i="12" s="1"/>
  <c r="F65" i="12"/>
  <c r="E65" i="12"/>
  <c r="D65" i="12"/>
  <c r="I61" i="12"/>
  <c r="H61" i="12"/>
  <c r="G61" i="12"/>
  <c r="F61" i="12"/>
  <c r="E61" i="12"/>
  <c r="D61" i="12"/>
  <c r="B60" i="12"/>
  <c r="I57" i="12"/>
  <c r="H57" i="12"/>
  <c r="G57" i="12"/>
  <c r="F57" i="12"/>
  <c r="E57" i="12"/>
  <c r="D57" i="12"/>
  <c r="P56" i="12"/>
  <c r="O56" i="12"/>
  <c r="K56" i="12"/>
  <c r="B56" i="12"/>
  <c r="K55" i="12"/>
  <c r="B55" i="12"/>
  <c r="B62" i="12" s="1"/>
  <c r="K53" i="12"/>
  <c r="J49" i="12"/>
  <c r="I49" i="12"/>
  <c r="H49" i="12"/>
  <c r="G49" i="12"/>
  <c r="F49" i="12"/>
  <c r="E49" i="12"/>
  <c r="D49" i="12"/>
  <c r="C49" i="12"/>
  <c r="B46" i="12"/>
  <c r="B45" i="12"/>
  <c r="B44" i="12"/>
  <c r="J41" i="12"/>
  <c r="H41" i="12"/>
  <c r="F41" i="12"/>
  <c r="B42" i="12"/>
  <c r="I41" i="12"/>
  <c r="G41" i="12"/>
  <c r="E41" i="12"/>
  <c r="D41" i="12"/>
  <c r="C41" i="12"/>
  <c r="B40" i="12"/>
  <c r="B39" i="12"/>
  <c r="B38" i="12"/>
  <c r="B37" i="12"/>
  <c r="K36" i="12"/>
  <c r="J36" i="12"/>
  <c r="I36" i="12"/>
  <c r="H36" i="12"/>
  <c r="G36" i="12"/>
  <c r="F36" i="12"/>
  <c r="E36" i="12"/>
  <c r="D36" i="12"/>
  <c r="C36" i="12"/>
  <c r="B36" i="12" s="1"/>
  <c r="J35" i="12"/>
  <c r="J30" i="12" s="1"/>
  <c r="I35" i="12"/>
  <c r="I31" i="12" s="1"/>
  <c r="H35" i="12"/>
  <c r="H30" i="12" s="1"/>
  <c r="G35" i="12"/>
  <c r="G14" i="12" s="1"/>
  <c r="F35" i="12"/>
  <c r="F30" i="12" s="1"/>
  <c r="E35" i="12"/>
  <c r="D35" i="12"/>
  <c r="D30" i="12" s="1"/>
  <c r="C35" i="12"/>
  <c r="B35" i="12" s="1"/>
  <c r="B34" i="12"/>
  <c r="J28" i="12"/>
  <c r="H28" i="12"/>
  <c r="E31" i="12"/>
  <c r="B33" i="12"/>
  <c r="G31" i="12"/>
  <c r="D27" i="12"/>
  <c r="B32" i="12"/>
  <c r="H31" i="12"/>
  <c r="F31" i="12"/>
  <c r="D31" i="12"/>
  <c r="I30" i="12"/>
  <c r="G30" i="12"/>
  <c r="E30" i="12"/>
  <c r="J29" i="12"/>
  <c r="I29" i="12"/>
  <c r="H29" i="12"/>
  <c r="G29" i="12"/>
  <c r="F29" i="12"/>
  <c r="E29" i="12"/>
  <c r="D29" i="12"/>
  <c r="C29" i="12"/>
  <c r="I28" i="12"/>
  <c r="G28" i="12"/>
  <c r="F28" i="12"/>
  <c r="D28" i="12"/>
  <c r="C28" i="12"/>
  <c r="J27" i="12"/>
  <c r="H27" i="12"/>
  <c r="F27" i="12"/>
  <c r="E27" i="12"/>
  <c r="C27" i="12"/>
  <c r="J24" i="12"/>
  <c r="I24" i="12"/>
  <c r="I20" i="12" s="1"/>
  <c r="H24" i="12"/>
  <c r="H20" i="12" s="1"/>
  <c r="G24" i="12"/>
  <c r="G20" i="12" s="1"/>
  <c r="F24" i="12"/>
  <c r="E24" i="12"/>
  <c r="D24" i="12"/>
  <c r="C24" i="12"/>
  <c r="B24" i="12" s="1"/>
  <c r="B23" i="12"/>
  <c r="B22" i="12"/>
  <c r="B21" i="12"/>
  <c r="J20" i="12"/>
  <c r="F20" i="12"/>
  <c r="E20" i="12"/>
  <c r="D20" i="12"/>
  <c r="C20" i="12"/>
  <c r="J19" i="12"/>
  <c r="I19" i="12"/>
  <c r="H19" i="12"/>
  <c r="H9" i="12" s="1"/>
  <c r="G19" i="12"/>
  <c r="F19" i="12"/>
  <c r="E19" i="12"/>
  <c r="D19" i="12"/>
  <c r="D9" i="12" s="1"/>
  <c r="C19" i="12"/>
  <c r="B19" i="12" s="1"/>
  <c r="J18" i="12"/>
  <c r="J8" i="12" s="1"/>
  <c r="I18" i="12"/>
  <c r="I8" i="12" s="1"/>
  <c r="H18" i="12"/>
  <c r="G18" i="12"/>
  <c r="G8" i="12" s="1"/>
  <c r="F18" i="12"/>
  <c r="E18" i="12"/>
  <c r="E8" i="12" s="1"/>
  <c r="D18" i="12"/>
  <c r="C18" i="12"/>
  <c r="J17" i="12"/>
  <c r="I17" i="12"/>
  <c r="I7" i="12" s="1"/>
  <c r="H17" i="12"/>
  <c r="G17" i="12"/>
  <c r="F17" i="12"/>
  <c r="B17" i="12"/>
  <c r="D17" i="12"/>
  <c r="D15" i="12" s="1"/>
  <c r="C17" i="12"/>
  <c r="J16" i="12"/>
  <c r="J6" i="12" s="1"/>
  <c r="I16" i="12"/>
  <c r="H16" i="12"/>
  <c r="G16" i="12"/>
  <c r="G15" i="12" s="1"/>
  <c r="F16" i="12"/>
  <c r="E16" i="12"/>
  <c r="D16" i="12"/>
  <c r="C16" i="12"/>
  <c r="J15" i="12"/>
  <c r="J14" i="12"/>
  <c r="I14" i="12"/>
  <c r="I9" i="12" s="1"/>
  <c r="H14" i="12"/>
  <c r="F14" i="12"/>
  <c r="F10" i="12" s="1"/>
  <c r="E14" i="12"/>
  <c r="D14" i="12"/>
  <c r="B13" i="12"/>
  <c r="F7" i="12"/>
  <c r="D7" i="12"/>
  <c r="B12" i="12"/>
  <c r="H10" i="12"/>
  <c r="J10" i="12"/>
  <c r="E9" i="12"/>
  <c r="H8" i="12"/>
  <c r="F8" i="12"/>
  <c r="D8" i="12"/>
  <c r="G7" i="12"/>
  <c r="E7" i="12"/>
  <c r="C7" i="12"/>
  <c r="F6" i="12"/>
  <c r="I69" i="11"/>
  <c r="H69" i="11"/>
  <c r="G69" i="11"/>
  <c r="E69" i="11"/>
  <c r="H59" i="11"/>
  <c r="G59" i="11"/>
  <c r="E58" i="11"/>
  <c r="G58" i="11" s="1"/>
  <c r="H14" i="11" s="1"/>
  <c r="E57" i="11"/>
  <c r="H57" i="11" s="1"/>
  <c r="G15" i="11" s="1"/>
  <c r="E56" i="11"/>
  <c r="G56" i="11" s="1"/>
  <c r="E14" i="11" s="1"/>
  <c r="P54" i="11"/>
  <c r="O54" i="11"/>
  <c r="N54" i="11"/>
  <c r="M54" i="11"/>
  <c r="L54" i="11"/>
  <c r="K54" i="11"/>
  <c r="J54" i="11"/>
  <c r="I54" i="11"/>
  <c r="H54" i="11"/>
  <c r="G54" i="11"/>
  <c r="F54" i="11"/>
  <c r="E54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I50" i="11"/>
  <c r="H50" i="11"/>
  <c r="G50" i="11"/>
  <c r="E50" i="11"/>
  <c r="I43" i="11"/>
  <c r="H43" i="11"/>
  <c r="G43" i="11"/>
  <c r="E43" i="11"/>
  <c r="I42" i="11"/>
  <c r="H42" i="11"/>
  <c r="G42" i="11"/>
  <c r="E42" i="11"/>
  <c r="R41" i="11"/>
  <c r="T40" i="11"/>
  <c r="R40" i="11"/>
  <c r="P39" i="11"/>
  <c r="O39" i="11"/>
  <c r="N39" i="11"/>
  <c r="M39" i="11"/>
  <c r="L39" i="11"/>
  <c r="J39" i="11"/>
  <c r="L38" i="11"/>
  <c r="M38" i="11" s="1"/>
  <c r="N38" i="11" s="1"/>
  <c r="O38" i="11" s="1"/>
  <c r="P38" i="11" s="1"/>
  <c r="J69" i="11"/>
  <c r="R37" i="11"/>
  <c r="F37" i="11"/>
  <c r="L36" i="11"/>
  <c r="M36" i="11" s="1"/>
  <c r="N36" i="11" s="1"/>
  <c r="O36" i="11" s="1"/>
  <c r="P36" i="11" s="1"/>
  <c r="S35" i="11"/>
  <c r="G35" i="11"/>
  <c r="E35" i="11"/>
  <c r="H34" i="11"/>
  <c r="G34" i="11"/>
  <c r="E34" i="11"/>
  <c r="S33" i="11"/>
  <c r="R33" i="11"/>
  <c r="R31" i="11"/>
  <c r="G31" i="11"/>
  <c r="F31" i="11" s="1"/>
  <c r="E31" i="11"/>
  <c r="I30" i="11"/>
  <c r="R30" i="11" s="1"/>
  <c r="H30" i="11"/>
  <c r="G30" i="11"/>
  <c r="F30" i="11" s="1"/>
  <c r="E30" i="11"/>
  <c r="P29" i="11"/>
  <c r="O29" i="11"/>
  <c r="N29" i="11"/>
  <c r="M29" i="11"/>
  <c r="L29" i="11"/>
  <c r="J29" i="11"/>
  <c r="H29" i="11"/>
  <c r="E29" i="11"/>
  <c r="H28" i="11"/>
  <c r="H35" i="11" s="1"/>
  <c r="J50" i="11"/>
  <c r="I26" i="11"/>
  <c r="G26" i="11"/>
  <c r="G33" i="11" s="1"/>
  <c r="E26" i="11"/>
  <c r="E33" i="11" s="1"/>
  <c r="R21" i="11"/>
  <c r="P19" i="11"/>
  <c r="O19" i="11"/>
  <c r="N19" i="11"/>
  <c r="N17" i="11" s="1"/>
  <c r="V18" i="11"/>
  <c r="P18" i="11"/>
  <c r="F18" i="11" s="1"/>
  <c r="I17" i="11"/>
  <c r="L16" i="11"/>
  <c r="P19" i="9" s="1"/>
  <c r="T14" i="11"/>
  <c r="Q13" i="11"/>
  <c r="E26" i="12" l="1"/>
  <c r="J442" i="5"/>
  <c r="J440" i="5" s="1"/>
  <c r="K442" i="5"/>
  <c r="K440" i="5" s="1"/>
  <c r="Q439" i="5"/>
  <c r="G442" i="5"/>
  <c r="G440" i="5" s="1"/>
  <c r="G439" i="5" s="1"/>
  <c r="I440" i="5"/>
  <c r="B59" i="13"/>
  <c r="E58" i="13"/>
  <c r="H26" i="11"/>
  <c r="D58" i="13"/>
  <c r="F58" i="13"/>
  <c r="M13" i="5"/>
  <c r="G10" i="12"/>
  <c r="G9" i="12"/>
  <c r="B16" i="12"/>
  <c r="F36" i="11"/>
  <c r="R36" i="11"/>
  <c r="H45" i="11"/>
  <c r="C14" i="12"/>
  <c r="B18" i="12"/>
  <c r="F9" i="12"/>
  <c r="J9" i="12"/>
  <c r="C30" i="12"/>
  <c r="B30" i="12" s="1"/>
  <c r="C31" i="12"/>
  <c r="J31" i="12"/>
  <c r="H97" i="12"/>
  <c r="I97" i="12" s="1"/>
  <c r="E92" i="12"/>
  <c r="I92" i="12"/>
  <c r="Q13" i="5"/>
  <c r="Q12" i="5" s="1"/>
  <c r="H15" i="12"/>
  <c r="E15" i="12"/>
  <c r="I15" i="12"/>
  <c r="J26" i="12"/>
  <c r="K60" i="12"/>
  <c r="H67" i="12"/>
  <c r="H72" i="12" s="1"/>
  <c r="J68" i="12"/>
  <c r="K68" i="12" s="1"/>
  <c r="E69" i="12" s="1"/>
  <c r="F92" i="12"/>
  <c r="P85" i="12"/>
  <c r="G58" i="13"/>
  <c r="H93" i="13"/>
  <c r="I93" i="13" s="1"/>
  <c r="F15" i="12"/>
  <c r="F26" i="12"/>
  <c r="P17" i="11"/>
  <c r="F19" i="11"/>
  <c r="G29" i="11"/>
  <c r="I29" i="11"/>
  <c r="F39" i="11"/>
  <c r="Q42" i="11"/>
  <c r="J45" i="11"/>
  <c r="I45" i="11"/>
  <c r="I58" i="13"/>
  <c r="H7" i="12"/>
  <c r="J7" i="12"/>
  <c r="H26" i="12"/>
  <c r="B29" i="12"/>
  <c r="D26" i="12"/>
  <c r="H6" i="12"/>
  <c r="H5" i="12" s="1"/>
  <c r="I10" i="12"/>
  <c r="B49" i="12"/>
  <c r="K57" i="12"/>
  <c r="R39" i="11"/>
  <c r="B41" i="12"/>
  <c r="B43" i="12"/>
  <c r="K10" i="13"/>
  <c r="H58" i="13"/>
  <c r="K31" i="13"/>
  <c r="E10" i="12"/>
  <c r="B20" i="12"/>
  <c r="K31" i="12"/>
  <c r="K55" i="13"/>
  <c r="K57" i="13" s="1"/>
  <c r="F29" i="11"/>
  <c r="R29" i="11"/>
  <c r="Q22" i="6"/>
  <c r="W722" i="5"/>
  <c r="G721" i="5"/>
  <c r="N13" i="5"/>
  <c r="W13" i="5"/>
  <c r="W12" i="5" s="1"/>
  <c r="J13" i="5"/>
  <c r="P13" i="5"/>
  <c r="G725" i="5"/>
  <c r="G723" i="5" s="1"/>
  <c r="L335" i="5"/>
  <c r="I254" i="5"/>
  <c r="I15" i="5"/>
  <c r="I13" i="5" s="1"/>
  <c r="K17" i="5"/>
  <c r="K13" i="5" s="1"/>
  <c r="K158" i="5"/>
  <c r="G254" i="5"/>
  <c r="L13" i="5"/>
  <c r="L12" i="5" s="1"/>
  <c r="H13" i="5"/>
  <c r="G13" i="5" s="1"/>
  <c r="G12" i="5" s="1"/>
  <c r="K12" i="5" s="1"/>
  <c r="G15" i="5"/>
  <c r="E67" i="13"/>
  <c r="J66" i="13"/>
  <c r="J88" i="13"/>
  <c r="E63" i="13"/>
  <c r="E64" i="13" s="1"/>
  <c r="G63" i="13"/>
  <c r="G64" i="13" s="1"/>
  <c r="G69" i="13" s="1"/>
  <c r="I63" i="13"/>
  <c r="I64" i="13" s="1"/>
  <c r="I69" i="13" s="1"/>
  <c r="F67" i="13"/>
  <c r="J72" i="13"/>
  <c r="E85" i="13"/>
  <c r="G85" i="13"/>
  <c r="I85" i="13"/>
  <c r="E89" i="13"/>
  <c r="G89" i="13"/>
  <c r="I89" i="13"/>
  <c r="F63" i="13"/>
  <c r="F64" i="13" s="1"/>
  <c r="F69" i="13" s="1"/>
  <c r="J82" i="13"/>
  <c r="J85" i="13" s="1"/>
  <c r="D86" i="13" s="1"/>
  <c r="F85" i="13"/>
  <c r="H85" i="13"/>
  <c r="F89" i="13"/>
  <c r="F5" i="12"/>
  <c r="J5" i="12"/>
  <c r="C6" i="12"/>
  <c r="E6" i="12"/>
  <c r="E5" i="12" s="1"/>
  <c r="G6" i="12"/>
  <c r="G5" i="12" s="1"/>
  <c r="I6" i="12"/>
  <c r="I5" i="12" s="1"/>
  <c r="C8" i="12"/>
  <c r="B8" i="12" s="1"/>
  <c r="C10" i="12"/>
  <c r="C15" i="12"/>
  <c r="B15" i="12" s="1"/>
  <c r="B28" i="12"/>
  <c r="B31" i="12"/>
  <c r="U61" i="12"/>
  <c r="A57" i="12"/>
  <c r="I58" i="12"/>
  <c r="G58" i="12"/>
  <c r="E58" i="12"/>
  <c r="F58" i="12"/>
  <c r="H58" i="12"/>
  <c r="J92" i="12"/>
  <c r="E70" i="12"/>
  <c r="J69" i="12"/>
  <c r="G27" i="12"/>
  <c r="I27" i="12"/>
  <c r="I26" i="12" s="1"/>
  <c r="D58" i="12"/>
  <c r="E66" i="12"/>
  <c r="G66" i="12"/>
  <c r="I66" i="12"/>
  <c r="I67" i="12" s="1"/>
  <c r="I72" i="12" s="1"/>
  <c r="G67" i="12"/>
  <c r="G72" i="12" s="1"/>
  <c r="F70" i="12"/>
  <c r="J75" i="12"/>
  <c r="F88" i="12"/>
  <c r="H88" i="12"/>
  <c r="E89" i="12"/>
  <c r="G89" i="12"/>
  <c r="I89" i="12"/>
  <c r="E93" i="12"/>
  <c r="G93" i="12"/>
  <c r="I93" i="12"/>
  <c r="F66" i="12"/>
  <c r="F67" i="12" s="1"/>
  <c r="J85" i="12"/>
  <c r="J89" i="12" s="1"/>
  <c r="E88" i="12"/>
  <c r="G88" i="12"/>
  <c r="I88" i="12"/>
  <c r="F89" i="12"/>
  <c r="H89" i="12"/>
  <c r="D90" i="12"/>
  <c r="F93" i="12"/>
  <c r="L69" i="11"/>
  <c r="M16" i="11"/>
  <c r="Q19" i="9" s="1"/>
  <c r="H60" i="11"/>
  <c r="G60" i="11"/>
  <c r="T38" i="11"/>
  <c r="R38" i="11"/>
  <c r="F38" i="11"/>
  <c r="R19" i="11"/>
  <c r="T19" i="11"/>
  <c r="J26" i="11"/>
  <c r="J34" i="11"/>
  <c r="J33" i="11" s="1"/>
  <c r="L42" i="11"/>
  <c r="M42" i="11" s="1"/>
  <c r="N42" i="11" s="1"/>
  <c r="O42" i="11" s="1"/>
  <c r="P42" i="11" s="1"/>
  <c r="F42" i="11" s="1"/>
  <c r="H56" i="11"/>
  <c r="E15" i="11" s="1"/>
  <c r="G57" i="11"/>
  <c r="G14" i="11" s="1"/>
  <c r="H58" i="11"/>
  <c r="H15" i="11" s="1"/>
  <c r="K69" i="11"/>
  <c r="R18" i="11"/>
  <c r="T18" i="11"/>
  <c r="U18" i="11" s="1"/>
  <c r="F43" i="11"/>
  <c r="U58" i="13" l="1"/>
  <c r="B14" i="12"/>
  <c r="C9" i="12"/>
  <c r="B9" i="12" s="1"/>
  <c r="F72" i="12"/>
  <c r="B7" i="12"/>
  <c r="M7" i="12" s="1"/>
  <c r="C26" i="12"/>
  <c r="D10" i="12"/>
  <c r="B10" i="12" s="1"/>
  <c r="D6" i="12"/>
  <c r="D5" i="12" s="1"/>
  <c r="B11" i="12"/>
  <c r="K58" i="12"/>
  <c r="G722" i="5"/>
  <c r="H94" i="13"/>
  <c r="H86" i="13"/>
  <c r="F94" i="13"/>
  <c r="F86" i="13"/>
  <c r="I94" i="13"/>
  <c r="I86" i="13"/>
  <c r="E94" i="13"/>
  <c r="E86" i="13"/>
  <c r="J63" i="13"/>
  <c r="J67" i="13"/>
  <c r="J89" i="13"/>
  <c r="G94" i="13"/>
  <c r="G86" i="13"/>
  <c r="E69" i="13"/>
  <c r="J69" i="13" s="1"/>
  <c r="J64" i="13"/>
  <c r="H98" i="12"/>
  <c r="H90" i="12"/>
  <c r="J88" i="12"/>
  <c r="I98" i="12"/>
  <c r="I90" i="12"/>
  <c r="E98" i="12"/>
  <c r="E90" i="12"/>
  <c r="J66" i="12"/>
  <c r="K10" i="12"/>
  <c r="F98" i="12"/>
  <c r="F90" i="12"/>
  <c r="J90" i="12" s="1"/>
  <c r="J93" i="12"/>
  <c r="G98" i="12"/>
  <c r="G90" i="12"/>
  <c r="G26" i="12"/>
  <c r="B26" i="12" s="1"/>
  <c r="B27" i="12"/>
  <c r="J70" i="12"/>
  <c r="E67" i="12"/>
  <c r="M8" i="12"/>
  <c r="AA8" i="12"/>
  <c r="C5" i="12"/>
  <c r="B5" i="12" s="1"/>
  <c r="S18" i="11"/>
  <c r="V13" i="11"/>
  <c r="L35" i="11"/>
  <c r="W13" i="11"/>
  <c r="K50" i="11"/>
  <c r="T43" i="11"/>
  <c r="U19" i="11" s="1"/>
  <c r="E62" i="11"/>
  <c r="G61" i="11"/>
  <c r="K14" i="11" s="1"/>
  <c r="H61" i="11"/>
  <c r="N16" i="11"/>
  <c r="M69" i="11"/>
  <c r="S19" i="11"/>
  <c r="AA7" i="12" l="1"/>
  <c r="J86" i="13"/>
  <c r="B6" i="12"/>
  <c r="M6" i="12" s="1"/>
  <c r="J94" i="13"/>
  <c r="K67" i="13"/>
  <c r="K70" i="12"/>
  <c r="AA5" i="12"/>
  <c r="M5" i="12"/>
  <c r="E72" i="12"/>
  <c r="J72" i="12" s="1"/>
  <c r="J67" i="12"/>
  <c r="J98" i="12"/>
  <c r="N69" i="11"/>
  <c r="O16" i="11"/>
  <c r="H62" i="11"/>
  <c r="L15" i="11" s="1"/>
  <c r="P18" i="9" s="1"/>
  <c r="E63" i="11"/>
  <c r="G62" i="11"/>
  <c r="L14" i="11" s="1"/>
  <c r="P17" i="9" s="1"/>
  <c r="M35" i="11"/>
  <c r="L50" i="11"/>
  <c r="L34" i="11"/>
  <c r="L26" i="11"/>
  <c r="L33" i="11" l="1"/>
  <c r="P29" i="9"/>
  <c r="AA6" i="12"/>
  <c r="H73" i="13"/>
  <c r="E73" i="13"/>
  <c r="I73" i="13"/>
  <c r="F73" i="13"/>
  <c r="G73" i="13"/>
  <c r="E79" i="12"/>
  <c r="E76" i="12"/>
  <c r="I76" i="12"/>
  <c r="F76" i="12"/>
  <c r="F79" i="12" s="1"/>
  <c r="F82" i="12" s="1"/>
  <c r="G76" i="12"/>
  <c r="H76" i="12"/>
  <c r="M34" i="11"/>
  <c r="M26" i="11"/>
  <c r="M50" i="11"/>
  <c r="E64" i="11"/>
  <c r="G63" i="11"/>
  <c r="M14" i="11" s="1"/>
  <c r="Q17" i="9" s="1"/>
  <c r="H63" i="11"/>
  <c r="M15" i="11" s="1"/>
  <c r="Q18" i="9" s="1"/>
  <c r="P16" i="11"/>
  <c r="O69" i="11"/>
  <c r="N35" i="11"/>
  <c r="M33" i="11" l="1"/>
  <c r="Q29" i="9"/>
  <c r="H76" i="13"/>
  <c r="H79" i="13" s="1"/>
  <c r="G76" i="13"/>
  <c r="G79" i="13" s="1"/>
  <c r="J73" i="13"/>
  <c r="I74" i="13" s="1"/>
  <c r="F76" i="13"/>
  <c r="F79" i="13" s="1"/>
  <c r="E76" i="13"/>
  <c r="I76" i="13"/>
  <c r="I79" i="13" s="1"/>
  <c r="E82" i="12"/>
  <c r="I79" i="12"/>
  <c r="I82" i="12" s="1"/>
  <c r="J76" i="12"/>
  <c r="I77" i="12" s="1"/>
  <c r="H79" i="12"/>
  <c r="H82" i="12" s="1"/>
  <c r="G79" i="12"/>
  <c r="G82" i="12" s="1"/>
  <c r="O35" i="11"/>
  <c r="P69" i="11"/>
  <c r="F16" i="11"/>
  <c r="F69" i="11" s="1"/>
  <c r="T16" i="11"/>
  <c r="U16" i="11" s="1"/>
  <c r="R16" i="11"/>
  <c r="N50" i="11"/>
  <c r="N34" i="11"/>
  <c r="N26" i="11"/>
  <c r="N33" i="11" s="1"/>
  <c r="H64" i="11"/>
  <c r="N15" i="11" s="1"/>
  <c r="E65" i="11"/>
  <c r="G64" i="11"/>
  <c r="N14" i="11" s="1"/>
  <c r="E77" i="12" l="1"/>
  <c r="G77" i="12"/>
  <c r="H74" i="13"/>
  <c r="H77" i="12"/>
  <c r="E74" i="13"/>
  <c r="G74" i="13"/>
  <c r="J74" i="13"/>
  <c r="E79" i="13"/>
  <c r="J76" i="13"/>
  <c r="F74" i="13"/>
  <c r="J79" i="12"/>
  <c r="F77" i="12"/>
  <c r="J77" i="12" s="1"/>
  <c r="O34" i="11"/>
  <c r="O26" i="11"/>
  <c r="O33" i="11" s="1"/>
  <c r="O50" i="11"/>
  <c r="E66" i="11"/>
  <c r="G65" i="11"/>
  <c r="O14" i="11" s="1"/>
  <c r="H65" i="11"/>
  <c r="O15" i="11" s="1"/>
  <c r="S16" i="11"/>
  <c r="U13" i="11"/>
  <c r="P35" i="11"/>
  <c r="R28" i="11"/>
  <c r="S28" i="11"/>
  <c r="F28" i="11"/>
  <c r="F35" i="11" s="1"/>
  <c r="K76" i="13" l="1"/>
  <c r="J79" i="13"/>
  <c r="E80" i="13"/>
  <c r="K79" i="12"/>
  <c r="J82" i="12"/>
  <c r="P50" i="11"/>
  <c r="S27" i="11"/>
  <c r="P34" i="11"/>
  <c r="R27" i="11"/>
  <c r="F27" i="11"/>
  <c r="P26" i="11"/>
  <c r="P33" i="11" s="1"/>
  <c r="H66" i="11"/>
  <c r="P15" i="11" s="1"/>
  <c r="G66" i="11"/>
  <c r="P14" i="11" s="1"/>
  <c r="D80" i="13" l="1"/>
  <c r="I80" i="13"/>
  <c r="H80" i="13"/>
  <c r="F80" i="13"/>
  <c r="G80" i="13"/>
  <c r="D83" i="12"/>
  <c r="F83" i="12"/>
  <c r="H83" i="12"/>
  <c r="E83" i="12"/>
  <c r="G83" i="12"/>
  <c r="I83" i="12"/>
  <c r="R15" i="11"/>
  <c r="F15" i="11"/>
  <c r="F50" i="11"/>
  <c r="F34" i="11"/>
  <c r="R14" i="11"/>
  <c r="F14" i="11"/>
  <c r="S14" i="11"/>
  <c r="R26" i="11"/>
  <c r="F26" i="11"/>
  <c r="F33" i="11" s="1"/>
  <c r="J80" i="13" l="1"/>
  <c r="J83" i="12"/>
  <c r="F17" i="9" l="1"/>
  <c r="F18" i="9"/>
  <c r="F19" i="9"/>
  <c r="F20" i="9"/>
  <c r="F21" i="9"/>
  <c r="J29" i="9"/>
  <c r="F29" i="9" s="1"/>
  <c r="F30" i="9"/>
  <c r="F31" i="9"/>
  <c r="J33" i="9"/>
  <c r="J32" i="9" s="1"/>
  <c r="J36" i="9"/>
  <c r="J37" i="9"/>
  <c r="J38" i="9"/>
  <c r="F39" i="9"/>
  <c r="F40" i="9"/>
  <c r="F41" i="9"/>
  <c r="F42" i="9"/>
  <c r="F43" i="9"/>
  <c r="F44" i="9"/>
  <c r="Q163" i="6" l="1"/>
  <c r="Q162" i="6"/>
  <c r="Q181" i="6" l="1"/>
  <c r="Q180" i="6"/>
  <c r="Q174" i="6"/>
  <c r="Q173" i="6"/>
  <c r="Q171" i="6"/>
  <c r="W174" i="6" l="1"/>
  <c r="W173" i="6"/>
  <c r="W120" i="6"/>
  <c r="V174" i="6" l="1"/>
  <c r="V134" i="6"/>
  <c r="V181" i="6"/>
  <c r="W181" i="6"/>
  <c r="Q148" i="6"/>
  <c r="V180" i="6"/>
  <c r="W180" i="6"/>
  <c r="V148" i="6" l="1"/>
  <c r="W148" i="6"/>
  <c r="W179" i="6"/>
  <c r="W172" i="6"/>
  <c r="Q172" i="6"/>
  <c r="V173" i="6"/>
  <c r="V172" i="6" s="1"/>
  <c r="Q179" i="6"/>
  <c r="V179" i="6"/>
  <c r="V127" i="6" l="1"/>
  <c r="Q127" i="6"/>
  <c r="V313" i="6" l="1"/>
  <c r="V315" i="6" s="1"/>
  <c r="V309" i="6" s="1"/>
  <c r="W313" i="6"/>
  <c r="W309" i="6" s="1"/>
  <c r="V370" i="6"/>
  <c r="W370" i="6"/>
  <c r="V367" i="6"/>
  <c r="W367" i="6"/>
  <c r="Q368" i="6"/>
  <c r="Q367" i="6" s="1"/>
  <c r="V364" i="6"/>
  <c r="W364" i="6"/>
  <c r="Q365" i="6"/>
  <c r="Q311" i="6" l="1"/>
  <c r="Q364" i="6"/>
  <c r="V361" i="6"/>
  <c r="W361" i="6"/>
  <c r="Q361" i="6"/>
  <c r="V358" i="6"/>
  <c r="W358" i="6"/>
  <c r="Q358" i="6"/>
  <c r="Q315" i="6" l="1"/>
  <c r="Q309" i="6" s="1"/>
  <c r="W139" i="6"/>
  <c r="W112" i="6"/>
  <c r="V112" i="6"/>
  <c r="W422" i="6" l="1"/>
  <c r="V376" i="6"/>
  <c r="W376" i="6"/>
  <c r="W270" i="6"/>
  <c r="W268" i="6" s="1"/>
  <c r="W267" i="6" s="1"/>
  <c r="W260" i="6"/>
  <c r="W244" i="6"/>
  <c r="Q236" i="6"/>
  <c r="W236" i="6"/>
  <c r="W195" i="6"/>
  <c r="W193" i="6" s="1"/>
  <c r="W387" i="6" l="1"/>
  <c r="W421" i="6" s="1"/>
  <c r="W188" i="6"/>
  <c r="V188" i="6"/>
  <c r="Q188" i="6"/>
  <c r="T147" i="6" s="1"/>
  <c r="W141" i="6"/>
  <c r="W116" i="6"/>
  <c r="V141" i="6"/>
  <c r="V116" i="6"/>
  <c r="Q141" i="6"/>
  <c r="Q116" i="6"/>
  <c r="W70" i="6"/>
  <c r="W69" i="6"/>
  <c r="W184" i="6"/>
  <c r="W177" i="6"/>
  <c r="W175" i="6"/>
  <c r="W171" i="6"/>
  <c r="Q170" i="6"/>
  <c r="W165" i="6"/>
  <c r="W160" i="6"/>
  <c r="W159" i="6"/>
  <c r="W157" i="6"/>
  <c r="W154" i="6"/>
  <c r="T145" i="6" l="1"/>
  <c r="T94" i="6"/>
  <c r="W152" i="6"/>
  <c r="W153" i="6"/>
  <c r="W143" i="6"/>
  <c r="W68" i="6"/>
  <c r="Q131" i="6"/>
  <c r="W138" i="6"/>
  <c r="W135" i="6"/>
  <c r="Q135" i="6"/>
  <c r="Q134" i="6"/>
  <c r="V130" i="6"/>
  <c r="W130" i="6"/>
  <c r="Q130" i="6"/>
  <c r="T92" i="6" l="1"/>
  <c r="T384" i="6"/>
  <c r="T417" i="6" s="1"/>
  <c r="W147" i="6"/>
  <c r="W145" i="6" s="1"/>
  <c r="T416" i="6" l="1"/>
  <c r="T382" i="6"/>
  <c r="W144" i="6"/>
  <c r="AC105" i="6"/>
  <c r="Q128" i="6"/>
  <c r="Q126" i="6" s="1"/>
  <c r="W125" i="6"/>
  <c r="W124" i="6"/>
  <c r="V128" i="6" l="1"/>
  <c r="V126" i="6" s="1"/>
  <c r="V104" i="6"/>
  <c r="V95" i="6" s="1"/>
  <c r="V385" i="6" s="1"/>
  <c r="V418" i="6" s="1"/>
  <c r="W126" i="6"/>
  <c r="W104" i="6"/>
  <c r="W95" i="6" s="1"/>
  <c r="W385" i="6" s="1"/>
  <c r="W418" i="6" s="1"/>
  <c r="Q104" i="6"/>
  <c r="Q95" i="6" s="1"/>
  <c r="Q385" i="6" s="1"/>
  <c r="Q418" i="6" s="1"/>
  <c r="V119" i="6"/>
  <c r="W119" i="6"/>
  <c r="Q119" i="6"/>
  <c r="V117" i="6"/>
  <c r="W117" i="6"/>
  <c r="Q117" i="6"/>
  <c r="Q114" i="6"/>
  <c r="V109" i="6"/>
  <c r="W109" i="6"/>
  <c r="W28" i="6" l="1"/>
  <c r="W103" i="6"/>
  <c r="W113" i="6"/>
  <c r="W101" i="6" l="1"/>
  <c r="AC104" i="6" s="1"/>
  <c r="AC106" i="6" s="1"/>
  <c r="AC108" i="6" s="1"/>
  <c r="W94" i="6"/>
  <c r="W99" i="6"/>
  <c r="W65" i="6"/>
  <c r="W53" i="6"/>
  <c r="W92" i="6" l="1"/>
  <c r="W384" i="6"/>
  <c r="AB384" i="6" s="1"/>
  <c r="W100" i="6"/>
  <c r="V54" i="6"/>
  <c r="Q48" i="6"/>
  <c r="V48" i="6"/>
  <c r="W48" i="6"/>
  <c r="W63" i="6"/>
  <c r="W55" i="6"/>
  <c r="W382" i="6" l="1"/>
  <c r="Q43" i="6"/>
  <c r="W43" i="6"/>
  <c r="W47" i="6" l="1"/>
  <c r="W42" i="6"/>
  <c r="W38" i="6"/>
  <c r="V29" i="6"/>
  <c r="W29" i="6"/>
  <c r="W20" i="6" s="1"/>
  <c r="W417" i="6" s="1"/>
  <c r="Q29" i="6"/>
  <c r="W82" i="6" l="1"/>
  <c r="W22" i="6"/>
  <c r="W18" i="6" s="1"/>
  <c r="V36" i="6"/>
  <c r="W31" i="6"/>
  <c r="W84" i="6" l="1"/>
  <c r="W419" i="6" s="1"/>
  <c r="W16" i="6"/>
  <c r="M17" i="11" s="1"/>
  <c r="Q20" i="9" s="1"/>
  <c r="W17" i="6" l="1"/>
  <c r="W416" i="6"/>
  <c r="W79" i="6"/>
  <c r="W192" i="6" l="1"/>
  <c r="L290" i="6" l="1"/>
  <c r="L301" i="6"/>
  <c r="L304" i="6"/>
  <c r="L302" i="6"/>
  <c r="L299" i="6"/>
  <c r="L298" i="6"/>
  <c r="L297" i="6"/>
  <c r="L296" i="6"/>
  <c r="L295" i="6"/>
  <c r="L294" i="6"/>
  <c r="L293" i="6"/>
  <c r="L292" i="6"/>
  <c r="L291" i="6"/>
  <c r="L289" i="6"/>
  <c r="L288" i="6"/>
  <c r="L287" i="6"/>
  <c r="L286" i="6"/>
  <c r="L285" i="6"/>
  <c r="L284" i="6"/>
  <c r="L283" i="6"/>
  <c r="L282" i="6"/>
  <c r="L280" i="6"/>
  <c r="L279" i="6"/>
  <c r="L278" i="6"/>
  <c r="L277" i="6"/>
  <c r="L276" i="6"/>
  <c r="L275" i="6"/>
  <c r="L300" i="6" l="1"/>
  <c r="L281" i="6"/>
  <c r="L270" i="6" l="1"/>
  <c r="L370" i="6" l="1"/>
  <c r="L364" i="6"/>
  <c r="L361" i="6"/>
  <c r="L358" i="6"/>
  <c r="L357" i="6"/>
  <c r="L355" i="6"/>
  <c r="M355" i="6"/>
  <c r="L334" i="6"/>
  <c r="L327" i="6"/>
  <c r="L325" i="6"/>
  <c r="L321" i="6"/>
  <c r="L320" i="6"/>
  <c r="L262" i="6" l="1"/>
  <c r="P276" i="6" l="1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4" i="6"/>
  <c r="P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4" i="6"/>
  <c r="O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4" i="6"/>
  <c r="N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4" i="6"/>
  <c r="M275" i="6"/>
  <c r="L208" i="6" l="1"/>
  <c r="M230" i="6"/>
  <c r="L211" i="6"/>
  <c r="L210" i="6"/>
  <c r="L209" i="6"/>
  <c r="L207" i="6"/>
  <c r="L206" i="6"/>
  <c r="L205" i="6"/>
  <c r="L204" i="6"/>
  <c r="L202" i="6"/>
  <c r="L200" i="6"/>
  <c r="N200" i="6" s="1"/>
  <c r="L188" i="6" l="1"/>
  <c r="P188" i="6"/>
  <c r="V125" i="6"/>
  <c r="L141" i="6" l="1"/>
  <c r="P141" i="6"/>
  <c r="L109" i="6"/>
  <c r="N175" i="6" l="1"/>
  <c r="M179" i="6"/>
  <c r="O179" i="6"/>
  <c r="O176" i="6"/>
  <c r="M172" i="6"/>
  <c r="N172" i="6"/>
  <c r="O172" i="6"/>
  <c r="P172" i="6"/>
  <c r="M166" i="6"/>
  <c r="M165" i="6"/>
  <c r="M159" i="6"/>
  <c r="M158" i="6"/>
  <c r="M156" i="6"/>
  <c r="M153" i="6"/>
  <c r="O152" i="6"/>
  <c r="M140" i="6"/>
  <c r="P140" i="6"/>
  <c r="O139" i="6"/>
  <c r="M138" i="6"/>
  <c r="M137" i="6"/>
  <c r="O136" i="6"/>
  <c r="M135" i="6"/>
  <c r="M133" i="6"/>
  <c r="O133" i="6"/>
  <c r="O132" i="6"/>
  <c r="M131" i="6"/>
  <c r="P131" i="6"/>
  <c r="O130" i="6"/>
  <c r="M125" i="6"/>
  <c r="P123" i="6"/>
  <c r="M123" i="6"/>
  <c r="M122" i="6"/>
  <c r="M121" i="6"/>
  <c r="P120" i="6"/>
  <c r="M113" i="6"/>
  <c r="M111" i="6"/>
  <c r="N110" i="6"/>
  <c r="M110" i="6"/>
  <c r="M109" i="6" l="1"/>
  <c r="M270" i="6" l="1"/>
  <c r="M268" i="6" s="1"/>
  <c r="P270" i="6"/>
  <c r="O270" i="6"/>
  <c r="N270" i="6"/>
  <c r="N268" i="6" l="1"/>
  <c r="P268" i="6"/>
  <c r="O268" i="6"/>
  <c r="M229" i="6"/>
  <c r="L195" i="6"/>
  <c r="P23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195" i="6" l="1"/>
  <c r="M193" i="6" s="1"/>
  <c r="N195" i="6"/>
  <c r="N193" i="6" s="1"/>
  <c r="O195" i="6"/>
  <c r="O193" i="6" s="1"/>
  <c r="P195" i="6"/>
  <c r="P193" i="6" s="1"/>
  <c r="M260" i="6" l="1"/>
  <c r="N260" i="6"/>
  <c r="O260" i="6"/>
  <c r="P260" i="6"/>
  <c r="M236" i="6"/>
  <c r="N236" i="6"/>
  <c r="O236" i="6"/>
  <c r="P236" i="6"/>
  <c r="M244" i="6"/>
  <c r="N244" i="6"/>
  <c r="O244" i="6"/>
  <c r="P244" i="6"/>
  <c r="M252" i="6" l="1"/>
  <c r="N252" i="6"/>
  <c r="O252" i="6"/>
  <c r="P252" i="6"/>
  <c r="N376" i="6" l="1"/>
  <c r="P376" i="6"/>
  <c r="O319" i="6"/>
  <c r="P319" i="6" s="1"/>
  <c r="O320" i="6"/>
  <c r="P320" i="6" s="1"/>
  <c r="O321" i="6"/>
  <c r="P321" i="6" s="1"/>
  <c r="O322" i="6"/>
  <c r="P322" i="6" s="1"/>
  <c r="O323" i="6"/>
  <c r="P323" i="6" s="1"/>
  <c r="O324" i="6"/>
  <c r="P324" i="6" s="1"/>
  <c r="O325" i="6"/>
  <c r="P325" i="6" s="1"/>
  <c r="O326" i="6"/>
  <c r="P326" i="6" s="1"/>
  <c r="O327" i="6"/>
  <c r="P327" i="6" s="1"/>
  <c r="O328" i="6"/>
  <c r="P328" i="6" s="1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O343" i="6"/>
  <c r="P343" i="6" s="1"/>
  <c r="O344" i="6"/>
  <c r="P344" i="6" s="1"/>
  <c r="O350" i="6"/>
  <c r="P350" i="6" s="1"/>
  <c r="O351" i="6"/>
  <c r="P351" i="6" s="1"/>
  <c r="O352" i="6"/>
  <c r="P352" i="6" s="1"/>
  <c r="O353" i="6"/>
  <c r="P353" i="6" s="1"/>
  <c r="O354" i="6"/>
  <c r="P354" i="6" s="1"/>
  <c r="O355" i="6"/>
  <c r="P355" i="6" s="1"/>
  <c r="O356" i="6"/>
  <c r="P356" i="6" s="1"/>
  <c r="O357" i="6"/>
  <c r="P357" i="6" s="1"/>
  <c r="O358" i="6"/>
  <c r="P358" i="6" s="1"/>
  <c r="O361" i="6"/>
  <c r="P361" i="6" s="1"/>
  <c r="O364" i="6"/>
  <c r="P364" i="6" s="1"/>
  <c r="O367" i="6"/>
  <c r="P367" i="6" s="1"/>
  <c r="O370" i="6"/>
  <c r="O318" i="6"/>
  <c r="P318" i="6" s="1"/>
  <c r="O315" i="6" l="1"/>
  <c r="O387" i="6" s="1"/>
  <c r="O421" i="6" s="1"/>
  <c r="M315" i="6"/>
  <c r="M387" i="6" s="1"/>
  <c r="M421" i="6" s="1"/>
  <c r="N147" i="6"/>
  <c r="O147" i="6"/>
  <c r="P147" i="6"/>
  <c r="M147" i="6"/>
  <c r="N103" i="6"/>
  <c r="N101" i="6" s="1"/>
  <c r="O103" i="6"/>
  <c r="O101" i="6" s="1"/>
  <c r="P103" i="6"/>
  <c r="P101" i="6" s="1"/>
  <c r="N315" i="6" l="1"/>
  <c r="N387" i="6" s="1"/>
  <c r="N421" i="6" s="1"/>
  <c r="O309" i="6"/>
  <c r="M309" i="6"/>
  <c r="P145" i="6"/>
  <c r="P94" i="6"/>
  <c r="N145" i="6"/>
  <c r="N94" i="6"/>
  <c r="M145" i="6"/>
  <c r="O145" i="6"/>
  <c r="O94" i="6"/>
  <c r="M103" i="6"/>
  <c r="M101" i="6" s="1"/>
  <c r="N309" i="6" l="1"/>
  <c r="M94" i="6"/>
  <c r="M92" i="6" s="1"/>
  <c r="P92" i="6"/>
  <c r="O92" i="6"/>
  <c r="O384" i="6"/>
  <c r="O382" i="6" s="1"/>
  <c r="N92" i="6"/>
  <c r="N384" i="6"/>
  <c r="N382" i="6" s="1"/>
  <c r="M384" i="6" l="1"/>
  <c r="M382" i="6" s="1"/>
  <c r="Q70" i="6" l="1"/>
  <c r="V70" i="6"/>
  <c r="Q87" i="6"/>
  <c r="V87" i="6"/>
  <c r="V69" i="6"/>
  <c r="P370" i="6" l="1"/>
  <c r="M65" i="6"/>
  <c r="N65" i="6"/>
  <c r="O65" i="6"/>
  <c r="P65" i="6"/>
  <c r="P64" i="6"/>
  <c r="O63" i="6"/>
  <c r="P63" i="6"/>
  <c r="O55" i="6"/>
  <c r="P55" i="6"/>
  <c r="O54" i="6"/>
  <c r="P54" i="6"/>
  <c r="P52" i="6"/>
  <c r="M48" i="6"/>
  <c r="N48" i="6"/>
  <c r="O48" i="6"/>
  <c r="P48" i="6"/>
  <c r="M44" i="6"/>
  <c r="N44" i="6"/>
  <c r="O44" i="6"/>
  <c r="P44" i="6"/>
  <c r="M40" i="6"/>
  <c r="N40" i="6"/>
  <c r="O40" i="6"/>
  <c r="P40" i="6"/>
  <c r="O37" i="6"/>
  <c r="P36" i="6"/>
  <c r="P31" i="6"/>
  <c r="O22" i="6"/>
  <c r="P22" i="6"/>
  <c r="P84" i="6" s="1"/>
  <c r="P419" i="6" s="1"/>
  <c r="M21" i="6"/>
  <c r="M82" i="6" s="1"/>
  <c r="M417" i="6" s="1"/>
  <c r="N21" i="6"/>
  <c r="N82" i="6" s="1"/>
  <c r="N417" i="6" s="1"/>
  <c r="O21" i="6"/>
  <c r="O82" i="6" s="1"/>
  <c r="O417" i="6" s="1"/>
  <c r="P21" i="6"/>
  <c r="P82" i="6" s="1"/>
  <c r="K422" i="6"/>
  <c r="J422" i="6"/>
  <c r="I422" i="6"/>
  <c r="H422" i="6"/>
  <c r="G422" i="6"/>
  <c r="Q415" i="6"/>
  <c r="L415" i="6"/>
  <c r="G415" i="6"/>
  <c r="Q412" i="6"/>
  <c r="L412" i="6"/>
  <c r="G412" i="6"/>
  <c r="Q403" i="6"/>
  <c r="L403" i="6"/>
  <c r="G403" i="6"/>
  <c r="Q394" i="6"/>
  <c r="L394" i="6"/>
  <c r="G394" i="6"/>
  <c r="J387" i="6"/>
  <c r="J421" i="6" s="1"/>
  <c r="I387" i="6"/>
  <c r="I421" i="6" s="1"/>
  <c r="G387" i="6"/>
  <c r="G421" i="6" s="1"/>
  <c r="H385" i="6"/>
  <c r="K378" i="6"/>
  <c r="Q376" i="6"/>
  <c r="L376" i="6"/>
  <c r="J376" i="6"/>
  <c r="I376" i="6"/>
  <c r="H376" i="6"/>
  <c r="G370" i="6"/>
  <c r="J370" i="6" s="1"/>
  <c r="G367" i="6"/>
  <c r="K367" i="6" s="1"/>
  <c r="G364" i="6"/>
  <c r="K364" i="6" s="1"/>
  <c r="J361" i="6"/>
  <c r="I361" i="6"/>
  <c r="H361" i="6"/>
  <c r="G361" i="6"/>
  <c r="K358" i="6"/>
  <c r="I357" i="6"/>
  <c r="K357" i="6" s="1"/>
  <c r="J356" i="6"/>
  <c r="K356" i="6" s="1"/>
  <c r="G355" i="6"/>
  <c r="K355" i="6" s="1"/>
  <c r="J354" i="6"/>
  <c r="K354" i="6" s="1"/>
  <c r="I353" i="6"/>
  <c r="H353" i="6"/>
  <c r="K352" i="6"/>
  <c r="J351" i="6"/>
  <c r="G351" i="6"/>
  <c r="J350" i="6"/>
  <c r="K350" i="6" s="1"/>
  <c r="J344" i="6"/>
  <c r="K344" i="6" s="1"/>
  <c r="K343" i="6"/>
  <c r="L342" i="6"/>
  <c r="P342" i="6" s="1"/>
  <c r="J342" i="6"/>
  <c r="K342" i="6" s="1"/>
  <c r="J341" i="6"/>
  <c r="G341" i="6"/>
  <c r="K340" i="6"/>
  <c r="J339" i="6"/>
  <c r="I339" i="6"/>
  <c r="J338" i="6"/>
  <c r="K338" i="6" s="1"/>
  <c r="I337" i="6"/>
  <c r="K337" i="6" s="1"/>
  <c r="K336" i="6"/>
  <c r="K335" i="6"/>
  <c r="G334" i="6"/>
  <c r="K334" i="6" s="1"/>
  <c r="I328" i="6"/>
  <c r="G328" i="6"/>
  <c r="G327" i="6"/>
  <c r="K327" i="6" s="1"/>
  <c r="K326" i="6"/>
  <c r="G325" i="6"/>
  <c r="K325" i="6" s="1"/>
  <c r="K324" i="6"/>
  <c r="K323" i="6"/>
  <c r="I322" i="6"/>
  <c r="K322" i="6" s="1"/>
  <c r="I321" i="6"/>
  <c r="G321" i="6"/>
  <c r="J320" i="6"/>
  <c r="H320" i="6"/>
  <c r="K319" i="6"/>
  <c r="I318" i="6"/>
  <c r="K318" i="6" s="1"/>
  <c r="H315" i="6"/>
  <c r="K304" i="6"/>
  <c r="J304" i="6"/>
  <c r="I304" i="6"/>
  <c r="H304" i="6"/>
  <c r="K303" i="6"/>
  <c r="J303" i="6"/>
  <c r="I303" i="6"/>
  <c r="H303" i="6"/>
  <c r="K302" i="6"/>
  <c r="J302" i="6"/>
  <c r="I302" i="6"/>
  <c r="H302" i="6"/>
  <c r="K301" i="6"/>
  <c r="J301" i="6"/>
  <c r="I301" i="6"/>
  <c r="H301" i="6"/>
  <c r="K300" i="6"/>
  <c r="J300" i="6"/>
  <c r="I300" i="6"/>
  <c r="H300" i="6"/>
  <c r="K299" i="6"/>
  <c r="J299" i="6"/>
  <c r="I299" i="6"/>
  <c r="H299" i="6"/>
  <c r="K298" i="6"/>
  <c r="J298" i="6"/>
  <c r="I298" i="6"/>
  <c r="H298" i="6"/>
  <c r="K297" i="6"/>
  <c r="J297" i="6"/>
  <c r="I297" i="6"/>
  <c r="H297" i="6"/>
  <c r="K296" i="6"/>
  <c r="J296" i="6"/>
  <c r="I296" i="6"/>
  <c r="H296" i="6"/>
  <c r="K295" i="6"/>
  <c r="J295" i="6"/>
  <c r="I295" i="6"/>
  <c r="H295" i="6"/>
  <c r="K294" i="6"/>
  <c r="J294" i="6"/>
  <c r="I294" i="6"/>
  <c r="H294" i="6"/>
  <c r="K293" i="6"/>
  <c r="J293" i="6"/>
  <c r="I293" i="6"/>
  <c r="H293" i="6"/>
  <c r="K292" i="6"/>
  <c r="J292" i="6"/>
  <c r="I292" i="6"/>
  <c r="H292" i="6"/>
  <c r="K291" i="6"/>
  <c r="J291" i="6"/>
  <c r="I291" i="6"/>
  <c r="H291" i="6"/>
  <c r="K290" i="6"/>
  <c r="J290" i="6"/>
  <c r="I290" i="6"/>
  <c r="H290" i="6"/>
  <c r="K289" i="6"/>
  <c r="J289" i="6"/>
  <c r="I289" i="6"/>
  <c r="H289" i="6"/>
  <c r="K288" i="6"/>
  <c r="J288" i="6"/>
  <c r="I288" i="6"/>
  <c r="H288" i="6"/>
  <c r="K287" i="6"/>
  <c r="J287" i="6"/>
  <c r="I287" i="6"/>
  <c r="H287" i="6"/>
  <c r="K286" i="6"/>
  <c r="J286" i="6"/>
  <c r="I286" i="6"/>
  <c r="H286" i="6"/>
  <c r="K285" i="6"/>
  <c r="J285" i="6"/>
  <c r="I285" i="6"/>
  <c r="H285" i="6"/>
  <c r="K284" i="6"/>
  <c r="J284" i="6"/>
  <c r="I284" i="6"/>
  <c r="H284" i="6"/>
  <c r="K283" i="6"/>
  <c r="J283" i="6"/>
  <c r="I283" i="6"/>
  <c r="H283" i="6"/>
  <c r="K282" i="6"/>
  <c r="J282" i="6"/>
  <c r="I282" i="6"/>
  <c r="H282" i="6"/>
  <c r="K281" i="6"/>
  <c r="J281" i="6"/>
  <c r="I281" i="6"/>
  <c r="H281" i="6"/>
  <c r="K280" i="6"/>
  <c r="J280" i="6"/>
  <c r="I280" i="6"/>
  <c r="H280" i="6"/>
  <c r="K279" i="6"/>
  <c r="J279" i="6"/>
  <c r="I279" i="6"/>
  <c r="H279" i="6"/>
  <c r="K278" i="6"/>
  <c r="J278" i="6"/>
  <c r="I278" i="6"/>
  <c r="H278" i="6"/>
  <c r="K277" i="6"/>
  <c r="J277" i="6"/>
  <c r="I277" i="6"/>
  <c r="H277" i="6"/>
  <c r="K276" i="6"/>
  <c r="J276" i="6"/>
  <c r="I276" i="6"/>
  <c r="H276" i="6"/>
  <c r="K275" i="6"/>
  <c r="J275" i="6"/>
  <c r="I275" i="6"/>
  <c r="H275" i="6"/>
  <c r="V270" i="6"/>
  <c r="V268" i="6" s="1"/>
  <c r="V267" i="6" s="1"/>
  <c r="Q268" i="6"/>
  <c r="G270" i="6"/>
  <c r="G268" i="6" s="1"/>
  <c r="G262" i="6"/>
  <c r="V260" i="6"/>
  <c r="Q260" i="6"/>
  <c r="L260" i="6"/>
  <c r="K260" i="6"/>
  <c r="J260" i="6"/>
  <c r="I260" i="6"/>
  <c r="H260" i="6"/>
  <c r="G260" i="6"/>
  <c r="V252" i="6"/>
  <c r="Q252" i="6"/>
  <c r="L252" i="6"/>
  <c r="K252" i="6"/>
  <c r="J252" i="6"/>
  <c r="I252" i="6"/>
  <c r="H252" i="6"/>
  <c r="G252" i="6"/>
  <c r="L246" i="6"/>
  <c r="G246" i="6"/>
  <c r="V244" i="6"/>
  <c r="Q244" i="6"/>
  <c r="L244" i="6"/>
  <c r="K244" i="6"/>
  <c r="J244" i="6"/>
  <c r="I244" i="6"/>
  <c r="H244" i="6"/>
  <c r="G244" i="6"/>
  <c r="G238" i="6"/>
  <c r="G236" i="6" s="1"/>
  <c r="V236" i="6"/>
  <c r="L236" i="6"/>
  <c r="K236" i="6"/>
  <c r="J236" i="6"/>
  <c r="I236" i="6"/>
  <c r="H236" i="6"/>
  <c r="G230" i="6"/>
  <c r="G229" i="6"/>
  <c r="K229" i="6" s="1"/>
  <c r="G228" i="6"/>
  <c r="K228" i="6" s="1"/>
  <c r="G227" i="6"/>
  <c r="K227" i="6" s="1"/>
  <c r="K226" i="6"/>
  <c r="G225" i="6"/>
  <c r="K225" i="6" s="1"/>
  <c r="G224" i="6"/>
  <c r="K224" i="6" s="1"/>
  <c r="G223" i="6"/>
  <c r="K223" i="6" s="1"/>
  <c r="G222" i="6"/>
  <c r="K222" i="6" s="1"/>
  <c r="G221" i="6"/>
  <c r="K221" i="6" s="1"/>
  <c r="G220" i="6"/>
  <c r="K220" i="6" s="1"/>
  <c r="G219" i="6"/>
  <c r="K219" i="6" s="1"/>
  <c r="G218" i="6"/>
  <c r="K218" i="6" s="1"/>
  <c r="K217" i="6"/>
  <c r="G216" i="6"/>
  <c r="K216" i="6" s="1"/>
  <c r="G215" i="6"/>
  <c r="K215" i="6" s="1"/>
  <c r="G214" i="6"/>
  <c r="K214" i="6" s="1"/>
  <c r="G213" i="6"/>
  <c r="K213" i="6" s="1"/>
  <c r="G212" i="6"/>
  <c r="K212" i="6" s="1"/>
  <c r="G211" i="6"/>
  <c r="K211" i="6" s="1"/>
  <c r="G210" i="6"/>
  <c r="K210" i="6" s="1"/>
  <c r="G209" i="6"/>
  <c r="K209" i="6" s="1"/>
  <c r="G208" i="6"/>
  <c r="K208" i="6" s="1"/>
  <c r="G207" i="6"/>
  <c r="K207" i="6" s="1"/>
  <c r="K206" i="6"/>
  <c r="G205" i="6"/>
  <c r="K205" i="6" s="1"/>
  <c r="G204" i="6"/>
  <c r="K204" i="6" s="1"/>
  <c r="G203" i="6"/>
  <c r="K203" i="6" s="1"/>
  <c r="G202" i="6"/>
  <c r="G201" i="6"/>
  <c r="K201" i="6" s="1"/>
  <c r="G200" i="6"/>
  <c r="K200" i="6" s="1"/>
  <c r="V193" i="6"/>
  <c r="V192" i="6" s="1"/>
  <c r="Q193" i="6"/>
  <c r="Q192" i="6" s="1"/>
  <c r="L193" i="6"/>
  <c r="L192" i="6" s="1"/>
  <c r="J195" i="6"/>
  <c r="J193" i="6" s="1"/>
  <c r="J192" i="6" s="1"/>
  <c r="I195" i="6"/>
  <c r="I193" i="6" s="1"/>
  <c r="I192" i="6" s="1"/>
  <c r="H195" i="6"/>
  <c r="H193" i="6" s="1"/>
  <c r="H192" i="6" s="1"/>
  <c r="K188" i="6"/>
  <c r="J188" i="6"/>
  <c r="I188" i="6"/>
  <c r="H188" i="6"/>
  <c r="G185" i="6"/>
  <c r="G184" i="6"/>
  <c r="G183" i="6"/>
  <c r="G182" i="6"/>
  <c r="G178" i="6"/>
  <c r="G155" i="6"/>
  <c r="K141" i="6"/>
  <c r="I141" i="6"/>
  <c r="H141" i="6"/>
  <c r="K95" i="6"/>
  <c r="K385" i="6" s="1"/>
  <c r="G95" i="6"/>
  <c r="G385" i="6" s="1"/>
  <c r="V422" i="6"/>
  <c r="Q422" i="6"/>
  <c r="G86" i="6"/>
  <c r="G80" i="6"/>
  <c r="V68" i="6"/>
  <c r="G62" i="6"/>
  <c r="G56" i="6"/>
  <c r="G41" i="6"/>
  <c r="G38" i="6"/>
  <c r="G35" i="6"/>
  <c r="Q267" i="6" l="1"/>
  <c r="Z305" i="6"/>
  <c r="V387" i="6"/>
  <c r="V421" i="6" s="1"/>
  <c r="K270" i="6"/>
  <c r="K268" i="6" s="1"/>
  <c r="I309" i="6"/>
  <c r="K341" i="6"/>
  <c r="L410" i="6"/>
  <c r="J309" i="6"/>
  <c r="H309" i="6"/>
  <c r="O84" i="6"/>
  <c r="O419" i="6" s="1"/>
  <c r="N416" i="6"/>
  <c r="I270" i="6"/>
  <c r="I268" i="6" s="1"/>
  <c r="Q410" i="6"/>
  <c r="K321" i="6"/>
  <c r="K328" i="6"/>
  <c r="K351" i="6"/>
  <c r="K361" i="6"/>
  <c r="K370" i="6"/>
  <c r="G410" i="6"/>
  <c r="G188" i="6"/>
  <c r="M79" i="6"/>
  <c r="N79" i="6"/>
  <c r="P79" i="6"/>
  <c r="K202" i="6"/>
  <c r="K195" i="6" s="1"/>
  <c r="G195" i="6"/>
  <c r="G193" i="6" s="1"/>
  <c r="H270" i="6"/>
  <c r="J270" i="6"/>
  <c r="G309" i="6"/>
  <c r="K320" i="6"/>
  <c r="K339" i="6"/>
  <c r="K353" i="6"/>
  <c r="G378" i="6"/>
  <c r="G376" i="6" s="1"/>
  <c r="K376" i="6"/>
  <c r="M416" i="6"/>
  <c r="H387" i="6"/>
  <c r="H421" i="6" s="1"/>
  <c r="K315" i="6"/>
  <c r="K387" i="6" s="1"/>
  <c r="K421" i="6" s="1"/>
  <c r="T276" i="6" l="1"/>
  <c r="S276" i="6"/>
  <c r="U276" i="6"/>
  <c r="R276" i="6"/>
  <c r="U277" i="6"/>
  <c r="U281" i="6"/>
  <c r="U285" i="6"/>
  <c r="U291" i="6"/>
  <c r="U295" i="6"/>
  <c r="U299" i="6"/>
  <c r="U303" i="6"/>
  <c r="T277" i="6"/>
  <c r="U278" i="6"/>
  <c r="U282" i="6"/>
  <c r="U286" i="6"/>
  <c r="U290" i="6"/>
  <c r="U294" i="6"/>
  <c r="U298" i="6"/>
  <c r="U302" i="6"/>
  <c r="T278" i="6"/>
  <c r="T282" i="6"/>
  <c r="T286" i="6"/>
  <c r="T290" i="6"/>
  <c r="T294" i="6"/>
  <c r="T285" i="6"/>
  <c r="T293" i="6"/>
  <c r="T298" i="6"/>
  <c r="T302" i="6"/>
  <c r="S278" i="6"/>
  <c r="S282" i="6"/>
  <c r="S286" i="6"/>
  <c r="S290" i="6"/>
  <c r="S294" i="6"/>
  <c r="S298" i="6"/>
  <c r="S302" i="6"/>
  <c r="T283" i="6"/>
  <c r="T295" i="6"/>
  <c r="T299" i="6"/>
  <c r="T303" i="6"/>
  <c r="S277" i="6"/>
  <c r="S281" i="6"/>
  <c r="S285" i="6"/>
  <c r="S291" i="6"/>
  <c r="S295" i="6"/>
  <c r="S299" i="6"/>
  <c r="S303" i="6"/>
  <c r="R275" i="6"/>
  <c r="R297" i="6"/>
  <c r="R289" i="6"/>
  <c r="R279" i="6"/>
  <c r="R298" i="6"/>
  <c r="R290" i="6"/>
  <c r="R282" i="6"/>
  <c r="R302" i="6"/>
  <c r="R299" i="6"/>
  <c r="R291" i="6"/>
  <c r="R281" i="6"/>
  <c r="R300" i="6"/>
  <c r="R292" i="6"/>
  <c r="R284" i="6"/>
  <c r="U287" i="6"/>
  <c r="T287" i="6"/>
  <c r="U279" i="6"/>
  <c r="U283" i="6"/>
  <c r="U289" i="6"/>
  <c r="U293" i="6"/>
  <c r="U297" i="6"/>
  <c r="U301" i="6"/>
  <c r="U275" i="6"/>
  <c r="T279" i="6"/>
  <c r="U280" i="6"/>
  <c r="U284" i="6"/>
  <c r="U288" i="6"/>
  <c r="U292" i="6"/>
  <c r="U296" i="6"/>
  <c r="U300" i="6"/>
  <c r="U304" i="6"/>
  <c r="T280" i="6"/>
  <c r="T284" i="6"/>
  <c r="T288" i="6"/>
  <c r="T292" i="6"/>
  <c r="T281" i="6"/>
  <c r="T289" i="6"/>
  <c r="T296" i="6"/>
  <c r="T300" i="6"/>
  <c r="T304" i="6"/>
  <c r="S280" i="6"/>
  <c r="S284" i="6"/>
  <c r="S288" i="6"/>
  <c r="S292" i="6"/>
  <c r="S296" i="6"/>
  <c r="S300" i="6"/>
  <c r="S304" i="6"/>
  <c r="T291" i="6"/>
  <c r="T297" i="6"/>
  <c r="T301" i="6"/>
  <c r="T275" i="6"/>
  <c r="S279" i="6"/>
  <c r="S283" i="6"/>
  <c r="S289" i="6"/>
  <c r="S293" i="6"/>
  <c r="S297" i="6"/>
  <c r="S301" i="6"/>
  <c r="S275" i="6"/>
  <c r="R301" i="6"/>
  <c r="R293" i="6"/>
  <c r="R283" i="6"/>
  <c r="R304" i="6"/>
  <c r="R294" i="6"/>
  <c r="R286" i="6"/>
  <c r="R278" i="6"/>
  <c r="R303" i="6"/>
  <c r="R295" i="6"/>
  <c r="R285" i="6"/>
  <c r="R277" i="6"/>
  <c r="R296" i="6"/>
  <c r="R288" i="6"/>
  <c r="R280" i="6"/>
  <c r="S287" i="6"/>
  <c r="R287" i="6"/>
  <c r="Q421" i="6"/>
  <c r="L315" i="6"/>
  <c r="L387" i="6" s="1"/>
  <c r="L421" i="6" s="1"/>
  <c r="O79" i="6"/>
  <c r="O416" i="6"/>
  <c r="K309" i="6"/>
  <c r="K193" i="6"/>
  <c r="K192" i="6" s="1"/>
  <c r="L268" i="6"/>
  <c r="H268" i="6"/>
  <c r="J268" i="6"/>
  <c r="G192" i="6"/>
  <c r="L309" i="6" l="1"/>
  <c r="V184" i="6"/>
  <c r="L179" i="6"/>
  <c r="V177" i="6"/>
  <c r="L176" i="6"/>
  <c r="V175" i="6"/>
  <c r="Q175" i="6"/>
  <c r="L175" i="6"/>
  <c r="L172" i="6"/>
  <c r="Q169" i="6"/>
  <c r="U169" i="6" s="1"/>
  <c r="V166" i="6"/>
  <c r="Q166" i="6"/>
  <c r="L166" i="6"/>
  <c r="V165" i="6"/>
  <c r="L165" i="6"/>
  <c r="V164" i="6"/>
  <c r="V161" i="6"/>
  <c r="Q161" i="6"/>
  <c r="V160" i="6"/>
  <c r="Q159" i="6"/>
  <c r="L159" i="6"/>
  <c r="Q158" i="6"/>
  <c r="L158" i="6"/>
  <c r="Q157" i="6"/>
  <c r="U157" i="6" s="1"/>
  <c r="L156" i="6"/>
  <c r="L153" i="6"/>
  <c r="L152" i="6"/>
  <c r="Q140" i="6"/>
  <c r="L139" i="6"/>
  <c r="L138" i="6"/>
  <c r="V138" i="6"/>
  <c r="Q138" i="6"/>
  <c r="L137" i="6"/>
  <c r="V137" i="6"/>
  <c r="V136" i="6"/>
  <c r="Q136" i="6"/>
  <c r="L136" i="6"/>
  <c r="L135" i="6"/>
  <c r="L132" i="6"/>
  <c r="L131" i="6"/>
  <c r="L130" i="6"/>
  <c r="Q129" i="6"/>
  <c r="L125" i="6"/>
  <c r="V124" i="6"/>
  <c r="Q124" i="6"/>
  <c r="V123" i="6"/>
  <c r="Q123" i="6"/>
  <c r="L123" i="6"/>
  <c r="L122" i="6"/>
  <c r="Q122" i="6"/>
  <c r="L121" i="6"/>
  <c r="Q121" i="6"/>
  <c r="V120" i="6"/>
  <c r="Q120" i="6"/>
  <c r="L120" i="6"/>
  <c r="V118" i="6"/>
  <c r="Q115" i="6"/>
  <c r="V113" i="6"/>
  <c r="Q113" i="6"/>
  <c r="L113" i="6"/>
  <c r="L111" i="6"/>
  <c r="L110" i="6"/>
  <c r="V110" i="6"/>
  <c r="Q110" i="6"/>
  <c r="V65" i="6"/>
  <c r="L65" i="6"/>
  <c r="L64" i="6"/>
  <c r="Q63" i="6"/>
  <c r="V61" i="6"/>
  <c r="Q61" i="6"/>
  <c r="Q55" i="6"/>
  <c r="V53" i="6"/>
  <c r="Q53" i="6"/>
  <c r="V52" i="6"/>
  <c r="L48" i="6"/>
  <c r="V47" i="6"/>
  <c r="Q47" i="6"/>
  <c r="V46" i="6"/>
  <c r="Q46" i="6"/>
  <c r="V44" i="6"/>
  <c r="L44" i="6"/>
  <c r="V42" i="6"/>
  <c r="Q42" i="6"/>
  <c r="V40" i="6"/>
  <c r="Q40" i="6"/>
  <c r="Q20" i="6" s="1"/>
  <c r="Q82" i="6" s="1"/>
  <c r="L40" i="6"/>
  <c r="V38" i="6"/>
  <c r="L36" i="6"/>
  <c r="Q36" i="6"/>
  <c r="Q31" i="6"/>
  <c r="Q28" i="6"/>
  <c r="U145" i="6" l="1"/>
  <c r="U94" i="6"/>
  <c r="V152" i="6"/>
  <c r="Q147" i="6"/>
  <c r="Q145" i="6" s="1"/>
  <c r="Z105" i="6" s="1"/>
  <c r="V114" i="6"/>
  <c r="Q99" i="6"/>
  <c r="V169" i="6"/>
  <c r="V167" i="6"/>
  <c r="V143" i="6"/>
  <c r="V99" i="6"/>
  <c r="V84" i="6"/>
  <c r="V419" i="6" s="1"/>
  <c r="Q58" i="6"/>
  <c r="V31" i="6"/>
  <c r="L22" i="6"/>
  <c r="L143" i="6"/>
  <c r="L31" i="6"/>
  <c r="Q143" i="6"/>
  <c r="Q64" i="6"/>
  <c r="L140" i="6"/>
  <c r="V45" i="6"/>
  <c r="V64" i="6"/>
  <c r="L99" i="6"/>
  <c r="V103" i="6"/>
  <c r="Q45" i="6"/>
  <c r="Q44" i="6"/>
  <c r="L54" i="6"/>
  <c r="L63" i="6"/>
  <c r="V63" i="6"/>
  <c r="L55" i="6"/>
  <c r="V55" i="6"/>
  <c r="V20" i="6" s="1"/>
  <c r="L133" i="6"/>
  <c r="L52" i="6"/>
  <c r="L37" i="6"/>
  <c r="U92" i="6" l="1"/>
  <c r="U384" i="6"/>
  <c r="U417" i="6" s="1"/>
  <c r="V18" i="6"/>
  <c r="V82" i="6"/>
  <c r="V79" i="6" s="1"/>
  <c r="Q18" i="6"/>
  <c r="V16" i="6"/>
  <c r="L17" i="11" s="1"/>
  <c r="P20" i="9" s="1"/>
  <c r="Q144" i="6"/>
  <c r="V147" i="6"/>
  <c r="V145" i="6" s="1"/>
  <c r="Q103" i="6"/>
  <c r="Z104" i="6" s="1"/>
  <c r="Z106" i="6" s="1"/>
  <c r="Z108" i="6" s="1"/>
  <c r="V115" i="6"/>
  <c r="L16" i="6"/>
  <c r="L84" i="6"/>
  <c r="L21" i="6"/>
  <c r="U416" i="6" l="1"/>
  <c r="U382" i="6"/>
  <c r="V17" i="6"/>
  <c r="V144" i="6"/>
  <c r="AA105" i="6"/>
  <c r="Q17" i="11"/>
  <c r="F17" i="11"/>
  <c r="R17" i="11"/>
  <c r="L103" i="6"/>
  <c r="L82" i="6"/>
  <c r="Q84" i="6"/>
  <c r="Q419" i="6" s="1"/>
  <c r="L18" i="6"/>
  <c r="L17" i="6" s="1"/>
  <c r="L419" i="6"/>
  <c r="Y416" i="6" l="1"/>
  <c r="Q79" i="6"/>
  <c r="T13" i="11"/>
  <c r="Z18" i="11"/>
  <c r="S17" i="11"/>
  <c r="L79" i="6"/>
  <c r="H29" i="6" l="1"/>
  <c r="J29" i="6"/>
  <c r="H30" i="6"/>
  <c r="J30" i="6"/>
  <c r="K30" i="6"/>
  <c r="H37" i="6"/>
  <c r="J37" i="6"/>
  <c r="H65" i="6"/>
  <c r="J65" i="6"/>
  <c r="I65" i="6"/>
  <c r="H108" i="6"/>
  <c r="I108" i="6"/>
  <c r="K108" i="6"/>
  <c r="J108" i="6"/>
  <c r="H109" i="6"/>
  <c r="I109" i="6"/>
  <c r="J109" i="6"/>
  <c r="K109" i="6"/>
  <c r="H110" i="6"/>
  <c r="I110" i="6"/>
  <c r="J110" i="6"/>
  <c r="K110" i="6"/>
  <c r="H111" i="6"/>
  <c r="I111" i="6"/>
  <c r="K111" i="6"/>
  <c r="H112" i="6"/>
  <c r="I112" i="6"/>
  <c r="J112" i="6"/>
  <c r="K112" i="6"/>
  <c r="H113" i="6"/>
  <c r="I113" i="6"/>
  <c r="J113" i="6"/>
  <c r="K113" i="6"/>
  <c r="H114" i="6"/>
  <c r="I114" i="6"/>
  <c r="J114" i="6"/>
  <c r="K114" i="6"/>
  <c r="H116" i="6"/>
  <c r="I116" i="6"/>
  <c r="K116" i="6"/>
  <c r="J116" i="6"/>
  <c r="H117" i="6"/>
  <c r="I117" i="6"/>
  <c r="J117" i="6"/>
  <c r="K117" i="6"/>
  <c r="H118" i="6"/>
  <c r="I118" i="6"/>
  <c r="J118" i="6"/>
  <c r="K118" i="6"/>
  <c r="H119" i="6"/>
  <c r="I119" i="6"/>
  <c r="J119" i="6"/>
  <c r="K119" i="6"/>
  <c r="H120" i="6"/>
  <c r="I120" i="6"/>
  <c r="J120" i="6"/>
  <c r="K120" i="6"/>
  <c r="H121" i="6"/>
  <c r="J121" i="6"/>
  <c r="K121" i="6"/>
  <c r="H122" i="6"/>
  <c r="I122" i="6"/>
  <c r="K122" i="6"/>
  <c r="J122" i="6"/>
  <c r="H123" i="6"/>
  <c r="I123" i="6"/>
  <c r="J123" i="6"/>
  <c r="K123" i="6"/>
  <c r="H125" i="6"/>
  <c r="I125" i="6"/>
  <c r="J125" i="6"/>
  <c r="K125" i="6"/>
  <c r="H126" i="6"/>
  <c r="I126" i="6"/>
  <c r="J126" i="6"/>
  <c r="K126" i="6"/>
  <c r="H129" i="6"/>
  <c r="I129" i="6"/>
  <c r="K129" i="6"/>
  <c r="J129" i="6"/>
  <c r="H130" i="6"/>
  <c r="I130" i="6"/>
  <c r="J130" i="6"/>
  <c r="K130" i="6"/>
  <c r="H131" i="6"/>
  <c r="I131" i="6"/>
  <c r="K131" i="6"/>
  <c r="J131" i="6"/>
  <c r="H132" i="6"/>
  <c r="I132" i="6"/>
  <c r="J132" i="6"/>
  <c r="K132" i="6"/>
  <c r="H133" i="6"/>
  <c r="I133" i="6"/>
  <c r="J133" i="6"/>
  <c r="K133" i="6"/>
  <c r="H135" i="6"/>
  <c r="I135" i="6"/>
  <c r="J135" i="6"/>
  <c r="K135" i="6"/>
  <c r="H136" i="6"/>
  <c r="I136" i="6"/>
  <c r="K136" i="6"/>
  <c r="J136" i="6"/>
  <c r="H137" i="6"/>
  <c r="I137" i="6"/>
  <c r="K137" i="6"/>
  <c r="J137" i="6"/>
  <c r="H138" i="6"/>
  <c r="I138" i="6"/>
  <c r="J138" i="6"/>
  <c r="K138" i="6"/>
  <c r="H139" i="6"/>
  <c r="I139" i="6"/>
  <c r="J139" i="6"/>
  <c r="K139" i="6"/>
  <c r="H140" i="6"/>
  <c r="I140" i="6"/>
  <c r="J140" i="6"/>
  <c r="K140" i="6"/>
  <c r="H152" i="6"/>
  <c r="I152" i="6"/>
  <c r="J152" i="6"/>
  <c r="K152" i="6"/>
  <c r="H153" i="6"/>
  <c r="I153" i="6"/>
  <c r="J153" i="6"/>
  <c r="K153" i="6"/>
  <c r="H154" i="6"/>
  <c r="I154" i="6"/>
  <c r="J154" i="6"/>
  <c r="K154" i="6"/>
  <c r="H156" i="6"/>
  <c r="J156" i="6"/>
  <c r="K156" i="6"/>
  <c r="I156" i="6"/>
  <c r="H157" i="6"/>
  <c r="I157" i="6"/>
  <c r="J157" i="6"/>
  <c r="K157" i="6"/>
  <c r="H158" i="6"/>
  <c r="I158" i="6"/>
  <c r="J158" i="6"/>
  <c r="K158" i="6"/>
  <c r="H159" i="6"/>
  <c r="I159" i="6"/>
  <c r="J159" i="6"/>
  <c r="K159" i="6"/>
  <c r="H160" i="6"/>
  <c r="I160" i="6"/>
  <c r="J160" i="6"/>
  <c r="K160" i="6"/>
  <c r="H161" i="6"/>
  <c r="I161" i="6"/>
  <c r="J161" i="6"/>
  <c r="K161" i="6"/>
  <c r="H164" i="6"/>
  <c r="I164" i="6"/>
  <c r="J164" i="6"/>
  <c r="K164" i="6"/>
  <c r="H165" i="6"/>
  <c r="I165" i="6"/>
  <c r="K165" i="6"/>
  <c r="J165" i="6"/>
  <c r="H166" i="6"/>
  <c r="I166" i="6"/>
  <c r="J166" i="6"/>
  <c r="K166" i="6"/>
  <c r="H167" i="6"/>
  <c r="I167" i="6"/>
  <c r="J167" i="6"/>
  <c r="K167" i="6"/>
  <c r="H168" i="6"/>
  <c r="I168" i="6"/>
  <c r="J168" i="6"/>
  <c r="K168" i="6"/>
  <c r="H169" i="6"/>
  <c r="I169" i="6"/>
  <c r="J169" i="6"/>
  <c r="K169" i="6"/>
  <c r="H170" i="6"/>
  <c r="I170" i="6"/>
  <c r="J170" i="6"/>
  <c r="K170" i="6"/>
  <c r="H171" i="6"/>
  <c r="I171" i="6"/>
  <c r="J171" i="6"/>
  <c r="K171" i="6"/>
  <c r="H172" i="6"/>
  <c r="I172" i="6"/>
  <c r="J172" i="6"/>
  <c r="K172" i="6"/>
  <c r="H175" i="6"/>
  <c r="I175" i="6"/>
  <c r="J175" i="6"/>
  <c r="K175" i="6"/>
  <c r="H176" i="6"/>
  <c r="I176" i="6"/>
  <c r="J176" i="6"/>
  <c r="K176" i="6"/>
  <c r="H177" i="6"/>
  <c r="I177" i="6"/>
  <c r="J177" i="6"/>
  <c r="K177" i="6"/>
  <c r="H179" i="6"/>
  <c r="I179" i="6"/>
  <c r="J179" i="6"/>
  <c r="K179" i="6"/>
  <c r="H186" i="6"/>
  <c r="I186" i="6"/>
  <c r="K186" i="6"/>
  <c r="J186" i="6"/>
  <c r="H187" i="6"/>
  <c r="I187" i="6"/>
  <c r="I147" i="6" s="1"/>
  <c r="I145" i="6" s="1"/>
  <c r="J187" i="6"/>
  <c r="K187" i="6"/>
  <c r="G177" i="6" l="1"/>
  <c r="G158" i="6"/>
  <c r="G186" i="6"/>
  <c r="G179" i="6"/>
  <c r="G171" i="6"/>
  <c r="G164" i="6"/>
  <c r="G161" i="6"/>
  <c r="G159" i="6"/>
  <c r="G157" i="6"/>
  <c r="K147" i="6"/>
  <c r="K145" i="6" s="1"/>
  <c r="L147" i="6"/>
  <c r="J147" i="6"/>
  <c r="J145" i="6" s="1"/>
  <c r="G152" i="6"/>
  <c r="H142" i="6"/>
  <c r="G142" i="6" s="1"/>
  <c r="J141" i="6"/>
  <c r="G141" i="6" s="1"/>
  <c r="G137" i="6"/>
  <c r="G133" i="6"/>
  <c r="G132" i="6"/>
  <c r="G130" i="6"/>
  <c r="J124" i="6"/>
  <c r="G120" i="6"/>
  <c r="G119" i="6"/>
  <c r="G118" i="6"/>
  <c r="G117" i="6"/>
  <c r="G113" i="6"/>
  <c r="G109" i="6"/>
  <c r="K65" i="6"/>
  <c r="G65" i="6" s="1"/>
  <c r="J55" i="6"/>
  <c r="H55" i="6"/>
  <c r="K53" i="6"/>
  <c r="I53" i="6"/>
  <c r="J46" i="6"/>
  <c r="H46" i="6"/>
  <c r="J43" i="6"/>
  <c r="H43" i="6"/>
  <c r="J42" i="6"/>
  <c r="H42" i="6"/>
  <c r="H189" i="6"/>
  <c r="H147" i="6" s="1"/>
  <c r="H145" i="6" s="1"/>
  <c r="G187" i="6"/>
  <c r="G176" i="6"/>
  <c r="G175" i="6"/>
  <c r="G172" i="6"/>
  <c r="G170" i="6"/>
  <c r="G169" i="6"/>
  <c r="G168" i="6"/>
  <c r="G167" i="6"/>
  <c r="G166" i="6"/>
  <c r="G165" i="6"/>
  <c r="G160" i="6"/>
  <c r="G156" i="6"/>
  <c r="G154" i="6"/>
  <c r="G153" i="6"/>
  <c r="G140" i="6"/>
  <c r="G139" i="6"/>
  <c r="G138" i="6"/>
  <c r="G136" i="6"/>
  <c r="G135" i="6"/>
  <c r="G131" i="6"/>
  <c r="G129" i="6"/>
  <c r="G126" i="6"/>
  <c r="G125" i="6"/>
  <c r="G123" i="6"/>
  <c r="G122" i="6"/>
  <c r="I121" i="6"/>
  <c r="G121" i="6" s="1"/>
  <c r="G116" i="6"/>
  <c r="G114" i="6"/>
  <c r="G112" i="6"/>
  <c r="J111" i="6"/>
  <c r="G111" i="6" s="1"/>
  <c r="G110" i="6"/>
  <c r="G108" i="6"/>
  <c r="K55" i="6"/>
  <c r="I55" i="6"/>
  <c r="J53" i="6"/>
  <c r="H53" i="6"/>
  <c r="K46" i="6"/>
  <c r="I46" i="6"/>
  <c r="K43" i="6"/>
  <c r="I43" i="6"/>
  <c r="K42" i="6"/>
  <c r="I42" i="6"/>
  <c r="I30" i="6"/>
  <c r="G30" i="6" s="1"/>
  <c r="K99" i="6"/>
  <c r="G99" i="6" s="1"/>
  <c r="K103" i="6"/>
  <c r="H22" i="6"/>
  <c r="K16" i="6"/>
  <c r="G16" i="6" s="1"/>
  <c r="K21" i="6"/>
  <c r="I21" i="6"/>
  <c r="J21" i="6"/>
  <c r="H21" i="6"/>
  <c r="L145" i="6" l="1"/>
  <c r="G46" i="6"/>
  <c r="G53" i="6"/>
  <c r="I28" i="6"/>
  <c r="I82" i="6"/>
  <c r="H82" i="6"/>
  <c r="H18" i="6"/>
  <c r="H79" i="6" s="1"/>
  <c r="G21" i="6"/>
  <c r="K32" i="6"/>
  <c r="K82" i="6"/>
  <c r="H419" i="6"/>
  <c r="H84" i="6"/>
  <c r="K29" i="6"/>
  <c r="I40" i="6"/>
  <c r="I48" i="6"/>
  <c r="K63" i="6"/>
  <c r="I31" i="6"/>
  <c r="J31" i="6"/>
  <c r="J40" i="6"/>
  <c r="J64" i="6"/>
  <c r="K64" i="6"/>
  <c r="J28" i="6"/>
  <c r="J32" i="6"/>
  <c r="J36" i="6"/>
  <c r="K37" i="6"/>
  <c r="K40" i="6"/>
  <c r="J44" i="6"/>
  <c r="I45" i="6"/>
  <c r="I47" i="6"/>
  <c r="K52" i="6"/>
  <c r="I54" i="6"/>
  <c r="J57" i="6"/>
  <c r="I58" i="6"/>
  <c r="I61" i="6"/>
  <c r="I104" i="6"/>
  <c r="K124" i="6"/>
  <c r="I36" i="6"/>
  <c r="I44" i="6"/>
  <c r="H45" i="6"/>
  <c r="J47" i="6"/>
  <c r="H54" i="6"/>
  <c r="I57" i="6"/>
  <c r="J58" i="6"/>
  <c r="H61" i="6"/>
  <c r="H63" i="6"/>
  <c r="H115" i="6"/>
  <c r="J104" i="6"/>
  <c r="H124" i="6"/>
  <c r="I32" i="6"/>
  <c r="K39" i="6"/>
  <c r="J52" i="6"/>
  <c r="J82" i="6"/>
  <c r="J22" i="6"/>
  <c r="L101" i="6"/>
  <c r="L100" i="6" s="1"/>
  <c r="L94" i="6"/>
  <c r="L384" i="6" s="1"/>
  <c r="L417" i="6" s="1"/>
  <c r="K48" i="6"/>
  <c r="K101" i="6"/>
  <c r="K94" i="6"/>
  <c r="K31" i="6"/>
  <c r="H31" i="6"/>
  <c r="G31" i="6" s="1"/>
  <c r="J48" i="6"/>
  <c r="H48" i="6"/>
  <c r="G48" i="6" s="1"/>
  <c r="H40" i="6"/>
  <c r="H64" i="6"/>
  <c r="I64" i="6"/>
  <c r="H28" i="6"/>
  <c r="I29" i="6"/>
  <c r="G29" i="6" s="1"/>
  <c r="H32" i="6"/>
  <c r="H36" i="6"/>
  <c r="I37" i="6"/>
  <c r="G37" i="6" s="1"/>
  <c r="H44" i="6"/>
  <c r="K45" i="6"/>
  <c r="K47" i="6"/>
  <c r="I52" i="6"/>
  <c r="K54" i="6"/>
  <c r="H57" i="6"/>
  <c r="K58" i="6"/>
  <c r="K61" i="6"/>
  <c r="I63" i="6"/>
  <c r="I115" i="6"/>
  <c r="I124" i="6"/>
  <c r="K36" i="6"/>
  <c r="J39" i="6"/>
  <c r="K44" i="6"/>
  <c r="J45" i="6"/>
  <c r="H47" i="6"/>
  <c r="G47" i="6" s="1"/>
  <c r="J54" i="6"/>
  <c r="K57" i="6"/>
  <c r="H58" i="6"/>
  <c r="G58" i="6" s="1"/>
  <c r="J61" i="6"/>
  <c r="J63" i="6"/>
  <c r="V101" i="6"/>
  <c r="V94" i="6"/>
  <c r="V384" i="6" s="1"/>
  <c r="V417" i="6" s="1"/>
  <c r="J115" i="6"/>
  <c r="K143" i="6"/>
  <c r="G143" i="6" s="1"/>
  <c r="H39" i="6"/>
  <c r="I39" i="6"/>
  <c r="H52" i="6"/>
  <c r="G52" i="6" s="1"/>
  <c r="K115" i="6"/>
  <c r="G189" i="6"/>
  <c r="G147" i="6" s="1"/>
  <c r="G145" i="6" s="1"/>
  <c r="G42" i="6"/>
  <c r="G43" i="6"/>
  <c r="G55" i="6"/>
  <c r="V92" i="6" l="1"/>
  <c r="V100" i="6"/>
  <c r="AA104" i="6"/>
  <c r="AA106" i="6" s="1"/>
  <c r="AA108" i="6" s="1"/>
  <c r="L382" i="6"/>
  <c r="L416" i="6"/>
  <c r="G144" i="6"/>
  <c r="K144" i="6"/>
  <c r="K22" i="6"/>
  <c r="I22" i="6"/>
  <c r="J419" i="6"/>
  <c r="J84" i="6"/>
  <c r="J18" i="6"/>
  <c r="J79" i="6" s="1"/>
  <c r="G82" i="6"/>
  <c r="K28" i="6"/>
  <c r="G39" i="6"/>
  <c r="G57" i="6"/>
  <c r="G44" i="6"/>
  <c r="G36" i="6"/>
  <c r="G28" i="6"/>
  <c r="G64" i="6"/>
  <c r="K384" i="6"/>
  <c r="K382" i="6" s="1"/>
  <c r="K92" i="6"/>
  <c r="L92" i="6"/>
  <c r="G124" i="6"/>
  <c r="J95" i="6"/>
  <c r="J385" i="6" s="1"/>
  <c r="J103" i="6"/>
  <c r="G115" i="6"/>
  <c r="H103" i="6"/>
  <c r="G63" i="6"/>
  <c r="G54" i="6"/>
  <c r="G45" i="6"/>
  <c r="I95" i="6"/>
  <c r="I385" i="6" s="1"/>
  <c r="I103" i="6"/>
  <c r="Q101" i="6"/>
  <c r="Q100" i="6" s="1"/>
  <c r="Q94" i="6"/>
  <c r="Q384" i="6" s="1"/>
  <c r="Q417" i="6" s="1"/>
  <c r="G61" i="6"/>
  <c r="G32" i="6"/>
  <c r="G40" i="6"/>
  <c r="Y418" i="6" l="1"/>
  <c r="Q382" i="6"/>
  <c r="Q92" i="6"/>
  <c r="K417" i="6"/>
  <c r="H101" i="6"/>
  <c r="H94" i="6"/>
  <c r="J101" i="6"/>
  <c r="J94" i="6"/>
  <c r="V382" i="6"/>
  <c r="V416" i="6"/>
  <c r="I419" i="6"/>
  <c r="I84" i="6"/>
  <c r="I18" i="6"/>
  <c r="I79" i="6" s="1"/>
  <c r="G22" i="6"/>
  <c r="K419" i="6"/>
  <c r="K84" i="6"/>
  <c r="K18" i="6"/>
  <c r="K79" i="6" s="1"/>
  <c r="I101" i="6"/>
  <c r="I94" i="6"/>
  <c r="G103" i="6"/>
  <c r="Q416" i="6" l="1"/>
  <c r="K416" i="6"/>
  <c r="G94" i="6"/>
  <c r="G101" i="6"/>
  <c r="G100" i="6" s="1"/>
  <c r="K100" i="6" s="1"/>
  <c r="J92" i="6"/>
  <c r="J384" i="6"/>
  <c r="H384" i="6"/>
  <c r="H92" i="6"/>
  <c r="I92" i="6"/>
  <c r="I384" i="6"/>
  <c r="G419" i="6"/>
  <c r="G84" i="6"/>
  <c r="G18" i="6"/>
  <c r="I382" i="6" l="1"/>
  <c r="I417" i="6"/>
  <c r="I416" i="6" s="1"/>
  <c r="J382" i="6"/>
  <c r="J417" i="6"/>
  <c r="J416" i="6" s="1"/>
  <c r="G79" i="6"/>
  <c r="G17" i="6"/>
  <c r="K17" i="6" s="1"/>
  <c r="H382" i="6"/>
  <c r="H417" i="6"/>
  <c r="H416" i="6" s="1"/>
  <c r="G384" i="6"/>
  <c r="G92" i="6"/>
  <c r="G382" i="6" l="1"/>
  <c r="G417" i="6"/>
  <c r="G416" i="6" s="1"/>
  <c r="P315" i="6"/>
  <c r="P387" i="6" s="1"/>
  <c r="P421" i="6" s="1"/>
  <c r="P309" i="6" l="1"/>
  <c r="P384" i="6"/>
  <c r="P382" i="6" l="1"/>
  <c r="P417" i="6"/>
  <c r="P416" i="6" s="1"/>
</calcChain>
</file>

<file path=xl/comments1.xml><?xml version="1.0" encoding="utf-8"?>
<comments xmlns="http://schemas.openxmlformats.org/spreadsheetml/2006/main">
  <authors>
    <author>Громенко Елена Николаевна</author>
    <author>Зуева Анастасия Игоревна</author>
    <author>Жукова Ольга Сергеевна</author>
  </authors>
  <commentList>
    <comment ref="V11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31,5 км без учета приведения мостов в КМ</t>
        </r>
      </text>
    </comment>
    <comment ref="W11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38,8 км без учета приведения мостов в КМ</t>
        </r>
      </text>
    </comment>
    <comment ref="Y66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подходы 0,3 км</t>
        </r>
      </text>
    </comment>
    <comment ref="A70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 в приоритетных направлениях Министерства сельского х-ва</t>
        </r>
      </text>
    </comment>
    <comment ref="Q96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43915,7 по  расчету стартовой цены!!!</t>
        </r>
      </text>
    </comment>
    <comment ref="A98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 в приоритетных направлениях Министерства сельского х-ва</t>
        </r>
      </text>
    </comment>
    <comment ref="Y115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в файле подходы 0,08 км…по проекту 0,0766 км</t>
        </r>
      </text>
    </comment>
    <comment ref="A142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 на участке км 11+223  - км 26+223 </t>
        </r>
      </text>
    </comment>
    <comment ref="A176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в  файле без "Новосибирской области"</t>
        </r>
      </text>
    </comment>
    <comment ref="A186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объекта!
Дублирует объкт выше</t>
        </r>
      </text>
    </comment>
    <comment ref="V186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?????</t>
        </r>
      </text>
    </comment>
    <comment ref="Y208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введем в 2016 г.</t>
        </r>
      </text>
    </comment>
    <comment ref="A218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</t>
        </r>
      </text>
    </comment>
    <comment ref="A241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нет объекта</t>
        </r>
      </text>
    </comment>
    <comment ref="Y249" authorId="1">
      <text>
        <r>
          <rPr>
            <b/>
            <sz val="9"/>
            <color indexed="81"/>
            <rFont val="Tahoma"/>
            <family val="2"/>
            <charset val="204"/>
          </rPr>
          <t xml:space="preserve">Зуева Анастасия Игоревна:
</t>
        </r>
        <r>
          <rPr>
            <sz val="9"/>
            <color indexed="81"/>
            <rFont val="Tahoma"/>
            <family val="2"/>
            <charset val="204"/>
          </rPr>
          <t>протяженность 10 км</t>
        </r>
      </text>
    </comment>
    <comment ref="A276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повтор слов</t>
        </r>
      </text>
    </comment>
    <comment ref="A285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 "в Новосибирском районе Новосибирской области"</t>
        </r>
      </text>
    </comment>
    <comment ref="A293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не прописан "Новосибирский район" в нашем файле</t>
        </r>
      </text>
    </comment>
    <comment ref="Y293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тоннель 157 п.м. подходы 1,0 км
</t>
        </r>
      </text>
    </comment>
    <comment ref="A374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должно быть "в Усть-Таркском районе Новосибирской области"</t>
        </r>
      </text>
    </comment>
    <comment ref="Q376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263 216,4 по расчету стартовой цены</t>
        </r>
      </text>
    </comment>
    <comment ref="Q427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26662,8</t>
        </r>
      </text>
    </comment>
    <comment ref="Q435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а где 500 млн. руб, снятые с ТУАД на эти цели</t>
        </r>
      </text>
    </comment>
    <comment ref="V721" authorId="0">
      <text>
        <r>
          <rPr>
            <b/>
            <sz val="9"/>
            <color indexed="81"/>
            <rFont val="Tahoma"/>
            <family val="2"/>
            <charset val="204"/>
          </rPr>
          <t>Громенко Елена Николаевна:</t>
        </r>
        <r>
          <rPr>
            <sz val="9"/>
            <color indexed="81"/>
            <rFont val="Tahoma"/>
            <family val="2"/>
            <charset val="204"/>
          </rPr>
          <t xml:space="preserve">
75,3 км  в связи с изм. В Тогучинском р-не </t>
        </r>
      </text>
    </comment>
    <comment ref="Q839" authorId="1">
      <text>
        <r>
          <rPr>
            <b/>
            <sz val="9"/>
            <color indexed="81"/>
            <rFont val="Tahoma"/>
            <family val="2"/>
            <charset val="204"/>
          </rPr>
          <t>Зуева Анастасия Игоревна:</t>
        </r>
        <r>
          <rPr>
            <sz val="9"/>
            <color indexed="81"/>
            <rFont val="Tahoma"/>
            <family val="2"/>
            <charset val="204"/>
          </rPr>
          <t xml:space="preserve">
2,53 по проекту</t>
        </r>
      </text>
    </comment>
    <comment ref="V887" authorId="2">
      <text>
        <r>
          <rPr>
            <b/>
            <sz val="9"/>
            <color indexed="81"/>
            <rFont val="Tahoma"/>
            <family val="2"/>
            <charset val="204"/>
          </rPr>
          <t>Жукова Ольга Сергеевна:</t>
        </r>
        <r>
          <rPr>
            <sz val="9"/>
            <color indexed="81"/>
            <rFont val="Tahoma"/>
            <family val="2"/>
            <charset val="204"/>
          </rPr>
          <t xml:space="preserve">
физ.объемы отсутствуют</t>
        </r>
      </text>
    </comment>
  </commentList>
</comments>
</file>

<file path=xl/comments2.xml><?xml version="1.0" encoding="utf-8"?>
<comments xmlns="http://schemas.openxmlformats.org/spreadsheetml/2006/main">
  <authors>
    <author>Эпов Сергей Витальевич</author>
  </authors>
  <commentList>
    <comment ref="D50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</t>
        </r>
        <r>
          <rPr>
            <sz val="9"/>
            <color indexed="81"/>
            <rFont val="Tahoma"/>
            <family val="2"/>
            <charset val="204"/>
          </rPr>
          <t xml:space="preserve">
741-р от 21.04.2016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
740-р от 21.04.2016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5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прочие</t>
        </r>
        <r>
          <rPr>
            <sz val="12"/>
            <color indexed="81"/>
            <rFont val="Tahoma"/>
            <family val="2"/>
            <charset val="204"/>
          </rPr>
          <t xml:space="preserve"> затраты (ПСД, конкурсная документация, выкуп земельных участков)</t>
        </r>
      </text>
    </comment>
    <comment ref="A56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капитальные затраты</t>
        </r>
      </text>
    </comment>
  </commentList>
</comments>
</file>

<file path=xl/comments3.xml><?xml version="1.0" encoding="utf-8"?>
<comments xmlns="http://schemas.openxmlformats.org/spreadsheetml/2006/main">
  <authors>
    <author>Эпов Сергей Витальевич</author>
  </authors>
  <commentList>
    <comment ref="D49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</t>
        </r>
        <r>
          <rPr>
            <sz val="9"/>
            <color indexed="81"/>
            <rFont val="Tahoma"/>
            <family val="2"/>
            <charset val="204"/>
          </rPr>
          <t xml:space="preserve">
741-р от 21.04.2016</t>
        </r>
      </text>
    </comment>
    <comment ref="D51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
740-р от 21.04.2016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5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81"/>
            <rFont val="Tahoma"/>
            <family val="2"/>
            <charset val="204"/>
          </rPr>
          <t>прочие</t>
        </r>
        <r>
          <rPr>
            <sz val="12"/>
            <color indexed="81"/>
            <rFont val="Tahoma"/>
            <family val="2"/>
            <charset val="204"/>
          </rPr>
          <t xml:space="preserve"> затраты (ПСД, конкурсная документация, выкуп земельных участков)</t>
        </r>
      </text>
    </comment>
    <comment ref="A56" authorId="0">
      <text>
        <r>
          <rPr>
            <b/>
            <sz val="9"/>
            <color indexed="81"/>
            <rFont val="Tahoma"/>
            <family val="2"/>
            <charset val="204"/>
          </rPr>
          <t>Эпов Сергей Витальевич: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капитальные затраты</t>
        </r>
      </text>
    </comment>
  </commentList>
</comments>
</file>

<file path=xl/sharedStrings.xml><?xml version="1.0" encoding="utf-8"?>
<sst xmlns="http://schemas.openxmlformats.org/spreadsheetml/2006/main" count="3263" uniqueCount="699">
  <si>
    <t>Наименование мероприятия</t>
  </si>
  <si>
    <t>Наименование показателя</t>
  </si>
  <si>
    <t>Ответственный исполнитель</t>
  </si>
  <si>
    <t>Ожидаемый результат (краткое описание)</t>
  </si>
  <si>
    <t>ГРБС</t>
  </si>
  <si>
    <t>Рз Пр</t>
  </si>
  <si>
    <t>ЦСР</t>
  </si>
  <si>
    <t>ВР</t>
  </si>
  <si>
    <t>Значение показателя на 2016 год</t>
  </si>
  <si>
    <t>Значение показателя на 2017 год</t>
  </si>
  <si>
    <t xml:space="preserve">в том числе: </t>
  </si>
  <si>
    <t xml:space="preserve">областной бюджет </t>
  </si>
  <si>
    <t xml:space="preserve">местные бюджеты </t>
  </si>
  <si>
    <t>1.1.1. Обеспечение развития, сохранности и восстановления автомобильных дорог регионального, межмуниципального и местного значения  и искусственных сооружений на них в Новосибирской области</t>
  </si>
  <si>
    <t>Строительство автомобильной дороги "205 км а/д "К-01" - Стретенка" в Баганском районе Новосибирской области</t>
  </si>
  <si>
    <t>Строительство автомобильной дороги "18 км а/д "Н-0202" - Александро-Невский" в Баганском районе Новосибирской области</t>
  </si>
  <si>
    <t>0409</t>
  </si>
  <si>
    <t>61004ХХ</t>
  </si>
  <si>
    <t>Реконструкция автомобильной дороги "131 км а/д "К-22" - Игнатьевка" в Венгеровском районе Новосибирской области</t>
  </si>
  <si>
    <t>Реконструкция автомобильной дороги "106 км а/д "К-07" - Индерь (центр. усадьба)" в Доволенском районе Новосибирской области</t>
  </si>
  <si>
    <t>мост ч/р Ояш на 8 км а/д "100 км а/д "М-53" -  Сибиряк", Болотнинский район</t>
  </si>
  <si>
    <t>Строительство автомобильной дороги "Сузун - Мереть" в Сузунском районе Новосибирской области</t>
  </si>
  <si>
    <t>Строительство автомобильной дороги "Новопервомайское - Платоновка" в Татарском районе Новосибирской области</t>
  </si>
  <si>
    <t xml:space="preserve">Прочие  затраты </t>
  </si>
  <si>
    <t>мост ч/р Большеречье на 1 км а/д "Большеречье-Новопокровка", Кыштовский район</t>
  </si>
  <si>
    <t>Стоимость единицы, тыс.руб.</t>
  </si>
  <si>
    <t xml:space="preserve">Сумма затрат, тыс.руб., </t>
  </si>
  <si>
    <t>Минтранс НСО, ГКУ НСО ТУАД</t>
  </si>
  <si>
    <t>ХХХХХХХ</t>
  </si>
  <si>
    <t>ХХХ</t>
  </si>
  <si>
    <t xml:space="preserve"> в том числе по объектам:</t>
  </si>
  <si>
    <t>в том числе:</t>
  </si>
  <si>
    <t>Объем работ уточняется</t>
  </si>
  <si>
    <t>Прочие затраты</t>
  </si>
  <si>
    <t>тыс.руб.</t>
  </si>
  <si>
    <t>федеральный бюджет *</t>
  </si>
  <si>
    <t>Капитальный ремонт 1 км автодороги</t>
  </si>
  <si>
    <t>Капитальный ремонт 2,5  км автодороги</t>
  </si>
  <si>
    <t xml:space="preserve"> Капитальный ремонт 2 км автодороги</t>
  </si>
  <si>
    <t>Капитальный ремонт 2,5 км автодороги</t>
  </si>
  <si>
    <t>Капитальный ремонт 0,2 км автодороги</t>
  </si>
  <si>
    <t xml:space="preserve"> Ремонт 1 км автодороги</t>
  </si>
  <si>
    <t>в том числе по районам:</t>
  </si>
  <si>
    <t>Баганский район</t>
  </si>
  <si>
    <t>Барабинский район</t>
  </si>
  <si>
    <t>Болотнинский район</t>
  </si>
  <si>
    <t>Венгеровский район</t>
  </si>
  <si>
    <t>Доволенский район</t>
  </si>
  <si>
    <t>Здвинский район</t>
  </si>
  <si>
    <t>Искитимский район</t>
  </si>
  <si>
    <t>Карасукский район</t>
  </si>
  <si>
    <t>Каргатский район</t>
  </si>
  <si>
    <t>Колыванский район</t>
  </si>
  <si>
    <t>Коченевский район</t>
  </si>
  <si>
    <t>Кочковский район</t>
  </si>
  <si>
    <t>Краснозерский район</t>
  </si>
  <si>
    <t>Куйбышевский район</t>
  </si>
  <si>
    <t>Купинский район</t>
  </si>
  <si>
    <t>Кыштовский район</t>
  </si>
  <si>
    <t>Маслянинский район</t>
  </si>
  <si>
    <t>Мошковский район</t>
  </si>
  <si>
    <t>Новосибирский район</t>
  </si>
  <si>
    <t>Ордынский район</t>
  </si>
  <si>
    <t>Северный район</t>
  </si>
  <si>
    <t>Сузунский район</t>
  </si>
  <si>
    <t>Татарский район</t>
  </si>
  <si>
    <t>Тогучинский район</t>
  </si>
  <si>
    <t>Убинский район</t>
  </si>
  <si>
    <t>Усть-Таркский район</t>
  </si>
  <si>
    <t>Чановский район</t>
  </si>
  <si>
    <t>Черепановский район</t>
  </si>
  <si>
    <t>Чистоозерный район</t>
  </si>
  <si>
    <t>Чулымский район</t>
  </si>
  <si>
    <t>Содержание  базы  материалов  2-й  группы</t>
  </si>
  <si>
    <t>Совершенствование дорожных технологий, конструкций и материалов, разработка индивидуальных сметных норм и единичных расценок, отсутствующих в сметной нормативной базе</t>
  </si>
  <si>
    <t>Количество муниципальных образований</t>
  </si>
  <si>
    <t>г. Бердск</t>
  </si>
  <si>
    <t>г.Искитим</t>
  </si>
  <si>
    <t>р.п. Кольцово</t>
  </si>
  <si>
    <t>г.Обь</t>
  </si>
  <si>
    <t>г.Новосибирск</t>
  </si>
  <si>
    <t>внебюджетные источники*</t>
  </si>
  <si>
    <t>1.2. Задача 2: Перевод автомобильной дороги «Новосибирск – Кочки – Павлодар (в пред. РФ)» на участке Новосибирск – Ярково в Новосибирском районе Новосибирской области в 1 техническую категорию.</t>
  </si>
  <si>
    <t>1.2.1. Реконструкция автомобильной дороги «Новосибирск – Кочки – Павлодар (в пред. РФ)» на участке Новосибирск – Ярково в Новосибирском районе Новосибирской области на условиях государственно-частного партнерства</t>
  </si>
  <si>
    <t xml:space="preserve">1.2.1.1. Реконструкция автомобильной дороги «Новосибирск – Кочки – Павлодар (в пред. РФ)» на участке Новосибирск – Ярково в Новосибирском районе Новосибирской области </t>
  </si>
  <si>
    <t>Выполнение строительно-монтажных работ по реконструкции 18 км автомобильной дороги «Новосибирск – Кочки – Павлодар (в пред. РФ)» на участке Новосибирск – Ярково за счет средств частного инвестора.</t>
  </si>
  <si>
    <t xml:space="preserve">1.2.1.2. Компенсация инвестиционных и эксплуатационных затрат за реконструкцию автомобильной дороги «Новосибирск – Кочки – Павлодар (в пред. РФ)» на участке Новосибирск – Ярково в Новосибирском районе Новосибирской области </t>
  </si>
  <si>
    <t>Итого на решение задачи 2:</t>
  </si>
  <si>
    <t>Компенсация собственных и заемных средств частного инвестора, соответствующей доходности (доходность акционеров, проценты по займам), а также расходов частного инвестора на содержание и ремонт дороги из областного бюджета Новосибирской области ( в соответствии с частью 13 статьи 3 Федерального закона от 21.07.2005 № 115-ФЗ «О концессионных соглашениях»).</t>
  </si>
  <si>
    <t>Сумма затрат по государственной программе:</t>
  </si>
  <si>
    <t>Минтранс НСО, ГКУ НСО ТУАД  во взаимодействии с организациями-исполнителями</t>
  </si>
  <si>
    <t>Мощность, км</t>
  </si>
  <si>
    <t xml:space="preserve">местные бюджеты* </t>
  </si>
  <si>
    <t>Количество, км</t>
  </si>
  <si>
    <t>Таблица 2</t>
  </si>
  <si>
    <t>Капитальный ремонт 0,28 км автодороги</t>
  </si>
  <si>
    <t>Капитальный ремонт 123,1 п.м</t>
  </si>
  <si>
    <t>а/д "12 км а/д "К-12" -  Криводановка"</t>
  </si>
  <si>
    <t>а/д "992 км а/д "М-51"-Купино-Карасук", Татарский район</t>
  </si>
  <si>
    <t>Баганский район:</t>
  </si>
  <si>
    <t>Болотнинский район:</t>
  </si>
  <si>
    <t>Венгеровский район:</t>
  </si>
  <si>
    <t>Доволенский район:</t>
  </si>
  <si>
    <t>Искитимский район:</t>
  </si>
  <si>
    <t>Коченевский район:</t>
  </si>
  <si>
    <t>Кыштовский район:</t>
  </si>
  <si>
    <t>Новосибирский район:</t>
  </si>
  <si>
    <t>Ордынский район:</t>
  </si>
  <si>
    <t>Сузунский район:</t>
  </si>
  <si>
    <t>Татарский район:</t>
  </si>
  <si>
    <t>Усть-Таркский район:</t>
  </si>
  <si>
    <t>Чистоозерный район:</t>
  </si>
  <si>
    <t>а/д «Баган - Палецкое - Кучугур (в гр. района)»</t>
  </si>
  <si>
    <t>капитальный ремонт водопропускных труб</t>
  </si>
  <si>
    <t>а/д «1152 км а/д «М-51» - Таскаево - Бакмасиха»</t>
  </si>
  <si>
    <t>капремонт водопропускных труб</t>
  </si>
  <si>
    <t>а/д "127 км а/д "М-53" -  Болотное"</t>
  </si>
  <si>
    <t>а/д «52 км а/д «К-02» - Филошенка»</t>
  </si>
  <si>
    <t>а/д « 99 км а/д «К-02» - Павлово»</t>
  </si>
  <si>
    <t>а/д «Чаны - Венгерово - Кыштовка»</t>
  </si>
  <si>
    <t>Барабинский район:</t>
  </si>
  <si>
    <t>Здвинский район:</t>
  </si>
  <si>
    <t>а/д "Легостаево - Новососедово - Верх-Ики ( в гр.района)" (ликвидация оврагообразования)</t>
  </si>
  <si>
    <t>а/д «992 км а/д «М-51» - Купино - Карасук»</t>
  </si>
  <si>
    <t>Карасукский район:</t>
  </si>
  <si>
    <t>а/д «232 км а/д «К-01» - Благодатное - Шилово-Курья - 377 км а/д «К-17р»</t>
  </si>
  <si>
    <t>мост ч/р Скалушка на 55 км а/д «Новосибирск - Колывань -Томск (в границах НСО)»</t>
  </si>
  <si>
    <t>Колыванский район:</t>
  </si>
  <si>
    <t>путепровод на 1 км автодороги "71 км а/д "М-52"-Легостаево-Чемское- 76 км а/д "К-16" (в гр. района)"</t>
  </si>
  <si>
    <t>Каргатский район:</t>
  </si>
  <si>
    <t>Краснозерский район:</t>
  </si>
  <si>
    <t>а/д «Куйбышев - Чумаково - Балман»</t>
  </si>
  <si>
    <t>Куйбышевский район:</t>
  </si>
  <si>
    <t>а/д «56 км а/д «Н-3118» - Чаинка - Тюменка»</t>
  </si>
  <si>
    <t>Купинский район:</t>
  </si>
  <si>
    <t>а/д «155 км а/д «К-02» - Межовка - гр. Северного района»</t>
  </si>
  <si>
    <t>а/д «105 км а/д «М-52» - Черепаново -  Маслянино»</t>
  </si>
  <si>
    <t>Маслянинский район:</t>
  </si>
  <si>
    <t xml:space="preserve"> Мошковский район:</t>
  </si>
  <si>
    <t>а/д «Новосибирск - Колывань - Томск» (в границах НСО),</t>
  </si>
  <si>
    <t>а/д «109 км а/д «К-17р»-Вагайцево-Усть-Луковка»</t>
  </si>
  <si>
    <t>а/д «Северное - Биаза - гр. Кыштовского района»</t>
  </si>
  <si>
    <t xml:space="preserve"> Северный район:</t>
  </si>
  <si>
    <t>Тогучинский район:</t>
  </si>
  <si>
    <t>а/д «1234 км а/д «М-51» - Крещенское»</t>
  </si>
  <si>
    <t>Убинский район:</t>
  </si>
  <si>
    <t>Усть-Таркский район :</t>
  </si>
  <si>
    <t>Чановский район:</t>
  </si>
  <si>
    <t>Черепановский район:</t>
  </si>
  <si>
    <t>а/д «28 км а/д «Н-3105» - Ольгино»</t>
  </si>
  <si>
    <t xml:space="preserve"> Чулымский район:</t>
  </si>
  <si>
    <t>Код бюджетной классификации</t>
  </si>
  <si>
    <t xml:space="preserve">Значение показателя на 2015 год, </t>
  </si>
  <si>
    <t>Значение показателя на 2015 год (поквартально)</t>
  </si>
  <si>
    <t>1 кв.</t>
  </si>
  <si>
    <t>2 кв.</t>
  </si>
  <si>
    <t>3 кв.</t>
  </si>
  <si>
    <t>4 кв.</t>
  </si>
  <si>
    <t>а/д "Баган - Палецкое - Кучугур (в гр. района)"</t>
  </si>
  <si>
    <t>а/д "1152 км а/д "М-51" - Таскаево - Бакмасиха"</t>
  </si>
  <si>
    <t>а/д "Болотное - Большая Черная"</t>
  </si>
  <si>
    <t>а/д "235 км а/д "К-17р" - Согорное  (в гр. района)"</t>
  </si>
  <si>
    <t>а/д "Здвинск - Барабинск"</t>
  </si>
  <si>
    <t>а/д "54 км а/д "М-52" - Завьялово - Факел Революции"</t>
  </si>
  <si>
    <t xml:space="preserve"> Искитимский район:</t>
  </si>
  <si>
    <t>а/д "Новосибирск-Кочки-Павлодар (в пред. РФ)"</t>
  </si>
  <si>
    <t>а/д "7 км а/д "Н-0804" - Усть-Чем - 49 км а/д "К-28"</t>
  </si>
  <si>
    <t>а/д "Барабинск - Новоульяновское"</t>
  </si>
  <si>
    <t>а/д "60 км а/д "К-09" - Довольное"</t>
  </si>
  <si>
    <t>а/д "Каргат - Маршанское"</t>
  </si>
  <si>
    <t>а/д "60 а/д "К-09" - Довольное"</t>
  </si>
  <si>
    <t>а/д "Новосибирск-Кочки-Павлодар (в пред.РФ)" (поверхностная обработка)</t>
  </si>
  <si>
    <t>Кочковский район:</t>
  </si>
  <si>
    <t>а/д "Куйбышев - Северное"</t>
  </si>
  <si>
    <t>а/д "992 км а/д "М-51" - Купино - Карасук"</t>
  </si>
  <si>
    <t>а/д "Кыштовка - Малокрасноярка"</t>
  </si>
  <si>
    <t>ремонт водопропускных труб</t>
  </si>
  <si>
    <t>а/д "60 км а/д "М-53" - Мошково - Белоярка"</t>
  </si>
  <si>
    <t>Мошковский район:</t>
  </si>
  <si>
    <t>а/д "Новосибирск - Кочки - Павлодар (в пред.РФ)"</t>
  </si>
  <si>
    <t>Северный район:</t>
  </si>
  <si>
    <t>а/д "8 км а/д "Н-2404" - Красный Камешок - Ключики"</t>
  </si>
  <si>
    <t>а/д "17 км а/д "Н-3105" - Чаячье - Елизаветинка"</t>
  </si>
  <si>
    <t>Чулымский район:</t>
  </si>
  <si>
    <t>а/д «75 км а/д «К-04» - Федоровка»</t>
  </si>
  <si>
    <t>а/д «9 км а/д «К-14» - Верх-Мильтюши - Куриловка»</t>
  </si>
  <si>
    <t>а/д «105 км а/д «М-52» - Сузун»</t>
  </si>
  <si>
    <t>а/д «105 км а/д «М-52» - Черепаново - Маслянино»</t>
  </si>
  <si>
    <t>а/д «1047 км а/д «М-51» - Блюдчанское  - Черниговка - Блюдцы»</t>
  </si>
  <si>
    <t>а/д «24 км а/д «Н-2802»-Новоникольск»</t>
  </si>
  <si>
    <t>а/д «Татарск - Зубовка»</t>
  </si>
  <si>
    <t>а/д «4 км а/д «Н-2304»-Витинск»</t>
  </si>
  <si>
    <t>а/д «Инская - Барышево - 39 км а/д «К-19р» (в гр. района)»</t>
  </si>
  <si>
    <t>а/д  «Новосибирск -   Каменка»</t>
  </si>
  <si>
    <t>а/д «127 км а/д «К-19р» -Дубровка-Маслянино»</t>
  </si>
  <si>
    <t>Количество **</t>
  </si>
  <si>
    <t>Мощность,                           км</t>
  </si>
  <si>
    <t>мост ч/р Амба на 61 км а/д «Новосибирск - Колывань -Томск (в границах НСО)»</t>
  </si>
  <si>
    <t>а/д «Новосибирск - Колывань - Томск» (в границах НСО)</t>
  </si>
  <si>
    <t>мост ч/р Безымянная на 62 км а/д "Новосибирск - Колывань -Томск (в границах НСО)"</t>
  </si>
  <si>
    <t>а/д «Куйбышев - Северное»</t>
  </si>
  <si>
    <t>мост ч/р Омь на 2 км а/д "66 км а/д "Н-1408"-Ушково-Михайловка"</t>
  </si>
  <si>
    <t>Мост ч/р Бердь на 42 км а/д "71 км а/д  "М-52" - Легостаево - Чемское - 76 км а/д "К-16" (в гр. района)"</t>
  </si>
  <si>
    <t>а/д «60 а/д «К-09» - Довольное»</t>
  </si>
  <si>
    <t>а/д «203км а/д»К-17р»-Каргат»</t>
  </si>
  <si>
    <t>а/д "93км а/д "К-09" - Первотроицк"</t>
  </si>
  <si>
    <t>а/д "296 км а/д "К-17р" - Полойка -Травное-Довольное (в гр. района)"</t>
  </si>
  <si>
    <t>а/д "Новосибирск-Красный Яр"</t>
  </si>
  <si>
    <t>а/д "105 км а/д "М-52"-Сузун"</t>
  </si>
  <si>
    <t>а/д "Горный – ст.Изынский"</t>
  </si>
  <si>
    <t>а/д «Каргат - Маршанское»</t>
  </si>
  <si>
    <t>Реализация мероприятия позволит предотвратить или ликвидировать последствия стихийных бедствий и чрезвычайных ситуаций в сфере дорожного хозяйства  в случае их возникновения, а также позволит обеспечить финансирование возникших при этом непредвиденных расходов дорожно-строительного комплекса</t>
  </si>
  <si>
    <t>Реализация данного мероприятия позволит устранить деформации и повреждения покрытия проезжей части автомобильных дорог и элементов искусственных дорожных сооружений, восстановить продольный и поперечный профиль проезжей части автомобильных дорог с щебеночным покрытием, в том числе путем добавления нового материала</t>
  </si>
  <si>
    <t>Реализация данного мероприятия позволит повысить пропускную способность и безопасность автомобильных дорог местного значения, прежде всего искусственных сооружений, а также обеспечить устойчивое транспортное сообщение с местами массовой жилищной застройки в населенных пунктах Новосибирской области</t>
  </si>
  <si>
    <t>Минтранс НСО, органы местного самоуправления</t>
  </si>
  <si>
    <t>Минтранс НСО</t>
  </si>
  <si>
    <t xml:space="preserve">Подробный перечень </t>
  </si>
  <si>
    <t xml:space="preserve">планируемых к реализации мероприятий государственной программы Новосибирской области </t>
  </si>
  <si>
    <t>Подробный перечень объектов</t>
  </si>
  <si>
    <t xml:space="preserve"> строительства, реконструкции, капитального ремонта и ремонта автомобильных дорог общего пользования регионального и межмуниципального значения </t>
  </si>
  <si>
    <t>Значение показателя на 2015 год</t>
  </si>
  <si>
    <t>Реализация мероприятия позволит обеспечить безопасное и бесперебойное движение транспорта на автомобильных дорогах общего пользования Новосибирской области</t>
  </si>
  <si>
    <t>Таблица 3</t>
  </si>
  <si>
    <t>Стоимость единицы, тыс.руб. ***</t>
  </si>
  <si>
    <t>*** Стоимость единицы указана в соотношении объема выполняемых работ и общего объема затрат в соответствующем году без поквартальной разбивки.</t>
  </si>
  <si>
    <t>Итого на решение задачи 1.1:</t>
  </si>
  <si>
    <t xml:space="preserve">1.2.1. Капитальный ремонт, ремонт, содержание, иные мероприятия в отношении  автомобильных дорог регионального и межмуниципального значения и искусственных сооружений на них </t>
  </si>
  <si>
    <t>1.2.1.1. Капитальный ремонт автомобильных дорог регионального и межмуниципального значения и искусственных сооружений на них (подробный перечень объектов указан в Таблице 3 плана реализации)</t>
  </si>
  <si>
    <t>1.2.1.2. Ремонт автомобильных дорог регионального и межмуниципального значения и искусственных сооружений на них (подробный перечень объектов указан в Таблице 3 плана реализации)</t>
  </si>
  <si>
    <t xml:space="preserve">1.2.1.3. Содержание автомобильных дорог регионального и межмуниципального значения и искусственных сооружений на них </t>
  </si>
  <si>
    <t xml:space="preserve">1.2.1.4. Выполнение работ по инвентаризации и паспортизации автомобильных дорог регионального и межмуниципального значения и искусственных сооружений на них  </t>
  </si>
  <si>
    <t xml:space="preserve">1.2.1.5. Аварийно-восстановительные работы на автомобильных дорогах регионального и межмуниципального значения и искусственных сооружений на них </t>
  </si>
  <si>
    <t>1.2.1.6. Научно-исследовательские и конструкторские работы  в дорожной отрасли</t>
  </si>
  <si>
    <t xml:space="preserve">1.2.1.7. Разработка проектно-сметной документации для автомобильных дорог регионального и межмуниципального значения </t>
  </si>
  <si>
    <t xml:space="preserve">1.2.1.8. Планово-предупредительный ремонт автомобильных дорог общего пользования  регионального и межмуниципального значения и сооружений на них </t>
  </si>
  <si>
    <t>1.1. Задача: Развитие и модернизация автомобильных дорог общего пользования регионального и межмуниципального значения и искусственных сооружений на них</t>
  </si>
  <si>
    <t>1.1.1. Строительство и реконструкция автомобильных дорог регионального и межмуниципального значения и искусственных сооружений на них (подробный перечень объектов указан в Таблице 3 плана реализации)</t>
  </si>
  <si>
    <t>1.1.1. Строительство и реконструкция автомобильных дорог регионального и межмуниципального значения и искусственных сооружений на них</t>
  </si>
  <si>
    <t>1.2.1.1. Капитальный ремонт автомобильных дорог регионального и межмуниципального значения и искусственных сооружений на них</t>
  </si>
  <si>
    <t xml:space="preserve">1.2.1.2. Ремонт   автомобильных дорог регионального и межмуниципального значения и искусственных сооружений на них </t>
  </si>
  <si>
    <t>Ввод в эксплуатацию 2,051 км автодороги</t>
  </si>
  <si>
    <t>Ввод в эксплуатацию 2,750 км автодороги</t>
  </si>
  <si>
    <t>Ввод в эксплуатацию 2,665 км автодороги</t>
  </si>
  <si>
    <t>Ввод в эксплуатацию 2,066 км автодороги</t>
  </si>
  <si>
    <t>Ввод в эксплуатацию 1,417 км автодороги</t>
  </si>
  <si>
    <t>Ввод в эксплуатацию 2,068 км автодороги</t>
  </si>
  <si>
    <t>Строительство автомобильной дороги "102 км а/д "К-01" - Олтарь" в Чистоозерном районе Новосибирской области</t>
  </si>
  <si>
    <t>Строительство путепровода через железную дорогу "Омск - Новосибирск" на 6 км а/д "Коченево - совхоз Коченевский" в Коченевском районе Новосибирской области</t>
  </si>
  <si>
    <t xml:space="preserve">Реконструкция автомобильной дороги "Богатиха - Новорозино (в гр. района)" в Купинском районе Новосибирской области          </t>
  </si>
  <si>
    <t>Ввод в эксплуатацию 5,6 км автодороги</t>
  </si>
  <si>
    <t>Ввод в эксплуатацию 1,2 км автодороги</t>
  </si>
  <si>
    <t>строительство мостового перехода через реку Карасук на 43 км а/д "103 км а/д "К-17р" - Петровский - Большеникольское -Чулым (в гр. района)"</t>
  </si>
  <si>
    <t>Кредиторская задолженность</t>
  </si>
  <si>
    <t>а/д "217 км а/д "К-01" - Мироновка"</t>
  </si>
  <si>
    <t>Капитальный ремонт 1,14 км автодороги</t>
  </si>
  <si>
    <t>Капитальный ремонт 0,92 км автодороги</t>
  </si>
  <si>
    <t>а/д «Новосибирск - Ленинск-Кузнецкий (в границах НСО)"</t>
  </si>
  <si>
    <t>Объект введен в эксплуатацию в 2014 году</t>
  </si>
  <si>
    <t>Ввод в эксплуатацию 1,6 км автодороги</t>
  </si>
  <si>
    <t>Реконструкция автомобильной дороги "94 км а/д ""К-22"-Усть -Ламенка" в Венгеровском районе Новосибирской области</t>
  </si>
  <si>
    <t>Ввод в эксплуатацию 7,17 км автодороги</t>
  </si>
  <si>
    <t>Реконструкция автомобильной дороги "70 км а/д "К-12" - Пихтовка - Пономаревка" на участке км 79+087 - км 84+087 в Колыванском районе Новосибирской области</t>
  </si>
  <si>
    <t xml:space="preserve">Реконструкция автомобильной дороги "Куйбышев - Малинино" на участке км 5+065 - км 6+800 в Куйбышевском районе Новосибирской области </t>
  </si>
  <si>
    <t>Ввод в эксплуатацию 1,7 км автодороги</t>
  </si>
  <si>
    <t>Строительство мостового перехода через протоку Кожурла  на а/д "Купино - Новониколаевка - Новорозинская переправа" в Купинском районе Новосибирской области</t>
  </si>
  <si>
    <t>Реконструкция автомобильной дороги "53 км а/д "К-15" - Борково"</t>
  </si>
  <si>
    <t>Ввод в эксплуатацию 3 км автодороги</t>
  </si>
  <si>
    <t>Реконструкция автомобильной дороги "22 км а/д "К-29" - Бобровка - Шайдурово - Чингис (в гр. района)" на участке км 41+749 - км 43+310 в Сузунском районе Новосибирской области</t>
  </si>
  <si>
    <t>Ввод в эксплуатацию 2 км автодороги</t>
  </si>
  <si>
    <t>Реконструкция автомобильной дороги "Убинское-Кундран" в Убинском районе Новосибирской области</t>
  </si>
  <si>
    <t>Реконструкция автомобильной дороги "Чаны-Венгерово-Кыштовка" в Чановском районе новосибирской области</t>
  </si>
  <si>
    <t>Реконструкция автомобильной дороги "14 км а/д "Н-3203" -  Сарыкамышка" на участке км 0+000 - км 3+000 в Чулымском районе Новосибирской области.</t>
  </si>
  <si>
    <t>Капитальный ремонт 2,8 км автодороги</t>
  </si>
  <si>
    <t>Капитальный ремонт 0,5 км автодороги</t>
  </si>
  <si>
    <t>а/д "Куйбышев - Венгерово - гр. Омской области
(старый Московский тракт)"</t>
  </si>
  <si>
    <t>Капитальный ремонт 1,7 км автодороги</t>
  </si>
  <si>
    <t>а/д "Новосибирск - аэропорт Толмачево"</t>
  </si>
  <si>
    <t xml:space="preserve"> Ремонт 0,45 км автодороги</t>
  </si>
  <si>
    <t>Капитальный ремонт 1,65 км автодороги</t>
  </si>
  <si>
    <t>Капитальный ремонт 4,9 км автодороги</t>
  </si>
  <si>
    <t>Капитальный ремонт 0,8 км автодороги</t>
  </si>
  <si>
    <t>Капитальный ремонт 0,95 км автодороги</t>
  </si>
  <si>
    <t>Ввод в эксплуатацию 1,68 км автодороги</t>
  </si>
  <si>
    <t>"Развитие автомобильных дорог регионального, межмуниципального и местного значения в Новосибирской области" в 2015-2022 годах</t>
  </si>
  <si>
    <t>Реконструкция автомобильной дороги "Подъезд к с.Нижнекаменка
/34 км/" в Ордынском районе Новосибирской области</t>
  </si>
  <si>
    <t>Реализация мероприятия позволит осуществлять заблаговременную подготовку  проектно-сметной документации, проведение процедуры размещения государственного заказа на строительно-монтажные работы до начала строительного сезона,   обеспечить разработку проектной и рабочей документации на первоочередные объекты  дорожной инфраструктуры Новосибирской области</t>
  </si>
  <si>
    <t>Реализация мероприятия позволит обеспечить поддержание транспортно-эксплуатационных характеристик автомобильных дорог и искусственных сооружений в состоянии, соответствующем требованиям действующих отраслевых нормативов</t>
  </si>
  <si>
    <t>Сумма затрат (тыс.руб.), в том числе:</t>
  </si>
  <si>
    <t>Значение показателя на 2018 год</t>
  </si>
  <si>
    <t>Строительство моста ч/р Койниха на 7 км а/д "70 км а/д "М-52"-Евсино-Новолокти" в Искитимском районе Новосибирской области</t>
  </si>
  <si>
    <t xml:space="preserve">Строительство мостового перехода ч/р Ик на а/д "Легостаево - Новососедово - Верх-Ики ( в гр.района)" в Искитимском районе Новосибирской области </t>
  </si>
  <si>
    <t>Реконструкция автомобильной дороги "56 км а/д "Н-3118" - Чаинка - Тюменка" на участке км 16+963 - км 22+963 в Купинском районе Новосибирской области</t>
  </si>
  <si>
    <t>Строительство автомобильной дороги «Обход с.Сарапулка» с мостом ч/р Иня  в Мошковском и Тогучинском районах Новосибирской области</t>
  </si>
  <si>
    <t>Реконструкция мостового перехода ч/р Шеничный Лог на 134 км а/д "Новосибирск - Кочки - Павлодар (в пред. РФ)"в Ордынском районе Новосибирской области</t>
  </si>
  <si>
    <t>Реконструкция автомобильной дороги "79 км а/д "К-04"-Федоровка" на участке 17+900 - км 21+900  в Северном районе Новосибирской области</t>
  </si>
  <si>
    <t>Строительство моста через реку Кама на 2 км а/д "Подъезд к с. Чистое озеро /8 км/" в Венгеровском районе Новосибирской области</t>
  </si>
  <si>
    <t>Реконструкция автомобильной дороги "1 км а/д "Н-2123" - Верх-Тула -  Ленинское -ОБЬГЭС" в Новосибирском районе Новосибирской области</t>
  </si>
  <si>
    <t>Ввод в эксплуатацию 2,261 км автодороги</t>
  </si>
  <si>
    <t xml:space="preserve"> </t>
  </si>
  <si>
    <t>Сумма затрат (областной бюджет, тыс.руб.)</t>
  </si>
  <si>
    <t>областной бюджет</t>
  </si>
  <si>
    <t>федеральный бюджет*</t>
  </si>
  <si>
    <t>а/д "130 км а/д "М-53" -  Тогучин-Карпысак"</t>
  </si>
  <si>
    <t>а/д "81 км а/д "К-07" - Баклуши"</t>
  </si>
  <si>
    <t>а/д "29 км а/д "К-29" - Заковряжино - Шипуново"</t>
  </si>
  <si>
    <t>а/д "109 км а/д "К-16" - Буготак - Репьево"</t>
  </si>
  <si>
    <t>мост ч/р Карасук на 5 км а/д "178 км а/д "К-17р" - Быструха"</t>
  </si>
  <si>
    <t xml:space="preserve"> Ремонт 5 км автодороги (в т.ч. поверхностная обработка)</t>
  </si>
  <si>
    <t xml:space="preserve"> Ремонт 0,81 км автодороги</t>
  </si>
  <si>
    <t>Ремонт путепровода протяженностью 48,44 п.м</t>
  </si>
  <si>
    <t xml:space="preserve"> Ремонт 4,5 км автодороги</t>
  </si>
  <si>
    <t>а/д "46 км а/д "М-52" - Сосновка"</t>
  </si>
  <si>
    <t>а/д "203 км а/д "К-17р"-Каргат"</t>
  </si>
  <si>
    <t>а/д "Чаны - Венгерово - Кыштовка"</t>
  </si>
  <si>
    <t>а/д "130 км а/д "М-53" - Тогучин - Карпысак"</t>
  </si>
  <si>
    <t xml:space="preserve"> Ремонт 10 км автодороги (в т.ч. поверхностная обработка)</t>
  </si>
  <si>
    <t xml:space="preserve">а/д "Новосибирск - Ленинск-Кузнецкий (в границах НСО)" </t>
  </si>
  <si>
    <t>Капитальный ремонт 2,486 км автодороги</t>
  </si>
  <si>
    <t xml:space="preserve"> Ремонт 3,5 км автодороги</t>
  </si>
  <si>
    <t xml:space="preserve">Реализация мероприятия позволит привести технические параметры автомобильных дорог и искусственных сооружений до значений, соответствующих присвоенной им технической категории, усовершенствовать дорожную одежду и сделать ее более прочной и долговечной. </t>
  </si>
  <si>
    <t>Реализация мероприятия позволит осуществлять контроль качества дорожно-строительных работ на автомобильных дорогах регионального, межмуниципального и местного значения Новосибирской области</t>
  </si>
  <si>
    <t>1.2.3. Оказание услуг по независимому контролю (диагностика и оценка) состояния автомобильных дорог и тротуаров после ремонта с отбором проб и испытанием материалов покрытия</t>
  </si>
  <si>
    <t>Ввод в эксплуатацию моста протяженностью  44,72 п.м (подходы 0,42 км) **</t>
  </si>
  <si>
    <t>Ввод в эксплуатацию моста протяженностью 36,82 п.м (подходы 0,078 км) **</t>
  </si>
  <si>
    <t>Ввод в эксплуатацию моста протяженностью 55 п.м **</t>
  </si>
  <si>
    <t>Ввод в эксплуатацию моста протяженностью  24,92 п.м (подходы 0,18 км) **</t>
  </si>
  <si>
    <t>Ввод в эксплуатацию моста протяженностью  23,1 п.м **</t>
  </si>
  <si>
    <t>** Расчетная протяженность объекта строительства (реконструкции) искусственного сооружения определяется в соответствии с Методикой оценки вклада субъекта Российской Федерации в решение задач по удвоению в 2013-2022 годах объемов строительства автомобильных дорог по сравнению с предыдущим десятилетием (2003-2012 годы), разработанной Минтрансом России.</t>
  </si>
  <si>
    <t>Ввод в эксплуатацию 4,5 км автодороги</t>
  </si>
  <si>
    <t>ХХХХ</t>
  </si>
  <si>
    <t>61ХХХХХХ</t>
  </si>
  <si>
    <t>ХХХХХ</t>
  </si>
  <si>
    <t>Реконструкция а/д 1 км а/д"Н-3207"- Базово - гр. Ордынского р-на" в Чулымском районе</t>
  </si>
  <si>
    <t>Значение показателя на 2016 год (поквартально)</t>
  </si>
  <si>
    <t>Мощность, км/ п.м</t>
  </si>
  <si>
    <t xml:space="preserve">а/д «Сузун - Битки - Преображенка - 18 км а/д «К-13» (в </t>
  </si>
  <si>
    <t xml:space="preserve">гр. района)» </t>
  </si>
  <si>
    <t>1.1.2. Строительство мостового перехода через р. Обь в створе ул. Ипподромской г. Новосибирска на условиях государственно-частного партнерства</t>
  </si>
  <si>
    <t>Реконструкция автомобильной дороги "29 км а/д "Н-3104"-Новый Кошкуль" в Чистоозерном районе Новосибирской области</t>
  </si>
  <si>
    <t>Ввод в эксплуатацию 2,5 км автодороги</t>
  </si>
  <si>
    <t>стройка</t>
  </si>
  <si>
    <t>реконструкция</t>
  </si>
  <si>
    <t>с ИССО</t>
  </si>
  <si>
    <t>а/д</t>
  </si>
  <si>
    <t>Оплата по исполнительному листу согласно вынесенного судебного решения</t>
  </si>
  <si>
    <t>Строительство мостового перехода через реку Карасук на 43 км а/д "103 км а/д "К-17р" - Петровский - Большеникольское - Чулым (в гр.района)</t>
  </si>
  <si>
    <t>Реконструкция моста через протоку на 6 км а/д "371 км к-17р км а/д «К-17р» - Калиновка» в Карасукском районе Новосибирской области</t>
  </si>
  <si>
    <t>Ввод в эксплуатацию моста протяженностью 35,2 п.м (подходы 0,4 км) **</t>
  </si>
  <si>
    <t>-</t>
  </si>
  <si>
    <t>1.Цель: : Развитие и обеспечение сохранности автомобильных дорог регионального, межмуниципального и местного значения для обеспечения внутриобластных перевозок в интересах экономики и населения Новосибирской области и для усиления роли Новосибирска как крупнейшего транспортно-логистического узла азиатской части России</t>
  </si>
  <si>
    <t xml:space="preserve">а/д "Новосибирск - Колывань - Томск (в границах НСО)" </t>
  </si>
  <si>
    <t>а/д "Новосибирск-Кочки-Павлодар (в пред. РФ)"(поверхностная обработка)</t>
  </si>
  <si>
    <t>Капитальный ремонт  автодороги 0,5 км</t>
  </si>
  <si>
    <t>Ввод в эксплуатацию 6  км автодороги</t>
  </si>
  <si>
    <t>Ввод в эксплуатацию 2,2 км автодороги</t>
  </si>
  <si>
    <t>Строительство автомобильной дороги "с.Березово-с.Гусельниково"</t>
  </si>
  <si>
    <t>Реконструкция автомобильной дороги "Искитим -Верх-Коен-Михайловка</t>
  </si>
  <si>
    <t>Реконструкция автомобильной дороги "19 км а/д "Н-0804"-Морозово"</t>
  </si>
  <si>
    <t>Реконструкция автомобильной дороги  а/д «2 км а/д «Н-1514» - Октябрьский - Хабаровский» на участке км 1+115- км 2+615 в Краснозёрском районе Новосибирской области</t>
  </si>
  <si>
    <t>Реконструкция пешеходного моста на 8,61км а/д "Советское шоссе"</t>
  </si>
  <si>
    <t>Реконструкция автомобильной дороги "173 км а/д "К-01" Рождественка - Новоключи"</t>
  </si>
  <si>
    <t xml:space="preserve">Реконструкция автомобильной дороги "14 км а/д "Н-0601" - Ильинка - Дружный" </t>
  </si>
  <si>
    <t>Реконструкция автомобильной дороги "Мироновка - Петрушино"</t>
  </si>
  <si>
    <t>Реконструкция автомобильной дороги "Чаны - Погорелка" на участке км 11+468 - км 13+200</t>
  </si>
  <si>
    <t xml:space="preserve">Строительство а/д с. Березово – с. Гусельниково </t>
  </si>
  <si>
    <t>Для проведения проектно -изыскательских работ</t>
  </si>
  <si>
    <t>Капитальный ремонт водопропускной трубы</t>
  </si>
  <si>
    <t>Ремонт водопропускных труб</t>
  </si>
  <si>
    <t>Капитальный ремонт 1,5 км автодороги</t>
  </si>
  <si>
    <t xml:space="preserve"> Ремонт 8 км автодороги (в т.ч. поверхностная обработка)</t>
  </si>
  <si>
    <t>Значение показателя на 2019 год</t>
  </si>
  <si>
    <t>Реконструкция автомобильной дороги "Барабинск-Зюзя-Квашнино"</t>
  </si>
  <si>
    <t>Ввод в эксплуатацию 11,1 км автодороги</t>
  </si>
  <si>
    <t>Ввод в эксплуатацию 2,0 км автодороги</t>
  </si>
  <si>
    <t xml:space="preserve">Реконструкция автомобильной дороги "99 км а/д "К-02" - Павлово" в Венгеровском районе Новосибирской области </t>
  </si>
  <si>
    <t xml:space="preserve">Реконструкция автомобильной дороги "Венгерово - Минино - Верх-Красноярка - Северное (в гр. района)" на участке км 1+847 - км 4+357 в Венгеровском районе Новосибирской области        </t>
  </si>
  <si>
    <t>Реконструкция автомобильной дороги  "26 км а/д "Н-0502" - Ночка" на участке км 0+000 - км 2+674  в Венгеровском районе Новосибирской области</t>
  </si>
  <si>
    <t>Ввод в эксплуатацию 2,7 км автодороги</t>
  </si>
  <si>
    <t>Строительство моста через реку  Петушиха на 4 км а/д "Искитим-Лебедевка", Искитимский район</t>
  </si>
  <si>
    <t>Ввод в эксплуатацию 6,0  км автодороги</t>
  </si>
  <si>
    <t>Строительство автомобильной дороги "М-51"- Коченево" в Коченевском районе</t>
  </si>
  <si>
    <t>Ввод в эксплуатацию 1,8 км автодороги</t>
  </si>
  <si>
    <t>Реконструкция автомобильной дороги «332км а/д «К-17р»-ст.Зубково» на участке км 10+900 - км 12+235  в Краснозёрском районе Новосибирской области</t>
  </si>
  <si>
    <t>Строительство моста через реку Карасук на 5 км а/д "Майское-Чернаки"</t>
  </si>
  <si>
    <t>Ввод в эксплуатацию 1,5 км автодороги</t>
  </si>
  <si>
    <t xml:space="preserve">Реконструкция автомобильной дороги «2 км а/д «Н-1514» - Октябрьский - Хабаровский»  в Краснозёрском районе </t>
  </si>
  <si>
    <t xml:space="preserve">Реконструкция автомобильной дороги "Подъезд к г.Куйбышев" </t>
  </si>
  <si>
    <t>Реконструкция автомобильной дороги "56 км а/д "Н-3118"- Чаинка-Тюменка" на участке км 22+963 - км 27+963 в Купинском районе Новосибирской области</t>
  </si>
  <si>
    <t>Реконструкция автомобильной дороги "Кыштовка-Малокрасноярка" на участке км 29+300 - км 35+300 в Кыштовском районе Новосибирской области</t>
  </si>
  <si>
    <t>Ввод в эксплуатацию 8,5 км автодороги</t>
  </si>
  <si>
    <t>Реконструкция автомобильной дороги "Новосибирск-Ленинск-Кузнецкий" на участке км 12- км 24 в Новосибирском районе Новосибирской области</t>
  </si>
  <si>
    <t>Строительство автомобильной дороги "2 км автомобильной дороги "Академгородок-Ключи" - Каинская Заимка" на участке км 0+00 - км 2+200 в Новосибирском районе</t>
  </si>
  <si>
    <t>Строительство автомобильной дороги от с. Криводановка до Северного обхода г. Новосибирска</t>
  </si>
  <si>
    <t xml:space="preserve">Строительство пешеходного моста на 1 км а/д "Новосибирск - аэропорт Толмачево" </t>
  </si>
  <si>
    <t>Реконструкция автомобильной дороги  "Новосибирск - аэропорт Толмачево" в г. Обь Новосибирской области</t>
  </si>
  <si>
    <t>Ввод в эксплуатацию 0,6 км автодороги</t>
  </si>
  <si>
    <t>Ввод в эксплуатацию моста протяженностью 75,81 п.м  **</t>
  </si>
  <si>
    <t>Реконструкция автомобильной дороги "29 км а/д "К-29" - Заковряжино - Шипуново" на участке км 19+927 - км 20+027  (ликвидация оврагообразования) в Сузунском районе Новосибирской области</t>
  </si>
  <si>
    <t>Ввод в эксплуатацию 0,10 км автодороги</t>
  </si>
  <si>
    <t>Реконструкция автомобильной дороги  "992 км а/д "М-51" - Купино - Карасук" в Татарском районе Новосибирской области</t>
  </si>
  <si>
    <t>Ввод в эксплуатацию 14,2 км автодороги</t>
  </si>
  <si>
    <t>Реконструкция автомобильной дороги  "992 км а/д "М-51" - Купино - Карасук" в Чистоозерном районе Новосибирской области</t>
  </si>
  <si>
    <t>а/д "Подъезд к с. Здвинск /2км/ "</t>
  </si>
  <si>
    <t>Ликвидация оврагообразования</t>
  </si>
  <si>
    <t>а/д  "54 км а/д "М-52"-Завьялово - Факел Революции"</t>
  </si>
  <si>
    <t>Капитальный ремонт 1,0 км автодороги</t>
  </si>
  <si>
    <t>а/д "1413 км а/д "М-51" - Колывань"</t>
  </si>
  <si>
    <t>Капитальный ремонт автодороги 4,0 км</t>
  </si>
  <si>
    <t>Капремонт водопропускных труб</t>
  </si>
  <si>
    <t>а/д "53 км а/д "К-15" - Борково"</t>
  </si>
  <si>
    <t>а/д "24 км а/д "М-53" - Локти (в гр. района)"</t>
  </si>
  <si>
    <t>а/д "Новосибирск-Кочки-Павлодар" на участке "14,150 км - 15,300 км"</t>
  </si>
  <si>
    <t>Капитальный ремонт водопропускных труб</t>
  </si>
  <si>
    <t>а/д "Северное - Биаза - гр. Кыштовского района"</t>
  </si>
  <si>
    <t>Капитальный ремонт 1,25 км автодороги</t>
  </si>
  <si>
    <t>ликвидация оврагообразования  на а/д "29 км а/д "К-29" - Заковряжино - Шипуново" км 19+977</t>
  </si>
  <si>
    <t>Капитальный ремонт 1,618 км автодороги</t>
  </si>
  <si>
    <t>Капитальный ремонт 3,775 км автодороги</t>
  </si>
  <si>
    <t>а/д "103 км а/д "К-17р" - Петровский - Большеникольское -Чулым (в гр. района)"</t>
  </si>
  <si>
    <t>Капитальный ремонт 1,447 км автодороги</t>
  </si>
  <si>
    <t>Капитальный ремонт автодороги 3,0 км</t>
  </si>
  <si>
    <t>Болотинский район:</t>
  </si>
  <si>
    <t xml:space="preserve"> Ремонт 2,3 км автодороги</t>
  </si>
  <si>
    <t xml:space="preserve"> Ремонт 1,0 км автодороги</t>
  </si>
  <si>
    <t>Ремонт 1,0 км автодороги</t>
  </si>
  <si>
    <t xml:space="preserve"> Ремонт 10,0 км автодороги (в т.ч. поверхностная обработка)</t>
  </si>
  <si>
    <t xml:space="preserve"> Ремонт 1,95 км автодороги</t>
  </si>
  <si>
    <t xml:space="preserve"> Ремонт 8,0 км автодороги (в т.ч. поверхностная обработка)</t>
  </si>
  <si>
    <t xml:space="preserve"> Ремонт 0,8 км автодороги</t>
  </si>
  <si>
    <t>а/д "Новосибирск - Ленинск-Кузнецкий (в границах НСО)" (поверхностная обработка)</t>
  </si>
  <si>
    <t xml:space="preserve"> Ремонт 2,6 км автодороги (в т.ч. поверхностная обработка)</t>
  </si>
  <si>
    <t>а/д "Новосибирск - Ленинск-Кузнецкий (в границах НСО)" (устройство слоя износа из литых эмульсионно – минеральных смесей, в соответствии с ОДМ, утвержденной распоряжением Росавтодора N 377-р от 04.10.2001 г.)</t>
  </si>
  <si>
    <t>а/д "Чаны - Погорелка" (поверхностная обработка)</t>
  </si>
  <si>
    <t xml:space="preserve"> Ремонт 11,5 км автодороги (в т.ч. поверхностная обработка)</t>
  </si>
  <si>
    <t>а/д "3 км а/д "К-32"-Михайловка - гр. Алтайского края"</t>
  </si>
  <si>
    <t>Ввод в эксплуатацию моста протяженностью  73,1 п.м (подходы 0,5 км) **</t>
  </si>
  <si>
    <t xml:space="preserve">Строительство моста через ручей на 2 км автомобильной дороги «2 км а/д «Н-1514» - Октябрьский - Хабаровский» </t>
  </si>
  <si>
    <t>Реконструкция автомобильной дороги  "Инская - Барышево - 39 км а/д "К-19р" (в гр. района)" на участке км 17+939 - км 21+000 в Новосибирском районе Новосибирской области</t>
  </si>
  <si>
    <t>Реконструкция автомобильной дороги  "Инская - Барышево - 39 км а/д "К-19р" (в гр. района)" на участке км 26+000 - км 28+500 в Новосибирском районе Новосибирской области</t>
  </si>
  <si>
    <t xml:space="preserve"> Ремонт 2,53 км автодороги</t>
  </si>
  <si>
    <t>Ввод в эксплуатацию 2,1 км автодороги</t>
  </si>
  <si>
    <t>Реконструкция автомобильной дороги  "Каргат - Маршанское" на участке км 11+223  - км 26+223  в Каргатском районе Новосибирской области</t>
  </si>
  <si>
    <t>Строительство автомобильной дороги "Барышево - Орловка - Кольцово" с автодорожным тоннелем под железной дорогой</t>
  </si>
  <si>
    <t>на очередной 2017 год и плановый период 2018 и 2019 годов</t>
  </si>
  <si>
    <t>Ввод в эксплуатацию 5,5 км автодороги</t>
  </si>
  <si>
    <t xml:space="preserve">а/д "Здвинск-Довольное-17 км а/д "К-09" </t>
  </si>
  <si>
    <t>Капитальный ремонт 1,72 км автодороги</t>
  </si>
  <si>
    <t>Капитальный ремонт 2,0 км автодороги</t>
  </si>
  <si>
    <t>Капитальный ремонт 0,530 км автодороги</t>
  </si>
  <si>
    <t>Капитальный ремонт 2,00 км автодороги</t>
  </si>
  <si>
    <t xml:space="preserve"> Ремонт 20,0 км автодороги (в т.ч. поверхностная обработка)</t>
  </si>
  <si>
    <t xml:space="preserve"> Ремонт 5,0 км автодороги</t>
  </si>
  <si>
    <t>1.2.2. Обеспечение восстановления и развития автодорог местного значения за счет субсидий местным бюджетам на осуществление дорожной деятельности в отношении автомобильных дорог местного значения</t>
  </si>
  <si>
    <t xml:space="preserve">1.2. Задача: Обеспечение сохранности и восстановления автомобильных дорог регионального, межмуниципального и местного значения и искусственных сооружений на них, а также улично-дорожной сети в муниципальных образованиях  Новосибирской области. </t>
  </si>
  <si>
    <t>Количество муниципальных образований****</t>
  </si>
  <si>
    <t>****Количество муниципальных образований, в которых осуществляется независимый контроль состояния автомобильных дорог после ремонта на очередной год,  определяется Минтрансом исходя  из существующей потребности дорожной отрасли и имеющихся объемов финансирования на соответствующий год.</t>
  </si>
  <si>
    <t>Реконструкция   автомобильной дороги  "Новосибирск - Кочки - Павлодар (в пред. РФ)" на участке «Новосибирск – Ярково» в Новосибирском районе Новосибирской области</t>
  </si>
  <si>
    <t>областной бюджет, тыс.руб.</t>
  </si>
  <si>
    <t>федеральный бюджет, тыс.руб.</t>
  </si>
  <si>
    <t>Сумма затрат  тыс.руб.</t>
  </si>
  <si>
    <t>Сумма затрат, тыс.руб.</t>
  </si>
  <si>
    <t>Обл.бюджет тыс.руб.</t>
  </si>
  <si>
    <t>Сумма затрат тыс.руб.</t>
  </si>
  <si>
    <t>Ввод в эксплуатацию  6,9 км автодороги</t>
  </si>
  <si>
    <t>Ввод в эксплуатацию 1,34 км автодороги</t>
  </si>
  <si>
    <t>Капитальный ремонт 1,45 км автодороги</t>
  </si>
  <si>
    <t>а/д "332 км а/д "К-17р" -  ст.Зубково"</t>
  </si>
  <si>
    <t>областной бюджет тыс. руб.</t>
  </si>
  <si>
    <t xml:space="preserve"> Ремонт 10,4 км автодороги (в т.ч. поверхностная обработка)</t>
  </si>
  <si>
    <t>Ввод в эксплуатацию моста протяженностью  42,85 п.м (подходы 0,3 км)**</t>
  </si>
  <si>
    <t xml:space="preserve">Реконструкция автомобильной дороги "52 км а/д "К-02" - Филошенка" на участке км 18+109 - км 25+057 в Венгеровском районе Новосибирской области </t>
  </si>
  <si>
    <t xml:space="preserve">Реконструкция автомобильной дороги "Новосибирск-Садовый" в Новосибирском районе Новосибирской области </t>
  </si>
  <si>
    <t>Реконструкция автомобильной дороги  "Инская - Барышево - 39 км а/д "К-19р" (в гр. района)" на участке км 21+000 - км 27+158 в Новосибирском районе Новосибирской области</t>
  </si>
  <si>
    <t>Реконструкция автомобильной дороги  "187 км а/д "К-22" - Резино", в Усть-Таркском районе Новосибирской области</t>
  </si>
  <si>
    <t>Ввод в эксплуатацию 0,9 км автодороги</t>
  </si>
  <si>
    <t>** Количественное значение не устанавливается,  объем выполняемых работ по инвентаризации и паспортизации автомобильных дорог и дорожных сооружений на них, аварийно-восстановительных работ, НИОКР в дорожной отрасли, по разработке проектно-сметной документации для автомобильных дорог регионального и межмуниципального значения на них на очередной финансовый год определяется Минтрансом НСО совместно с ГКУ НСО ТУАД, исходя  из существующей потребности дорожной отрасли и имеющихся объемов финансирования на соответствующий год.</t>
  </si>
  <si>
    <t>федеральный бюджет *****</t>
  </si>
  <si>
    <t>федеральный бюджет, тыс.руб. *****</t>
  </si>
  <si>
    <t>федеральный бюджет, тыс.руб.*****</t>
  </si>
  <si>
    <t>***** Мероприятия приоритетного проекта "Безопасные и качественные дороги"</t>
  </si>
  <si>
    <t>Итого на решение задачи 1.2:</t>
  </si>
  <si>
    <t>Ввод в эксплуатацию моста протяженностью 68 п.м (подходы 0,4 км) **(параметры строительства будут уточняться)</t>
  </si>
  <si>
    <t>Ввод в эксплуатацию  автодороги (объем работ  уточняется)</t>
  </si>
  <si>
    <t>а/д "Новосибирск - Сокур (в гр.района)"</t>
  </si>
  <si>
    <t xml:space="preserve"> Ремонт 8,3 км автодороги</t>
  </si>
  <si>
    <t>Оплата кредиторской задолженности по выполненным и принятым работам в 2016 году</t>
  </si>
  <si>
    <t>Цель: Развитие и обеспечение сохранности автомобильных дорог регионального, межмуниципального и местного значения для обеспечения внутриобластных перевозок в интересах экономики и населения Новосибирской области и для усиления роли Новосибирска как крупнейшего транспортно-логистического узла азиатской части России.</t>
  </si>
  <si>
    <t>**Целевой индикатор «Объемы ввода в эксплуатацию после строительства и реконструкции автомобильных дорог общего пользования регионального и межмуниципального значения» с учетом расчетной протяженности конкретных объектов строительства и реконструкции искусственных сооружений, введенных в эксплуатацию в отчетном году.</t>
  </si>
  <si>
    <t xml:space="preserve"> Оценка степени достижения целевого индикатора осуществляется по результатам выполненных работ по итогам года</t>
  </si>
  <si>
    <t>км</t>
  </si>
  <si>
    <t xml:space="preserve">21. Протяженность грунтовых автомобильных дорог общего пользования местного значения  на территории  Новосибирской области   </t>
  </si>
  <si>
    <t xml:space="preserve">20. Общая протяженность автомобильных дорог общего пользования местного значения с покрытием переходного типа на территории  Новосибирской области   </t>
  </si>
  <si>
    <t>19.Прирост протяженности автомобильных дорог общего пользования местного значения на территории Новосибирской области, соответствующих нормативным требованиям к транспортно-эксплуатационным показателям, в результате реконструкции автомобильных дорог</t>
  </si>
  <si>
    <t>18.Прирост протяженности сети автомобильных дорог местного значения на территории Новосибирской области в результате строительства новых автомобильных дорог</t>
  </si>
  <si>
    <t>17.Объемы ввода в эксплуатацию после строительства и реконструкции автомобильных дорог общего пользования местного значения</t>
  </si>
  <si>
    <t>16.Протяженность сети автомобильных дорог общего пользования местного значения на территории Новосибирской области</t>
  </si>
  <si>
    <t>%</t>
  </si>
  <si>
    <t>15.Удельный вес мостовых сооружений на автодорогах регионального и межмуниципального значения, находящихся в неудовлетворительном техническом состоянии и не соответствующих нормативным требованиям</t>
  </si>
  <si>
    <t>14.Удельный вес автодорог регионального значения с твердым покрытием (опорная сеть), не соответствующих нормативным требованиям</t>
  </si>
  <si>
    <t>автомобильных дорог общего пользования местного значения</t>
  </si>
  <si>
    <t>автомобильных дорог общего пользования регионального и межмуниципального значения</t>
  </si>
  <si>
    <t>13. Доля протяженности автомобильных дорог регионального, межмуниципального и местного значения, соответствующих нормативным требованиям к транспортно-эксплуатационным показателям на 31 декабря отчетного периода, в том числе:</t>
  </si>
  <si>
    <t>В связи с тем, что оценка степени достижения целевого индикатора осуществляется по результатам выполненных работ по итогам года, поквартальные значения индикатора не приводятся</t>
  </si>
  <si>
    <t xml:space="preserve">12. Прирост протяженности автомобильных дорог регионального, межмуниципального и местного значения, соответствующих нормативным требованиям к транспортно-эксплуатационным показателям в результате капитального ремонта и ремонта автомобильных дорог, в том числе: </t>
  </si>
  <si>
    <t>11.Общая протяженность автомобильных дорог общего пользования регионального, межмуниципального и местного значения, соответствующих нормативным требованиям к транспортно-эксплуатационным показателям на 31 декабря отчетного года, в том числе:</t>
  </si>
  <si>
    <t xml:space="preserve">10. Общая протяженность грунтовых автомобильных дорог общего пользования регионального или межмуниципального значения  на территории  Новосибирской области   </t>
  </si>
  <si>
    <t xml:space="preserve">9. Протяженность автомобильных дорог общего пользования регионального или межмуниципального значения с покрытием переходного типа на территории  Новосибирской области   </t>
  </si>
  <si>
    <t xml:space="preserve">8.Доля протяженности автомобильных дорог общего пользования, относящихся к государственной собственности Новосибирской области, не отвечающих нормативным требованиям, в общей протяженности автомобильных дорог общего пользования, относящихся к государственной собственности Новосибирской области </t>
  </si>
  <si>
    <t>7. Объем ввода в эксплуатацию после строительства мостового перехода через р. Обь в створе ул. Ипподромской       г. Новосибирска на условиях государственно-частного партнерства**</t>
  </si>
  <si>
    <t xml:space="preserve">6. Прирост протяженности автомобильных дорог общего пользования регионального и межмуниципального значения на территории Новосибирской области, соответствующих нормативным требованиям к транспортно-эксплуатационным показателям в результате реконструкции </t>
  </si>
  <si>
    <t>5.Прирост протяженности сети автомобильных дорог регионального и межмуниципального  значения на территории Новосибирской области в результате строительства новых автомобильных дорог</t>
  </si>
  <si>
    <t>4.Объемы ввода в эксплуатацию после строительства и реконструкции автомобильных дорог общего пользования регионального и межмуниципального  значения**</t>
  </si>
  <si>
    <t>3.Протяженность сети автомобильных дорог общего пользования регионального и межмуниципального  значения на территории Новосибирской области</t>
  </si>
  <si>
    <t>км/тыс.кв.км</t>
  </si>
  <si>
    <t>2.Плотность автодорог регионального и межмуниципального значения с твердым покрытием (км автодорог на 1000 кв. км территории)</t>
  </si>
  <si>
    <t>1.Удельный вес автодорог с твердым покрытием в общей протяженности автодорог регионального и межмуниципального значения</t>
  </si>
  <si>
    <t>Задача 1.  Развитие и модернизация автомобильных дорог общего пользования регионального и межмуниципального значения и искусственных сооружений на них.</t>
  </si>
  <si>
    <t>Государственная программа Новосибирской области "Развитие автомобильных дорог регионального, межмуниципального и местного значения в Нвосибирской области" в 2015-2022 годах</t>
  </si>
  <si>
    <t>Примечание</t>
  </si>
  <si>
    <t>Значение показателя на 2017 год (поквартально)</t>
  </si>
  <si>
    <t>Значение весового коэффициента целевого индикатора</t>
  </si>
  <si>
    <t>Ед. измерения</t>
  </si>
  <si>
    <t>Наименование целевого индикатора</t>
  </si>
  <si>
    <t>Цель/задачи, требующие решения для достижения цели</t>
  </si>
  <si>
    <t>государственной программы Новосибирской области</t>
  </si>
  <si>
    <t>Целевые индикаторы</t>
  </si>
  <si>
    <t>Таблица 1</t>
  </si>
  <si>
    <t>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</si>
  <si>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ПЛАН РЕАЛИЗАЦИИ МЕРОПРИЯТИЙ</t>
  </si>
  <si>
    <t>ПРИЛОЖЕНИЕ № 1</t>
  </si>
  <si>
    <t>к государственной программе Новосибирской области «Развитие автомобильных дорог регионального, межмуниципального и местного значения в Новосибирской области» в 2015-2022 годах</t>
  </si>
  <si>
    <t>СВЕДЕНИЯ</t>
  </si>
  <si>
    <t xml:space="preserve"> о целевых показателях государственной программы  Новосибирской области </t>
  </si>
  <si>
    <t>«Развитие автомобильных дорог регионального, межмуниципального и местного значения в Новосибирской области»</t>
  </si>
  <si>
    <t xml:space="preserve"> в 2015-2022 годах</t>
  </si>
  <si>
    <t>Показатели и индикаторы</t>
  </si>
  <si>
    <t>Единица измерения</t>
  </si>
  <si>
    <t>2003-2012 годы*</t>
  </si>
  <si>
    <t>2013-2022 годы</t>
  </si>
  <si>
    <t>2013 год*</t>
  </si>
  <si>
    <t>2014 год*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</si>
  <si>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</si>
  <si>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</si>
  <si>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</si>
  <si>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</si>
  <si>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</si>
  <si>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</si>
  <si>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</si>
  <si>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</si>
  <si>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Цель: развитие и обеспечение сохранности автомобильных дорог регионального, межмуниципального и местного значения для обеспечения внутриобластных перевозок в интересах экономики и населения Новосибирской области и для усиления роли Новосибирска как крупнейшего транспортно-логистического узла азиатской части России</t>
  </si>
  <si>
    <t>Задача 1. Развитие и модернизация автомобильных дорог общего пользования регионального и межмуниципального значения и искусственных сооружений на них</t>
  </si>
  <si>
    <t>км/тыс. кв. км</t>
  </si>
  <si>
    <t>6.Прирост протяженности автомобильных дорог общего пользования регионального и межмуниципального значения на территории Новосибирской области, соответствующих нормативным требованиям к транспортно-эксплуатационным показателям, в результате реконструкции автомобильных дорог</t>
  </si>
  <si>
    <t>7. Объем ввода в эксплуатацию после строительства мостового перехода через р. Обь в створе ул. Ипподромской       г. Новосибирска на условиях государственно-частного партнерства</t>
  </si>
  <si>
    <t>7.1 Объем работ, выполненных в ходе строительства мостового перехода через р. Обь в створе ул. Ипподромской       г. Новосибирска на условиях государственно-частного партнерства**</t>
  </si>
  <si>
    <t xml:space="preserve">8.Доля протяженности автомобильных дорог общего пользования, относящихся к собственности Новосибирской области, не отвечающих нормативным требованиям, в общей протяженности автомобильных дорог общего пользования, относящихся к собственности Новосибирской области </t>
  </si>
  <si>
    <t xml:space="preserve">12.Прирост протяженности автомобильных дорог регионального, межмуниципального и местного значения, соответствующих нормативным требованиям к транспортно-эксплуатационным показателям, в результате капитального ремонта и ремонта автомобильных дорог, в том числе: </t>
  </si>
  <si>
    <t>13.Доля протяженности автомобильных дорог регионального, межмуниципального и местного значения, соответствующих нормативным требованиям к транспортно-эксплуатационным показателям на 31 декабря отчетного периода, в том числе:</t>
  </si>
  <si>
    <t>*Значение целевого индикатора до начала реализации государственной программы.</t>
  </si>
  <si>
    <t>**Целевые индикаторы задачи 2 указаны укрупненно, детализация показателей указывается в плане реализации государственной программы на очередной год и плановый период.</t>
  </si>
  <si>
    <t>**Показатель "Объемы ввода в эксплуатацию после строительства и реконструкции автомобильных дорог общего пользования регионального и межмуниципального  значения" учитывает расчетную протяженность по мостам!!!</t>
  </si>
  <si>
    <t>Примечания: 1. В графах «2013» и 2014 год» указаны фактически достигнутые величины показателей за соответствующий год.</t>
  </si>
  <si>
    <t>_____________________</t>
  </si>
  <si>
    <t>Источники и направления расходов в разрезе государственных заказчиков государственной программы (главных распорядителей бюджетных средств)</t>
  </si>
  <si>
    <t>Финансовые затраты, тыс. рублей (в ценах 2014 года)</t>
  </si>
  <si>
    <t>всего</t>
  </si>
  <si>
    <t>в том числе по годам</t>
  </si>
  <si>
    <t>Министерство транспорта и дорожного хозяйства Новосибирской области</t>
  </si>
  <si>
    <t>Всего финансовых затрат, в том числе из:</t>
  </si>
  <si>
    <t>федерального бюджета &lt;*&gt;</t>
  </si>
  <si>
    <t>областного бюджета</t>
  </si>
  <si>
    <t>местных бюджетов &lt;*&gt;</t>
  </si>
  <si>
    <t>внебюджетных источников &lt;*&gt;</t>
  </si>
  <si>
    <t>Капитальные вложения, в том числе из:</t>
  </si>
  <si>
    <t>НИОКР &lt;**&gt;, в том числе из:</t>
  </si>
  <si>
    <t>Прочие расходы, в том числе из:</t>
  </si>
  <si>
    <t>ВСЕГО ПО ГОСУДАРСТВЕННОЙ ПРОГРАММЕ:</t>
  </si>
  <si>
    <t>Справочно: суммарный объем бюджетных ассигнований муниципальных дорожных фондов</t>
  </si>
  <si>
    <t>Справочно:</t>
  </si>
  <si>
    <t>объем бюджетных ассигнований Федерального дорожного фонда, направленный на реализацию мероприятий государственной программы, всего</t>
  </si>
  <si>
    <t>субсидии из федерального бюджета областному бюджету Новосибирской области на строительство и реконструкцию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продукции, в рамках реализации федеральной целевой программы "Устойчивое развитие сельских территорий на 2014 - 2017 годы и на период до 2020 года"</t>
  </si>
  <si>
    <t>иные межбюджетные трансферты из федерального бюджета областному бюджету Новосибирской области на реализацию мероприятий региональных программ в сфере дорожного хозяйства по решениям Правительства Российской Федерации в рамках подпрограммы "Дорожное хозяйство" государственной программы Российской Федерации "Развитие транспортной системы"</t>
  </si>
  <si>
    <t>иные межбюджетные трансферты из федерального бюджета областному бюджету Новосибирской области на финансовое обеспечение дорожной деятельности в рамках подпрограммы "Дорожное хозяйство" государственной программы Российской Федерации "Развитие транспортной системы"</t>
  </si>
  <si>
    <t>иные межбюджетные трансферты из федерального бюджета областному бюджету Новосибирской области на реализацию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 строительство, реконструкцию и ремонт уникальных искусственных дорожных сооружений по решениям Правительства Российской Федерации</t>
  </si>
  <si>
    <t>областной бюджет на ЦМ</t>
  </si>
  <si>
    <t>внебюджет на ЦМ</t>
  </si>
  <si>
    <t>индексы-дефляторы</t>
  </si>
  <si>
    <t>в текущих ценах</t>
  </si>
  <si>
    <t>кап. грант</t>
  </si>
  <si>
    <t>обл. бюджет</t>
  </si>
  <si>
    <t>внебюджет</t>
  </si>
  <si>
    <t>Распределение по годам в %</t>
  </si>
  <si>
    <t>Стоимость моста в ценах соотвествующих лет</t>
  </si>
  <si>
    <t>Итого</t>
  </si>
  <si>
    <t>ФБ</t>
  </si>
  <si>
    <t>ОБ</t>
  </si>
  <si>
    <t>ВБ</t>
  </si>
  <si>
    <t>общ</t>
  </si>
  <si>
    <t>год</t>
  </si>
  <si>
    <t>стоимость 1 км</t>
  </si>
  <si>
    <t>кол-во усл. км</t>
  </si>
  <si>
    <t>Федер.бюджет тыс.руб. *****</t>
  </si>
  <si>
    <t>Реализация мероприятия позволит восстановить изношенные верхние слои покрытий, восстановить дорожную одежду на участках с пучинистыми и слабыми грунтами, а также выполнить другие работы некапитального характера по восстановлению потребительских свойств автомобильных дорог и искусственных сооружений на них</t>
  </si>
  <si>
    <t>Реконструкция автомобильной дороги "39 км а/д "К-26" - Бровничи" на участке км 0 + 000 - км 6 + 895 в Венгеровском районе Нововсибирской области</t>
  </si>
  <si>
    <t xml:space="preserve">Ввод в эксплуатацию моста протяженностью  65,9 п.м (подходы 0,2 км)** </t>
  </si>
  <si>
    <t>Ввод в эксплуатацию  автодороги, автодорожного тоннеля (объем работ  уточняется)</t>
  </si>
  <si>
    <t>Ввод в эксплуатацию моста протяженностью 50,0 п.м (подходы 0,6 км)  **</t>
  </si>
  <si>
    <t>Капитальный ремонт 1,0 км  автодороги</t>
  </si>
  <si>
    <t xml:space="preserve">Строительство мостового перехода ч/р Каракан на 55 км а/д "54 км а/д "М-52" - Завьялово -Факел Революции" в Искитимском районе Новосибирской области </t>
  </si>
  <si>
    <t xml:space="preserve">Приложение к приказу Минтранса НСО                                                               от     .    . 2017 № </t>
  </si>
  <si>
    <t>1.2.2. Обеспечение восстановления и развития автодорог местного значения за счет субсидий местным бюджетам на осуществление дорожной деятельности в отношении автомобильных дорог местного значения ( объекты за счет средств федерального бюджета в форме субсидий, предусмотренных на реализацию федеральной целевой программы "Устойчивое развитие сельских территорий на 2014-2017 годы и на период до 2020 года")</t>
  </si>
  <si>
    <t>Реконструкция а/д "Шагалово-Приозерное" в Коченевском районе Новосибирской области</t>
  </si>
  <si>
    <t>Реконструкция сооружения дорожного транспорта - автомобильная дорога "Шарчино-Маюрово" В-2413 в Сузунском районе Новосибирской области</t>
  </si>
  <si>
    <t xml:space="preserve">местный бюджет </t>
  </si>
  <si>
    <t>местные бюджеты</t>
  </si>
  <si>
    <t xml:space="preserve">федеральный бюджет </t>
  </si>
  <si>
    <t>61000R0182</t>
  </si>
  <si>
    <t>Ввод в эксплуатацию км автодороги</t>
  </si>
  <si>
    <t xml:space="preserve">Мост через ручей на 19 км а/д "Мальчиха - Лаптевка" </t>
  </si>
  <si>
    <t>Ввод в эксплуатацию 1,62 км автодороги</t>
  </si>
  <si>
    <t>Ввод в эксплуатацию 13,1 км автодороги</t>
  </si>
  <si>
    <t>Ввод в эксплуатацию 7,0 км автодороги</t>
  </si>
  <si>
    <t>Ввод в эксплуатацию автомобильной дороги (объем работ уточняется)</t>
  </si>
  <si>
    <t xml:space="preserve">Ввод в эксплуатацию 1,9 км автодороги </t>
  </si>
  <si>
    <t>Ввод в эксплуатацию 7,3 км автодороги</t>
  </si>
  <si>
    <t xml:space="preserve">Ввод в эксплуатацию моста протяженностью  23,6 п.м (подходы 0,0766 км)** </t>
  </si>
  <si>
    <t>Ввод в эксплуатацию моста протяженностью  247,3 п.м (подходы 0,6 км) **</t>
  </si>
  <si>
    <t>федеральный  бюджет, тыс.руб.*****</t>
  </si>
  <si>
    <t>Сумма затрат (тыс.руб.)</t>
  </si>
  <si>
    <t>Капитальный ремонт 5 км автодороги</t>
  </si>
  <si>
    <t>Капитальный ремонт 3,00 км автодороги</t>
  </si>
  <si>
    <t>Капитальный ремонт 1,033 км автодороги</t>
  </si>
  <si>
    <t>Капитальный ремонт 2,568 км автодороги</t>
  </si>
  <si>
    <t>Капитальный ремонт 4,16 км автодороги</t>
  </si>
  <si>
    <t>Капитальный ремонт автодороги  1,396 км</t>
  </si>
  <si>
    <t xml:space="preserve"> Ремонт 12,8 км автодороги (в т.ч. поверхностная обработка)</t>
  </si>
  <si>
    <t xml:space="preserve"> Ремонт 17,6 км автодороги (в т.ч. поверхностная обработка)</t>
  </si>
  <si>
    <t>а/д "Новосибирск - Колывань -Томск (в границах НСО)" (поверхностная обработка)</t>
  </si>
  <si>
    <t xml:space="preserve"> Ремонт 4,7 км автодороги</t>
  </si>
  <si>
    <t>а/д "Кольцово - Академгородок"</t>
  </si>
  <si>
    <t xml:space="preserve"> Ремонт 8,5 км автодороги (в т.ч. поверхностная обработка)</t>
  </si>
  <si>
    <t xml:space="preserve"> Ремонт 9,8 км автодороги</t>
  </si>
  <si>
    <t xml:space="preserve"> Ремонт 10,7 км автодороги</t>
  </si>
  <si>
    <t>а/д "1 км а/д "Н-2123" - Верх-Тула -  Ленинское-ОБЬГЭС"</t>
  </si>
  <si>
    <t xml:space="preserve"> Ремонт 7,70 км автодороги</t>
  </si>
  <si>
    <t xml:space="preserve"> Ремонт 3,8 км автодороги </t>
  </si>
  <si>
    <t xml:space="preserve"> Ремонт 11,3 км автодороги (в т.ч. поверхностная обработка)</t>
  </si>
  <si>
    <t xml:space="preserve"> Ремонт 3 км автодороги</t>
  </si>
  <si>
    <t xml:space="preserve"> Ремонт 10,2 км автодороги </t>
  </si>
  <si>
    <t xml:space="preserve"> Ремонт 26,1 км автодороги (в т.ч. поверхностная обработка)</t>
  </si>
  <si>
    <t>Бюджетные обязательства по выполненным и принятым работам в 2016 году</t>
  </si>
  <si>
    <t>Ввод в эксплуатацию 4,6 км автодороги</t>
  </si>
  <si>
    <t>Ввод в эксплуатацию 7,1 км автодороги</t>
  </si>
  <si>
    <t>Оплата бюджетных обязательства по выполненным и принятым работам в 2016 году</t>
  </si>
  <si>
    <t>Реконструкция автомобильной дороги "22 км а/д "К-08" - Сарыбалык - Даниловская Ферма" на участке км 0+003 - км 2+068 в Доволенском районе  Новосибирской области</t>
  </si>
  <si>
    <t>Ввод в эксплуатацию моста протяженностью 0,07 км **</t>
  </si>
  <si>
    <t xml:space="preserve"> Ремонт 1,4 км автодороги</t>
  </si>
  <si>
    <t>иные межбюджетные трансферты на реализацию   приоритетного направления стратегического развития Российской Федерации, в целях реализации приоритетного проекта «Безопасные и качественные дороги»</t>
  </si>
  <si>
    <t xml:space="preserve">федеральный бюджет * </t>
  </si>
  <si>
    <t>* Мероприятия в рамках реализации федеральной целевой программы «Устойчивое развитие сельских территорий на 2014-2017 годы и на период до 2020 года»</t>
  </si>
  <si>
    <t>*  Мероприятия в рамках реализации федеральной целевой программы «Устойчивое развитие сельских территорий на 2014-2017 годы и на период до 2020 года»</t>
  </si>
  <si>
    <t xml:space="preserve">Приложение к приказу Минтранса НСО                                                               от . .2017 № </t>
  </si>
  <si>
    <t xml:space="preserve">Капитальный ремонт моста 34,7 п.м (подходы 0,04 км) </t>
  </si>
  <si>
    <t>Капитальный ремонт моста (объем работ уточняется)</t>
  </si>
  <si>
    <t>Федер.бюджет тыс.руб. *</t>
  </si>
  <si>
    <t>внебюджетные источники</t>
  </si>
  <si>
    <t xml:space="preserve">12.1 Объемы ввода в эксплуатацию в результате планово-предупредительного ремонта автомобильных дорог общего пользования  регионального и межмуниципального значения и сооружений на них </t>
  </si>
  <si>
    <t xml:space="preserve">федеральный бюджет* </t>
  </si>
  <si>
    <t>Капитальный ремонт 0,3 км автодороги</t>
  </si>
  <si>
    <t>7.1 Объем работ, выполненных в ходе строительства мостового перехода через р. Обь в створе ул. Ипподромской г. Новосибирска на условиях государственно-частного партнерства**</t>
  </si>
  <si>
    <t>Задача 2. Обеспечение сохранности и восстановления автомобильных дорог регионального, межмуниципального и местного значения и искусственных сооружений на них, а также улично-дорожной сети в муниципальных образованиях  Новосибирской области.</t>
  </si>
  <si>
    <t>Реализация мероприятия позволит завершить государственную регистрацию права собственности Новосибирской области на автомобильные дороги и земельные участки, входящие в полосы отвода автомобильных дорог, а также права ГКУ НСО ТУАД на оперативное управление и постоянное (бессрочное) пользование</t>
  </si>
  <si>
    <t>61000R0181</t>
  </si>
  <si>
    <t>61000XXXXX</t>
  </si>
  <si>
    <t>52X</t>
  </si>
  <si>
    <t>61000ХХХХХ</t>
  </si>
  <si>
    <t>федеральный бюджет***</t>
  </si>
  <si>
    <t xml:space="preserve">*** Остаток иных межбюджетных трасфертов за 2016 год </t>
  </si>
  <si>
    <t>федеральный бюджет ***</t>
  </si>
  <si>
    <t xml:space="preserve">****** Остаток иных межбюджетных трасфертов за 2016 год </t>
  </si>
  <si>
    <t>федеральный бюджет ******</t>
  </si>
  <si>
    <t>Федер.бюджет тыс.руб. ******</t>
  </si>
  <si>
    <t>ё</t>
  </si>
  <si>
    <t>244,831,853</t>
  </si>
  <si>
    <t>52Х</t>
  </si>
  <si>
    <t>Капитальный ремонт моста(объем работ уточняется)</t>
  </si>
  <si>
    <t>6.1. Ввод в эксплуатацию автомобильных дорог общего пользования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</si>
  <si>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>Минтранс НСО, ГКУ НСО "Мост"</t>
  </si>
  <si>
    <t>Применяемые сокращения: 
ГКУ НСО ТУАД – государственное казенное учреждение Новосибирской области «Территориальное управление автомобильных дорог Новосибирской области»;                                                                                                                                                                                                                                                                                 ГКУ НСО "Мост" – государственное казенное учреждение Новосибирской области "Мост";
км – километр;
Минтранс НСО – министерство транспорта и дорожного хозяйства Новосибирской области;
НСО – Новосибирская область;                                                                                                                                                                                                                                                                                                                                                                                                                                                    п.м – погонные метры;                                                                                                                                                                                                                                                                                                                                                                                                                                                                                       РФ  – Российская Федерация;                                                                                                                                                                                                                                                                                                                                                                                                                                                          тыс. руб. – тысяча рублей;                                                                                                                                                                                                                                                                                                                                                                                                                                                                                                                                                                                                                                                                                                                                                                                                                                                                                                                                                                      шт. –  штука.</t>
  </si>
  <si>
    <t>6.1.Ввод в эксплуатацию автомобильных дорог общего пользования после строительства или реконструкции с твердым покрытием, ведущих от сети автомобильных дорог общего пользования к ближайшим общественно значимым объектам сельских населенных пунктов, а также к объектам производства и переработки сельскохозяйственной продукции</t>
  </si>
  <si>
    <t xml:space="preserve"> Предусмотрены средства на выполнение подготовительных работ для реконструкции автомобильных дорог, на оказание услуг по осуществлению функций строительного контроля за реконструкцией автомобильных дорог.</t>
  </si>
  <si>
    <t>Капитальный ремонт 56,65 п.м (0,09293 км)**</t>
  </si>
  <si>
    <t>Строительство путепровода протяженностью 121,4 п.м (подходы 0,66 км) **</t>
  </si>
  <si>
    <t xml:space="preserve">Ввод в эксплуатацию законченных строительством и реконструкцией автодорог общего пользования регионального и межмуниципального значения и искусственных сооружений на них:                                             в 2017 году - 39,2 км;                                         в 2018 году - 10,2 км;                                            в 2019 году - 5,8 км.                                          </t>
  </si>
  <si>
    <t xml:space="preserve">Ввод в эксплуатацию законченных строительством и реконструкцией автодорог общего пользования регионального и межмуниципального значения; ввод в эксплуатацию искусственных сооружений:                                                                                       в 2017 году -39,2 км;                                            в 2018 году - 10,2 км                     в 2019 году - 5,8 км                     </t>
  </si>
  <si>
    <t>Количество участков</t>
  </si>
  <si>
    <t>1.1.2.1. Подготовка территории под строительство: проведение оценки размера возмещения стоимости недвижимого имущества, обследование зданий и сооружений, кадастровые и топографические работы; компенсационные выплаты правообладателям при изъятии земельных участков и имущества, расположенного на них.</t>
  </si>
  <si>
    <t>В 2017 году передача земельных участков, попадающих в зону строительства в собственность субъекта РФ, с последующей передачей концессионеру. Количество участков на 2018-2019 годы уточняется.</t>
  </si>
  <si>
    <t>1.1.2.1.Подготовка территории под строительство: проведение оценки размера возмещения стоимости недвижимого имущества, обследование зданий и сооружений, кадастровые и топографические работы; компенсационные выплаты правообладателям при изъятии земельных участков и имущества, расположенного на них.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</si>
</sst>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_р_._-;\-* #,##0.0_р_._-;_-* &quot;-&quot;?_р_._-;_-@_-"/>
    <numFmt numFmtId="168" formatCode="#,##0.0"/>
    <numFmt numFmtId="169" formatCode="0.0"/>
    <numFmt numFmtId="170" formatCode="_-* #,##0.000_р_._-;\-* #,##0.000_р_._-;_-* &quot;-&quot;??_р_._-;_-@_-"/>
    <numFmt numFmtId="171" formatCode="#,##0.0_ ;\-#,##0.0\ "/>
    <numFmt numFmtId="172" formatCode="#,##0.00_ ;\-#,##0.00\ "/>
    <numFmt numFmtId="173" formatCode="0.000"/>
    <numFmt numFmtId="174" formatCode="0.0%"/>
    <numFmt numFmtId="175" formatCode="0.0000"/>
    <numFmt numFmtId="176" formatCode="#,##0.0_р_."/>
  </numFmts>
  <fonts count="7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</font>
    <font>
      <sz val="10"/>
      <name val="Helv"/>
    </font>
    <font>
      <sz val="10"/>
      <name val="Times New Roman"/>
      <family val="1"/>
    </font>
    <font>
      <sz val="10"/>
      <name val="Times New Roman CE"/>
      <family val="1"/>
      <charset val="238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name val="Times New Roman CE"/>
      <family val="1"/>
      <charset val="238"/>
    </font>
    <font>
      <b/>
      <sz val="9"/>
      <name val="Times New Roman CE"/>
      <family val="1"/>
      <charset val="238"/>
    </font>
    <font>
      <sz val="9"/>
      <name val="Times New Roman Cyr"/>
      <family val="1"/>
      <charset val="204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Times New Roman CE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9"/>
      <color theme="1"/>
      <name val="Calibri"/>
      <family val="2"/>
      <charset val="204"/>
      <scheme val="minor"/>
    </font>
    <font>
      <sz val="19"/>
      <name val="Calibri"/>
      <family val="2"/>
      <charset val="204"/>
      <scheme val="minor"/>
    </font>
    <font>
      <sz val="19"/>
      <color rgb="FF00B050"/>
      <name val="Calibri"/>
      <family val="2"/>
      <charset val="204"/>
      <scheme val="minor"/>
    </font>
    <font>
      <sz val="19"/>
      <color theme="5"/>
      <name val="Calibri"/>
      <family val="2"/>
      <charset val="204"/>
      <scheme val="minor"/>
    </font>
    <font>
      <sz val="19"/>
      <color theme="6" tint="-0.499984740745262"/>
      <name val="Calibri"/>
      <family val="2"/>
      <charset val="204"/>
      <scheme val="minor"/>
    </font>
    <font>
      <sz val="19"/>
      <color theme="1"/>
      <name val="Times New Roman"/>
      <family val="1"/>
      <charset val="204"/>
    </font>
    <font>
      <sz val="19"/>
      <color rgb="FFFF0000"/>
      <name val="Calibri"/>
      <family val="2"/>
      <charset val="204"/>
      <scheme val="minor"/>
    </font>
    <font>
      <sz val="10"/>
      <name val="Helv"/>
      <charset val="204"/>
    </font>
    <font>
      <sz val="8"/>
      <color theme="1"/>
      <name val="Arial"/>
      <family val="2"/>
      <charset val="204"/>
    </font>
    <font>
      <b/>
      <i/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8"/>
      <color theme="10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sz val="14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9"/>
      <name val="Times New Roman Cyr"/>
      <charset val="204"/>
    </font>
    <font>
      <sz val="14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5">
    <xf numFmtId="0" fontId="0" fillId="0" borderId="0"/>
    <xf numFmtId="0" fontId="9" fillId="0" borderId="0"/>
    <xf numFmtId="0" fontId="9" fillId="0" borderId="0"/>
    <xf numFmtId="0" fontId="5" fillId="0" borderId="0"/>
    <xf numFmtId="165" fontId="17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" fillId="0" borderId="0"/>
    <xf numFmtId="0" fontId="17" fillId="0" borderId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1" fillId="0" borderId="0"/>
    <xf numFmtId="0" fontId="54" fillId="0" borderId="0" applyNumberFormat="0" applyFill="0" applyBorder="0" applyAlignment="0" applyProtection="0"/>
  </cellStyleXfs>
  <cellXfs count="657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top" wrapText="1"/>
      <protection hidden="1"/>
    </xf>
    <xf numFmtId="0" fontId="3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7" fillId="2" borderId="1" xfId="0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" borderId="1" xfId="4" applyNumberFormat="1" applyFont="1" applyFill="1" applyBorder="1" applyAlignment="1" applyProtection="1">
      <alignment horizontal="center" vertical="top" wrapText="1"/>
      <protection hidden="1"/>
    </xf>
    <xf numFmtId="166" fontId="3" fillId="2" borderId="1" xfId="4" applyNumberFormat="1" applyFont="1" applyFill="1" applyBorder="1" applyAlignment="1" applyProtection="1">
      <alignment horizontal="center" vertical="top" wrapText="1"/>
      <protection hidden="1"/>
    </xf>
    <xf numFmtId="166" fontId="10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165" fontId="10" fillId="2" borderId="1" xfId="4" applyFont="1" applyFill="1" applyBorder="1" applyAlignment="1" applyProtection="1">
      <alignment horizontal="center" vertical="center" wrapText="1"/>
      <protection hidden="1"/>
    </xf>
    <xf numFmtId="166" fontId="3" fillId="2" borderId="1" xfId="4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NumberFormat="1" applyFont="1" applyFill="1" applyAlignment="1">
      <alignment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166" fontId="10" fillId="2" borderId="1" xfId="4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vertical="center" wrapText="1"/>
      <protection hidden="1"/>
    </xf>
    <xf numFmtId="0" fontId="10" fillId="2" borderId="3" xfId="1" applyNumberFormat="1" applyFont="1" applyFill="1" applyBorder="1" applyAlignment="1" applyProtection="1">
      <alignment vertical="top" wrapText="1"/>
      <protection hidden="1"/>
    </xf>
    <xf numFmtId="0" fontId="10" fillId="2" borderId="4" xfId="1" applyNumberFormat="1" applyFont="1" applyFill="1" applyBorder="1" applyAlignment="1" applyProtection="1">
      <alignment vertical="top" wrapText="1"/>
      <protection hidden="1"/>
    </xf>
    <xf numFmtId="0" fontId="11" fillId="2" borderId="3" xfId="0" applyNumberFormat="1" applyFont="1" applyFill="1" applyBorder="1" applyAlignment="1">
      <alignment vertical="top" wrapText="1"/>
    </xf>
    <xf numFmtId="0" fontId="11" fillId="2" borderId="4" xfId="0" applyNumberFormat="1" applyFont="1" applyFill="1" applyBorder="1" applyAlignment="1">
      <alignment vertical="top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vertical="top" wrapText="1"/>
      <protection hidden="1"/>
    </xf>
    <xf numFmtId="166" fontId="3" fillId="2" borderId="1" xfId="4" applyNumberFormat="1" applyFont="1" applyFill="1" applyBorder="1" applyAlignment="1">
      <alignment horizontal="center" vertical="top" wrapText="1"/>
    </xf>
    <xf numFmtId="0" fontId="3" fillId="2" borderId="1" xfId="1" applyNumberFormat="1" applyFont="1" applyFill="1" applyBorder="1" applyAlignment="1" applyProtection="1">
      <alignment horizontal="left" vertical="center" wrapText="1"/>
      <protection hidden="1"/>
    </xf>
    <xf numFmtId="166" fontId="3" fillId="2" borderId="1" xfId="4" applyNumberFormat="1" applyFont="1" applyFill="1" applyBorder="1" applyAlignment="1" applyProtection="1">
      <alignment horizontal="right" vertical="center"/>
      <protection hidden="1"/>
    </xf>
    <xf numFmtId="166" fontId="3" fillId="2" borderId="1" xfId="4" applyNumberFormat="1" applyFont="1" applyFill="1" applyBorder="1"/>
    <xf numFmtId="0" fontId="12" fillId="2" borderId="0" xfId="0" applyNumberFormat="1" applyFont="1" applyFill="1" applyAlignment="1">
      <alignment horizontal="right" vertical="center" wrapText="1"/>
    </xf>
    <xf numFmtId="0" fontId="3" fillId="2" borderId="0" xfId="0" applyNumberFormat="1" applyFont="1" applyFill="1" applyAlignment="1">
      <alignment horizontal="center" vertical="center" wrapText="1"/>
    </xf>
    <xf numFmtId="166" fontId="3" fillId="2" borderId="1" xfId="4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vertical="center" wrapText="1"/>
    </xf>
    <xf numFmtId="0" fontId="3" fillId="2" borderId="1" xfId="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169" fontId="10" fillId="2" borderId="1" xfId="4" applyNumberFormat="1" applyFont="1" applyFill="1" applyBorder="1" applyAlignment="1">
      <alignment horizontal="center" vertical="center" wrapText="1"/>
    </xf>
    <xf numFmtId="169" fontId="10" fillId="2" borderId="1" xfId="0" applyNumberFormat="1" applyFont="1" applyFill="1" applyBorder="1" applyAlignment="1">
      <alignment horizontal="center" vertical="center" wrapText="1"/>
    </xf>
    <xf numFmtId="166" fontId="10" fillId="2" borderId="2" xfId="4" applyNumberFormat="1" applyFont="1" applyFill="1" applyBorder="1" applyAlignment="1" applyProtection="1">
      <alignment horizontal="center" vertical="center" wrapText="1"/>
      <protection hidden="1"/>
    </xf>
    <xf numFmtId="166" fontId="10" fillId="2" borderId="4" xfId="4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0" applyNumberFormat="1" applyFont="1" applyFill="1" applyAlignment="1">
      <alignment horizontal="center" vertical="center" wrapText="1"/>
    </xf>
    <xf numFmtId="0" fontId="3" fillId="2" borderId="3" xfId="0" applyNumberFormat="1" applyFont="1" applyFill="1" applyBorder="1" applyAlignment="1">
      <alignment vertical="top" wrapText="1"/>
    </xf>
    <xf numFmtId="167" fontId="8" fillId="2" borderId="0" xfId="0" applyNumberFormat="1" applyFont="1" applyFill="1" applyAlignment="1">
      <alignment vertical="center" wrapText="1"/>
    </xf>
    <xf numFmtId="165" fontId="10" fillId="2" borderId="1" xfId="4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top" wrapText="1"/>
    </xf>
    <xf numFmtId="165" fontId="10" fillId="2" borderId="1" xfId="4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8" fillId="2" borderId="0" xfId="4" applyNumberFormat="1" applyFont="1" applyFill="1" applyAlignment="1">
      <alignment vertical="center" wrapText="1"/>
    </xf>
    <xf numFmtId="170" fontId="3" fillId="2" borderId="1" xfId="4" applyNumberFormat="1" applyFont="1" applyFill="1" applyBorder="1" applyAlignment="1">
      <alignment horizontal="center" vertical="center" wrapText="1"/>
    </xf>
    <xf numFmtId="167" fontId="8" fillId="2" borderId="0" xfId="4" applyNumberFormat="1" applyFont="1" applyFill="1" applyAlignment="1">
      <alignment vertical="center" wrapText="1"/>
    </xf>
    <xf numFmtId="0" fontId="3" fillId="2" borderId="4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top" wrapText="1"/>
    </xf>
    <xf numFmtId="168" fontId="16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 wrapText="1"/>
    </xf>
    <xf numFmtId="4" fontId="8" fillId="2" borderId="0" xfId="0" applyNumberFormat="1" applyFont="1" applyFill="1" applyAlignment="1">
      <alignment vertical="center" wrapText="1"/>
    </xf>
    <xf numFmtId="0" fontId="18" fillId="0" borderId="0" xfId="0" applyNumberFormat="1" applyFont="1" applyFill="1" applyAlignment="1">
      <alignment vertical="top" wrapText="1"/>
    </xf>
    <xf numFmtId="0" fontId="21" fillId="0" borderId="0" xfId="0" applyNumberFormat="1" applyFont="1" applyFill="1" applyAlignment="1">
      <alignment vertical="top" wrapText="1"/>
    </xf>
    <xf numFmtId="166" fontId="18" fillId="0" borderId="0" xfId="0" applyNumberFormat="1" applyFont="1" applyFill="1" applyAlignment="1">
      <alignment vertical="top" wrapText="1"/>
    </xf>
    <xf numFmtId="2" fontId="18" fillId="0" borderId="0" xfId="0" applyNumberFormat="1" applyFont="1" applyFill="1" applyAlignment="1">
      <alignment vertical="top" wrapText="1"/>
    </xf>
    <xf numFmtId="167" fontId="18" fillId="0" borderId="0" xfId="0" applyNumberFormat="1" applyFont="1" applyFill="1" applyAlignment="1">
      <alignment vertical="top" wrapText="1"/>
    </xf>
    <xf numFmtId="168" fontId="10" fillId="2" borderId="1" xfId="4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0" fontId="10" fillId="2" borderId="2" xfId="1" applyNumberFormat="1" applyFont="1" applyFill="1" applyBorder="1" applyAlignment="1" applyProtection="1">
      <alignment horizontal="left" vertical="top" wrapText="1"/>
      <protection hidden="1"/>
    </xf>
    <xf numFmtId="0" fontId="10" fillId="2" borderId="3" xfId="1" applyNumberFormat="1" applyFont="1" applyFill="1" applyBorder="1" applyAlignment="1" applyProtection="1">
      <alignment horizontal="left" vertical="top" wrapText="1"/>
      <protection hidden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0" fillId="2" borderId="4" xfId="1" applyNumberFormat="1" applyFont="1" applyFill="1" applyBorder="1" applyAlignment="1" applyProtection="1">
      <alignment horizontal="left" vertical="top" wrapText="1"/>
      <protection hidden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vertical="top" wrapText="1"/>
    </xf>
    <xf numFmtId="169" fontId="22" fillId="0" borderId="1" xfId="0" applyNumberFormat="1" applyFont="1" applyFill="1" applyBorder="1" applyAlignment="1">
      <alignment horizontal="center" vertical="center" wrapText="1"/>
    </xf>
    <xf numFmtId="169" fontId="18" fillId="0" borderId="1" xfId="0" applyNumberFormat="1" applyFont="1" applyFill="1" applyBorder="1" applyAlignment="1">
      <alignment vertical="top" wrapText="1"/>
    </xf>
    <xf numFmtId="166" fontId="23" fillId="2" borderId="1" xfId="4" applyNumberFormat="1" applyFont="1" applyFill="1" applyBorder="1" applyAlignment="1">
      <alignment horizontal="center" vertical="center" wrapText="1"/>
    </xf>
    <xf numFmtId="169" fontId="3" fillId="2" borderId="1" xfId="4" applyNumberFormat="1" applyFont="1" applyFill="1" applyBorder="1" applyAlignment="1">
      <alignment horizontal="center" vertical="center" wrapText="1"/>
    </xf>
    <xf numFmtId="169" fontId="3" fillId="2" borderId="1" xfId="1" applyNumberFormat="1" applyFont="1" applyFill="1" applyBorder="1" applyAlignment="1" applyProtection="1">
      <alignment horizontal="center" vertical="top" wrapText="1"/>
      <protection hidden="1"/>
    </xf>
    <xf numFmtId="169" fontId="24" fillId="2" borderId="1" xfId="4" applyNumberFormat="1" applyFont="1" applyFill="1" applyBorder="1" applyAlignment="1">
      <alignment horizontal="center" vertical="center" wrapText="1"/>
    </xf>
    <xf numFmtId="169" fontId="24" fillId="2" borderId="1" xfId="4" applyNumberFormat="1" applyFont="1" applyFill="1" applyBorder="1" applyAlignment="1" applyProtection="1">
      <alignment horizontal="center" vertical="center" wrapText="1"/>
      <protection hidden="1"/>
    </xf>
    <xf numFmtId="166" fontId="4" fillId="2" borderId="1" xfId="4" applyNumberFormat="1" applyFont="1" applyFill="1" applyBorder="1" applyAlignment="1">
      <alignment horizontal="center" vertical="center" wrapText="1"/>
    </xf>
    <xf numFmtId="166" fontId="11" fillId="2" borderId="1" xfId="4" applyNumberFormat="1" applyFont="1" applyFill="1" applyBorder="1" applyAlignment="1">
      <alignment horizontal="center" vertical="center" wrapText="1"/>
    </xf>
    <xf numFmtId="169" fontId="8" fillId="2" borderId="0" xfId="0" applyNumberFormat="1" applyFont="1" applyFill="1" applyAlignment="1">
      <alignment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169" fontId="11" fillId="2" borderId="1" xfId="0" applyNumberFormat="1" applyFont="1" applyFill="1" applyBorder="1" applyAlignment="1">
      <alignment horizontal="center" vertical="center" wrapText="1"/>
    </xf>
    <xf numFmtId="168" fontId="10" fillId="2" borderId="1" xfId="0" applyNumberFormat="1" applyFont="1" applyFill="1" applyBorder="1" applyAlignment="1">
      <alignment horizontal="center" vertical="center" wrapText="1"/>
    </xf>
    <xf numFmtId="168" fontId="10" fillId="2" borderId="4" xfId="4" applyNumberFormat="1" applyFont="1" applyFill="1" applyBorder="1" applyAlignment="1">
      <alignment horizontal="center" vertical="center" wrapText="1"/>
    </xf>
    <xf numFmtId="168" fontId="3" fillId="2" borderId="1" xfId="4" applyNumberFormat="1" applyFont="1" applyFill="1" applyBorder="1" applyAlignment="1">
      <alignment horizontal="center" vertical="center" wrapText="1"/>
    </xf>
    <xf numFmtId="168" fontId="3" fillId="2" borderId="4" xfId="4" applyNumberFormat="1" applyFont="1" applyFill="1" applyBorder="1" applyAlignment="1">
      <alignment horizontal="center" vertical="center" wrapText="1"/>
    </xf>
    <xf numFmtId="168" fontId="3" fillId="2" borderId="1" xfId="4" applyNumberFormat="1" applyFont="1" applyFill="1" applyBorder="1" applyAlignment="1" applyProtection="1">
      <alignment horizontal="center" vertical="center" wrapText="1"/>
      <protection hidden="1"/>
    </xf>
    <xf numFmtId="168" fontId="20" fillId="0" borderId="1" xfId="4" applyNumberFormat="1" applyFont="1" applyFill="1" applyBorder="1" applyAlignment="1">
      <alignment horizontal="center" vertical="center" wrapText="1"/>
    </xf>
    <xf numFmtId="168" fontId="10" fillId="2" borderId="1" xfId="4" applyNumberFormat="1" applyFont="1" applyFill="1" applyBorder="1" applyAlignment="1" applyProtection="1">
      <alignment horizontal="center" vertical="center" wrapText="1"/>
      <protection hidden="1"/>
    </xf>
    <xf numFmtId="168" fontId="19" fillId="0" borderId="1" xfId="4" applyNumberFormat="1" applyFont="1" applyFill="1" applyBorder="1" applyAlignment="1">
      <alignment horizontal="center" vertical="center" wrapText="1"/>
    </xf>
    <xf numFmtId="168" fontId="24" fillId="2" borderId="1" xfId="4" applyNumberFormat="1" applyFont="1" applyFill="1" applyBorder="1" applyAlignment="1">
      <alignment horizontal="center" vertical="center" wrapText="1"/>
    </xf>
    <xf numFmtId="168" fontId="3" fillId="2" borderId="1" xfId="4" applyNumberFormat="1" applyFont="1" applyFill="1" applyBorder="1" applyAlignment="1" applyProtection="1">
      <alignment horizontal="center" vertical="top" wrapText="1"/>
      <protection hidden="1"/>
    </xf>
    <xf numFmtId="168" fontId="3" fillId="2" borderId="1" xfId="4" applyNumberFormat="1" applyFont="1" applyFill="1" applyBorder="1" applyAlignment="1">
      <alignment horizontal="center" vertical="top" wrapText="1"/>
    </xf>
    <xf numFmtId="168" fontId="10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10" fillId="2" borderId="2" xfId="4" applyNumberFormat="1" applyFont="1" applyFill="1" applyBorder="1" applyAlignment="1" applyProtection="1">
      <alignment horizontal="center" vertical="center" wrapText="1"/>
      <protection hidden="1"/>
    </xf>
    <xf numFmtId="168" fontId="10" fillId="2" borderId="4" xfId="4" applyNumberFormat="1" applyFont="1" applyFill="1" applyBorder="1" applyAlignment="1" applyProtection="1">
      <alignment horizontal="center" vertical="center" wrapText="1"/>
      <protection hidden="1"/>
    </xf>
    <xf numFmtId="168" fontId="3" fillId="2" borderId="1" xfId="4" applyNumberFormat="1" applyFont="1" applyFill="1" applyBorder="1" applyAlignment="1" applyProtection="1">
      <alignment horizontal="right" vertical="center"/>
      <protection hidden="1"/>
    </xf>
    <xf numFmtId="168" fontId="8" fillId="2" borderId="0" xfId="0" applyNumberFormat="1" applyFont="1" applyFill="1" applyAlignment="1">
      <alignment vertical="center" wrapText="1"/>
    </xf>
    <xf numFmtId="0" fontId="23" fillId="2" borderId="4" xfId="0" applyNumberFormat="1" applyFont="1" applyFill="1" applyBorder="1" applyAlignment="1">
      <alignment vertical="top" wrapText="1"/>
    </xf>
    <xf numFmtId="0" fontId="23" fillId="2" borderId="1" xfId="0" applyNumberFormat="1" applyFont="1" applyFill="1" applyBorder="1" applyAlignment="1">
      <alignment vertical="top"/>
    </xf>
    <xf numFmtId="0" fontId="8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3" fillId="2" borderId="0" xfId="0" applyNumberFormat="1" applyFont="1" applyFill="1" applyBorder="1" applyAlignment="1">
      <alignment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166" fontId="3" fillId="2" borderId="0" xfId="4" applyNumberFormat="1" applyFont="1" applyFill="1" applyBorder="1" applyAlignment="1">
      <alignment horizontal="center" vertical="top" wrapText="1"/>
    </xf>
    <xf numFmtId="168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8" fontId="10" fillId="0" borderId="1" xfId="0" applyNumberFormat="1" applyFont="1" applyFill="1" applyBorder="1" applyAlignment="1">
      <alignment horizontal="center" vertical="center" wrapText="1"/>
    </xf>
    <xf numFmtId="168" fontId="10" fillId="0" borderId="1" xfId="4" applyNumberFormat="1" applyFont="1" applyFill="1" applyBorder="1" applyAlignment="1">
      <alignment horizontal="center" vertical="center" wrapText="1"/>
    </xf>
    <xf numFmtId="168" fontId="3" fillId="0" borderId="1" xfId="4" applyNumberFormat="1" applyFont="1" applyFill="1" applyBorder="1" applyAlignment="1">
      <alignment horizontal="center" vertical="center" wrapText="1"/>
    </xf>
    <xf numFmtId="168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4" applyNumberFormat="1" applyFont="1" applyFill="1" applyBorder="1" applyAlignment="1">
      <alignment horizontal="center" vertical="center" wrapText="1"/>
    </xf>
    <xf numFmtId="168" fontId="24" fillId="0" borderId="1" xfId="4" applyNumberFormat="1" applyFont="1" applyFill="1" applyBorder="1" applyAlignment="1">
      <alignment horizontal="center" vertical="center" wrapText="1"/>
    </xf>
    <xf numFmtId="168" fontId="3" fillId="0" borderId="1" xfId="4" applyNumberFormat="1" applyFont="1" applyFill="1" applyBorder="1" applyAlignment="1">
      <alignment horizontal="center" vertical="top" wrapText="1"/>
    </xf>
    <xf numFmtId="169" fontId="3" fillId="0" borderId="1" xfId="4" applyNumberFormat="1" applyFont="1" applyFill="1" applyBorder="1" applyAlignment="1">
      <alignment horizontal="center" vertical="center" wrapText="1"/>
    </xf>
    <xf numFmtId="168" fontId="10" fillId="0" borderId="2" xfId="4" applyNumberFormat="1" applyFont="1" applyFill="1" applyBorder="1" applyAlignment="1">
      <alignment horizontal="center" vertical="center" wrapText="1"/>
    </xf>
    <xf numFmtId="168" fontId="10" fillId="0" borderId="4" xfId="4" applyNumberFormat="1" applyFont="1" applyFill="1" applyBorder="1" applyAlignment="1">
      <alignment horizontal="center" vertical="center" wrapText="1"/>
    </xf>
    <xf numFmtId="168" fontId="3" fillId="0" borderId="1" xfId="4" applyNumberFormat="1" applyFont="1" applyFill="1" applyBorder="1"/>
    <xf numFmtId="169" fontId="24" fillId="0" borderId="1" xfId="4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4" applyNumberFormat="1" applyFont="1" applyFill="1" applyBorder="1" applyAlignment="1" applyProtection="1">
      <alignment horizontal="center" vertical="top" wrapText="1"/>
      <protection hidden="1"/>
    </xf>
    <xf numFmtId="0" fontId="3" fillId="0" borderId="1" xfId="1" applyNumberFormat="1" applyFont="1" applyFill="1" applyBorder="1" applyAlignment="1" applyProtection="1">
      <alignment horizontal="center" vertical="top" wrapText="1"/>
      <protection hidden="1"/>
    </xf>
    <xf numFmtId="0" fontId="8" fillId="0" borderId="0" xfId="4" applyNumberFormat="1" applyFont="1" applyFill="1" applyAlignment="1">
      <alignment vertical="center" wrapText="1"/>
    </xf>
    <xf numFmtId="166" fontId="3" fillId="2" borderId="0" xfId="4" applyNumberFormat="1" applyFont="1" applyFill="1" applyBorder="1" applyAlignment="1">
      <alignment horizontal="center" vertical="center" wrapText="1"/>
    </xf>
    <xf numFmtId="0" fontId="23" fillId="2" borderId="1" xfId="4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1" fillId="2" borderId="1" xfId="4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68" fontId="11" fillId="2" borderId="1" xfId="0" applyNumberFormat="1" applyFont="1" applyFill="1" applyBorder="1" applyAlignment="1">
      <alignment horizontal="center" vertical="center" wrapText="1"/>
    </xf>
    <xf numFmtId="168" fontId="11" fillId="2" borderId="1" xfId="4" applyNumberFormat="1" applyFont="1" applyFill="1" applyBorder="1" applyAlignment="1">
      <alignment horizontal="center" vertical="center" wrapText="1"/>
    </xf>
    <xf numFmtId="168" fontId="23" fillId="2" borderId="1" xfId="4" applyNumberFormat="1" applyFont="1" applyFill="1" applyBorder="1" applyAlignment="1">
      <alignment horizontal="center" vertical="center" wrapText="1"/>
    </xf>
    <xf numFmtId="168" fontId="8" fillId="2" borderId="0" xfId="0" applyNumberFormat="1" applyFont="1" applyFill="1" applyAlignment="1">
      <alignment horizontal="center" vertical="center" wrapText="1"/>
    </xf>
    <xf numFmtId="168" fontId="4" fillId="2" borderId="1" xfId="4" applyNumberFormat="1" applyFont="1" applyFill="1" applyBorder="1" applyAlignment="1">
      <alignment horizontal="center" vertical="center" wrapText="1"/>
    </xf>
    <xf numFmtId="168" fontId="23" fillId="2" borderId="0" xfId="0" applyNumberFormat="1" applyFont="1" applyFill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/>
    </xf>
    <xf numFmtId="166" fontId="23" fillId="2" borderId="1" xfId="4" applyNumberFormat="1" applyFont="1" applyFill="1" applyBorder="1" applyAlignment="1">
      <alignment horizontal="center" vertical="center"/>
    </xf>
    <xf numFmtId="168" fontId="23" fillId="2" borderId="1" xfId="4" applyNumberFormat="1" applyFont="1" applyFill="1" applyBorder="1" applyAlignment="1">
      <alignment horizontal="center" vertical="center"/>
    </xf>
    <xf numFmtId="0" fontId="18" fillId="0" borderId="0" xfId="0" applyNumberFormat="1" applyFont="1" applyFill="1" applyAlignment="1">
      <alignment vertical="top"/>
    </xf>
    <xf numFmtId="166" fontId="23" fillId="2" borderId="2" xfId="4" applyNumberFormat="1" applyFont="1" applyFill="1" applyBorder="1" applyAlignment="1">
      <alignment horizontal="center" vertical="center" wrapText="1"/>
    </xf>
    <xf numFmtId="168" fontId="23" fillId="2" borderId="2" xfId="4" applyNumberFormat="1" applyFont="1" applyFill="1" applyBorder="1" applyAlignment="1">
      <alignment horizontal="center" vertical="center" wrapText="1"/>
    </xf>
    <xf numFmtId="166" fontId="11" fillId="2" borderId="4" xfId="4" applyNumberFormat="1" applyFont="1" applyFill="1" applyBorder="1" applyAlignment="1">
      <alignment horizontal="center" vertical="center" wrapText="1"/>
    </xf>
    <xf numFmtId="168" fontId="11" fillId="2" borderId="4" xfId="4" applyNumberFormat="1" applyFont="1" applyFill="1" applyBorder="1" applyAlignment="1">
      <alignment horizontal="center" vertical="center" wrapText="1"/>
    </xf>
    <xf numFmtId="0" fontId="23" fillId="2" borderId="1" xfId="4" applyNumberFormat="1" applyFont="1" applyFill="1" applyBorder="1" applyAlignment="1">
      <alignment horizontal="center" vertical="center"/>
    </xf>
    <xf numFmtId="0" fontId="23" fillId="2" borderId="2" xfId="0" applyNumberFormat="1" applyFont="1" applyFill="1" applyBorder="1" applyAlignment="1">
      <alignment horizontal="center" vertical="center"/>
    </xf>
    <xf numFmtId="166" fontId="23" fillId="2" borderId="2" xfId="4" applyNumberFormat="1" applyFont="1" applyFill="1" applyBorder="1" applyAlignment="1">
      <alignment horizontal="center" vertical="center"/>
    </xf>
    <xf numFmtId="168" fontId="23" fillId="2" borderId="2" xfId="4" applyNumberFormat="1" applyFont="1" applyFill="1" applyBorder="1" applyAlignment="1">
      <alignment horizontal="center" vertical="center"/>
    </xf>
    <xf numFmtId="0" fontId="23" fillId="2" borderId="2" xfId="4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vertical="top" wrapText="1"/>
    </xf>
    <xf numFmtId="0" fontId="23" fillId="2" borderId="1" xfId="0" applyNumberFormat="1" applyFont="1" applyFill="1" applyBorder="1" applyAlignment="1">
      <alignment vertical="center" wrapText="1"/>
    </xf>
    <xf numFmtId="0" fontId="21" fillId="0" borderId="12" xfId="0" applyNumberFormat="1" applyFont="1" applyFill="1" applyBorder="1" applyAlignment="1">
      <alignment vertical="top" wrapText="1"/>
    </xf>
    <xf numFmtId="0" fontId="21" fillId="0" borderId="14" xfId="0" applyNumberFormat="1" applyFont="1" applyFill="1" applyBorder="1" applyAlignment="1">
      <alignment vertical="top" wrapText="1"/>
    </xf>
    <xf numFmtId="0" fontId="21" fillId="0" borderId="0" xfId="0" applyNumberFormat="1" applyFont="1" applyFill="1" applyBorder="1" applyAlignment="1">
      <alignment vertical="top" wrapText="1"/>
    </xf>
    <xf numFmtId="4" fontId="23" fillId="2" borderId="1" xfId="4" applyNumberFormat="1" applyFont="1" applyFill="1" applyBorder="1" applyAlignment="1">
      <alignment horizontal="center" vertical="center" wrapText="1"/>
    </xf>
    <xf numFmtId="4" fontId="11" fillId="2" borderId="1" xfId="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/>
    </xf>
    <xf numFmtId="166" fontId="31" fillId="2" borderId="2" xfId="4" applyNumberFormat="1" applyFont="1" applyFill="1" applyBorder="1" applyAlignment="1">
      <alignment horizontal="center" vertical="center"/>
    </xf>
    <xf numFmtId="168" fontId="31" fillId="2" borderId="2" xfId="4" applyNumberFormat="1" applyFont="1" applyFill="1" applyBorder="1" applyAlignment="1">
      <alignment horizontal="center" vertical="center"/>
    </xf>
    <xf numFmtId="0" fontId="31" fillId="2" borderId="2" xfId="4" applyNumberFormat="1" applyFont="1" applyFill="1" applyBorder="1" applyAlignment="1">
      <alignment horizontal="center" vertical="center"/>
    </xf>
    <xf numFmtId="0" fontId="32" fillId="0" borderId="0" xfId="0" applyNumberFormat="1" applyFont="1" applyFill="1" applyAlignment="1">
      <alignment vertical="top"/>
    </xf>
    <xf numFmtId="0" fontId="33" fillId="2" borderId="2" xfId="0" applyNumberFormat="1" applyFont="1" applyFill="1" applyBorder="1" applyAlignment="1">
      <alignment horizontal="center" vertical="center"/>
    </xf>
    <xf numFmtId="168" fontId="23" fillId="2" borderId="2" xfId="4" applyNumberFormat="1" applyFont="1" applyFill="1" applyBorder="1" applyAlignment="1">
      <alignment horizontal="left" vertical="top" wrapText="1"/>
    </xf>
    <xf numFmtId="168" fontId="18" fillId="0" borderId="0" xfId="0" applyNumberFormat="1" applyFont="1" applyFill="1" applyAlignment="1">
      <alignment vertical="top" wrapText="1"/>
    </xf>
    <xf numFmtId="168" fontId="8" fillId="2" borderId="1" xfId="0" applyNumberFormat="1" applyFont="1" applyFill="1" applyBorder="1" applyAlignment="1">
      <alignment horizontal="center" vertical="center" wrapText="1"/>
    </xf>
    <xf numFmtId="4" fontId="23" fillId="2" borderId="1" xfId="4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top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left" vertical="top" wrapText="1"/>
    </xf>
    <xf numFmtId="0" fontId="8" fillId="2" borderId="0" xfId="0" applyNumberFormat="1" applyFont="1" applyFill="1" applyAlignment="1">
      <alignment horizontal="center" vertical="top" wrapText="1"/>
    </xf>
    <xf numFmtId="0" fontId="23" fillId="2" borderId="1" xfId="0" applyNumberFormat="1" applyFont="1" applyFill="1" applyBorder="1" applyAlignment="1">
      <alignment vertical="top" wrapText="1"/>
    </xf>
    <xf numFmtId="0" fontId="11" fillId="2" borderId="1" xfId="0" applyNumberFormat="1" applyFont="1" applyFill="1" applyBorder="1" applyAlignment="1">
      <alignment vertical="top" wrapText="1"/>
    </xf>
    <xf numFmtId="0" fontId="23" fillId="2" borderId="1" xfId="0" applyNumberFormat="1" applyFont="1" applyFill="1" applyBorder="1" applyAlignment="1">
      <alignment horizontal="left" vertical="top"/>
    </xf>
    <xf numFmtId="0" fontId="23" fillId="2" borderId="1" xfId="0" applyNumberFormat="1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4" fontId="3" fillId="2" borderId="1" xfId="6" applyFont="1" applyFill="1" applyBorder="1" applyAlignment="1">
      <alignment horizontal="center" vertical="center" wrapText="1"/>
    </xf>
    <xf numFmtId="168" fontId="3" fillId="0" borderId="1" xfId="4" applyNumberFormat="1" applyFont="1" applyFill="1" applyBorder="1" applyAlignment="1">
      <alignment horizontal="right"/>
    </xf>
    <xf numFmtId="168" fontId="16" fillId="2" borderId="1" xfId="0" applyNumberFormat="1" applyFont="1" applyFill="1" applyBorder="1" applyAlignment="1">
      <alignment horizontal="right"/>
    </xf>
    <xf numFmtId="4" fontId="23" fillId="2" borderId="2" xfId="4" applyNumberFormat="1" applyFont="1" applyFill="1" applyBorder="1" applyAlignment="1">
      <alignment horizontal="center" vertical="center" wrapText="1"/>
    </xf>
    <xf numFmtId="171" fontId="23" fillId="2" borderId="16" xfId="4" applyNumberFormat="1" applyFont="1" applyFill="1" applyBorder="1" applyAlignment="1" applyProtection="1">
      <alignment horizontal="center" vertical="center" wrapText="1"/>
    </xf>
    <xf numFmtId="168" fontId="33" fillId="2" borderId="1" xfId="4" applyNumberFormat="1" applyFont="1" applyFill="1" applyBorder="1" applyAlignment="1">
      <alignment horizontal="center" vertical="center"/>
    </xf>
    <xf numFmtId="171" fontId="23" fillId="2" borderId="15" xfId="4" applyNumberFormat="1" applyFont="1" applyFill="1" applyBorder="1" applyAlignment="1" applyProtection="1">
      <alignment horizontal="center" vertical="center" wrapText="1"/>
    </xf>
    <xf numFmtId="2" fontId="11" fillId="2" borderId="1" xfId="4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vertical="top"/>
    </xf>
    <xf numFmtId="0" fontId="23" fillId="2" borderId="3" xfId="0" applyNumberFormat="1" applyFont="1" applyFill="1" applyBorder="1" applyAlignment="1">
      <alignment vertical="top"/>
    </xf>
    <xf numFmtId="0" fontId="23" fillId="2" borderId="4" xfId="0" applyNumberFormat="1" applyFont="1" applyFill="1" applyBorder="1" applyAlignment="1">
      <alignment vertical="top"/>
    </xf>
    <xf numFmtId="169" fontId="11" fillId="2" borderId="1" xfId="4" applyNumberFormat="1" applyFont="1" applyFill="1" applyBorder="1" applyAlignment="1">
      <alignment horizontal="center" vertical="center" wrapText="1"/>
    </xf>
    <xf numFmtId="169" fontId="23" fillId="2" borderId="1" xfId="4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168" fontId="23" fillId="2" borderId="3" xfId="4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7" fillId="2" borderId="0" xfId="0" applyFont="1" applyFill="1"/>
    <xf numFmtId="0" fontId="37" fillId="2" borderId="0" xfId="0" applyFont="1" applyFill="1" applyAlignment="1">
      <alignment horizontal="center"/>
    </xf>
    <xf numFmtId="0" fontId="37" fillId="2" borderId="4" xfId="0" applyFont="1" applyFill="1" applyBorder="1"/>
    <xf numFmtId="0" fontId="37" fillId="2" borderId="13" xfId="0" applyFont="1" applyFill="1" applyBorder="1" applyAlignment="1">
      <alignment horizontal="center"/>
    </xf>
    <xf numFmtId="0" fontId="37" fillId="2" borderId="13" xfId="0" applyFont="1" applyFill="1" applyBorder="1"/>
    <xf numFmtId="0" fontId="37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top" wrapText="1"/>
    </xf>
    <xf numFmtId="168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top" wrapText="1"/>
    </xf>
    <xf numFmtId="168" fontId="38" fillId="2" borderId="1" xfId="12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166" fontId="38" fillId="2" borderId="1" xfId="4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left" vertical="center" wrapText="1"/>
    </xf>
    <xf numFmtId="169" fontId="38" fillId="2" borderId="1" xfId="12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8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top" wrapText="1"/>
    </xf>
    <xf numFmtId="2" fontId="38" fillId="2" borderId="1" xfId="12" applyNumberFormat="1" applyFont="1" applyFill="1" applyBorder="1" applyAlignment="1">
      <alignment horizontal="center" vertical="center" wrapText="1"/>
    </xf>
    <xf numFmtId="169" fontId="3" fillId="2" borderId="1" xfId="0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174" fontId="38" fillId="2" borderId="1" xfId="12" applyNumberFormat="1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/>
    </xf>
    <xf numFmtId="166" fontId="38" fillId="2" borderId="1" xfId="4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left" vertical="center" wrapText="1"/>
    </xf>
    <xf numFmtId="0" fontId="38" fillId="2" borderId="17" xfId="0" applyFont="1" applyFill="1" applyBorder="1" applyAlignment="1">
      <alignment horizontal="left" vertical="center" wrapText="1"/>
    </xf>
    <xf numFmtId="0" fontId="38" fillId="2" borderId="1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top" wrapText="1"/>
    </xf>
    <xf numFmtId="0" fontId="38" fillId="2" borderId="2" xfId="0" applyFont="1" applyFill="1" applyBorder="1" applyAlignment="1">
      <alignment horizontal="left" vertical="center" wrapText="1"/>
    </xf>
    <xf numFmtId="0" fontId="38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top" wrapText="1"/>
    </xf>
    <xf numFmtId="0" fontId="38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2" fontId="19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40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1" fillId="2" borderId="0" xfId="0" applyFont="1" applyFill="1" applyAlignment="1">
      <alignment horizontal="center" vertical="center"/>
    </xf>
    <xf numFmtId="0" fontId="41" fillId="2" borderId="0" xfId="0" applyFont="1" applyFill="1"/>
    <xf numFmtId="0" fontId="41" fillId="2" borderId="0" xfId="0" applyFont="1" applyFill="1" applyAlignment="1">
      <alignment horizontal="center" vertical="center"/>
    </xf>
    <xf numFmtId="0" fontId="41" fillId="3" borderId="0" xfId="0" applyFont="1" applyFill="1"/>
    <xf numFmtId="0" fontId="41" fillId="2" borderId="0" xfId="0" applyFont="1" applyFill="1" applyAlignment="1">
      <alignment vertical="center"/>
    </xf>
    <xf numFmtId="0" fontId="41" fillId="3" borderId="0" xfId="0" applyFont="1" applyFill="1" applyAlignment="1">
      <alignment vertical="center"/>
    </xf>
    <xf numFmtId="0" fontId="42" fillId="2" borderId="0" xfId="0" applyFont="1" applyFill="1" applyAlignment="1">
      <alignment horizontal="justify" vertical="center"/>
    </xf>
    <xf numFmtId="0" fontId="43" fillId="2" borderId="0" xfId="0" applyFont="1" applyFill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169" fontId="0" fillId="2" borderId="0" xfId="0" applyNumberFormat="1" applyFill="1"/>
    <xf numFmtId="0" fontId="44" fillId="2" borderId="0" xfId="0" applyFont="1" applyFill="1" applyAlignment="1">
      <alignment horizontal="center" vertical="center"/>
    </xf>
    <xf numFmtId="0" fontId="44" fillId="2" borderId="0" xfId="0" applyFont="1" applyFill="1"/>
    <xf numFmtId="169" fontId="47" fillId="2" borderId="0" xfId="0" applyNumberFormat="1" applyFont="1" applyFill="1"/>
    <xf numFmtId="169" fontId="48" fillId="2" borderId="0" xfId="0" applyNumberFormat="1" applyFont="1" applyFill="1"/>
    <xf numFmtId="0" fontId="41" fillId="2" borderId="1" xfId="0" applyFont="1" applyFill="1" applyBorder="1" applyAlignment="1">
      <alignment horizontal="left" vertical="center" wrapText="1"/>
    </xf>
    <xf numFmtId="2" fontId="41" fillId="2" borderId="1" xfId="0" applyNumberFormat="1" applyFont="1" applyFill="1" applyBorder="1" applyAlignment="1">
      <alignment horizontal="center" vertical="center" wrapText="1"/>
    </xf>
    <xf numFmtId="2" fontId="41" fillId="2" borderId="12" xfId="0" applyNumberFormat="1" applyFont="1" applyFill="1" applyBorder="1" applyAlignment="1">
      <alignment horizontal="center" vertical="center" wrapText="1"/>
    </xf>
    <xf numFmtId="2" fontId="41" fillId="2" borderId="2" xfId="0" applyNumberFormat="1" applyFont="1" applyFill="1" applyBorder="1" applyAlignment="1">
      <alignment horizontal="center" vertical="center"/>
    </xf>
    <xf numFmtId="2" fontId="41" fillId="2" borderId="2" xfId="0" applyNumberFormat="1" applyFont="1" applyFill="1" applyBorder="1" applyAlignment="1">
      <alignment horizontal="center" vertical="center" wrapText="1"/>
    </xf>
    <xf numFmtId="2" fontId="41" fillId="2" borderId="14" xfId="0" applyNumberFormat="1" applyFont="1" applyFill="1" applyBorder="1" applyAlignment="1">
      <alignment horizontal="center" vertical="center" wrapText="1"/>
    </xf>
    <xf numFmtId="173" fontId="44" fillId="2" borderId="0" xfId="0" applyNumberFormat="1" applyFont="1" applyFill="1" applyAlignment="1">
      <alignment horizontal="center" vertical="center"/>
    </xf>
    <xf numFmtId="2" fontId="44" fillId="2" borderId="0" xfId="0" applyNumberFormat="1" applyFont="1" applyFill="1"/>
    <xf numFmtId="0" fontId="41" fillId="2" borderId="2" xfId="0" applyFont="1" applyFill="1" applyBorder="1" applyAlignment="1">
      <alignment horizontal="left" vertical="center" wrapText="1"/>
    </xf>
    <xf numFmtId="2" fontId="41" fillId="2" borderId="6" xfId="0" applyNumberFormat="1" applyFont="1" applyFill="1" applyBorder="1" applyAlignment="1">
      <alignment horizontal="center" vertical="center" wrapText="1"/>
    </xf>
    <xf numFmtId="2" fontId="41" fillId="2" borderId="1" xfId="0" applyNumberFormat="1" applyFont="1" applyFill="1" applyBorder="1" applyAlignment="1">
      <alignment horizontal="center" vertical="center"/>
    </xf>
    <xf numFmtId="2" fontId="41" fillId="2" borderId="9" xfId="0" applyNumberFormat="1" applyFont="1" applyFill="1" applyBorder="1" applyAlignment="1">
      <alignment horizontal="center" vertical="center" wrapText="1"/>
    </xf>
    <xf numFmtId="2" fontId="44" fillId="2" borderId="0" xfId="0" applyNumberFormat="1" applyFont="1" applyFill="1" applyAlignment="1">
      <alignment horizontal="center" vertical="center"/>
    </xf>
    <xf numFmtId="0" fontId="41" fillId="2" borderId="18" xfId="0" applyFont="1" applyFill="1" applyBorder="1" applyAlignment="1">
      <alignment vertical="center" wrapText="1"/>
    </xf>
    <xf numFmtId="0" fontId="41" fillId="2" borderId="18" xfId="0" applyFont="1" applyFill="1" applyBorder="1" applyAlignment="1">
      <alignment horizontal="center" vertical="center" wrapText="1"/>
    </xf>
    <xf numFmtId="169" fontId="41" fillId="2" borderId="19" xfId="4" applyNumberFormat="1" applyFont="1" applyFill="1" applyBorder="1" applyAlignment="1">
      <alignment horizontal="center" vertical="center" wrapText="1"/>
    </xf>
    <xf numFmtId="0" fontId="41" fillId="2" borderId="18" xfId="0" applyFont="1" applyFill="1" applyBorder="1" applyAlignment="1">
      <alignment horizontal="left" vertical="center" wrapText="1"/>
    </xf>
    <xf numFmtId="0" fontId="41" fillId="2" borderId="20" xfId="0" applyFont="1" applyFill="1" applyBorder="1" applyAlignment="1">
      <alignment horizontal="center" vertical="center" wrapText="1"/>
    </xf>
    <xf numFmtId="169" fontId="41" fillId="2" borderId="20" xfId="4" applyNumberFormat="1" applyFont="1" applyFill="1" applyBorder="1" applyAlignment="1">
      <alignment horizontal="center" vertical="center" wrapText="1"/>
    </xf>
    <xf numFmtId="2" fontId="41" fillId="2" borderId="20" xfId="4" applyNumberFormat="1" applyFont="1" applyFill="1" applyBorder="1" applyAlignment="1">
      <alignment horizontal="center" vertical="center" wrapText="1"/>
    </xf>
    <xf numFmtId="166" fontId="0" fillId="2" borderId="0" xfId="0" applyNumberFormat="1" applyFill="1"/>
    <xf numFmtId="167" fontId="44" fillId="2" borderId="0" xfId="0" applyNumberFormat="1" applyFont="1" applyFill="1"/>
    <xf numFmtId="169" fontId="41" fillId="2" borderId="18" xfId="4" applyNumberFormat="1" applyFont="1" applyFill="1" applyBorder="1" applyAlignment="1">
      <alignment horizontal="center" vertical="center" wrapText="1"/>
    </xf>
    <xf numFmtId="169" fontId="47" fillId="2" borderId="0" xfId="0" applyNumberFormat="1" applyFont="1" applyFill="1" applyAlignment="1">
      <alignment horizontal="center" vertical="center"/>
    </xf>
    <xf numFmtId="169" fontId="44" fillId="2" borderId="0" xfId="0" applyNumberFormat="1" applyFont="1" applyFill="1"/>
    <xf numFmtId="166" fontId="44" fillId="2" borderId="0" xfId="0" applyNumberFormat="1" applyFont="1" applyFill="1"/>
    <xf numFmtId="169" fontId="48" fillId="2" borderId="0" xfId="0" applyNumberFormat="1" applyFont="1" applyFill="1" applyAlignment="1">
      <alignment horizontal="center" vertical="center"/>
    </xf>
    <xf numFmtId="169" fontId="44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41" fillId="2" borderId="15" xfId="0" applyFont="1" applyFill="1" applyBorder="1" applyAlignment="1">
      <alignment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41" fillId="2" borderId="15" xfId="0" applyFont="1" applyFill="1" applyBorder="1" applyAlignment="1">
      <alignment horizontal="left" vertical="center" wrapText="1"/>
    </xf>
    <xf numFmtId="0" fontId="41" fillId="2" borderId="15" xfId="0" applyFont="1" applyFill="1" applyBorder="1" applyAlignment="1">
      <alignment horizontal="center" vertical="center" wrapText="1"/>
    </xf>
    <xf numFmtId="169" fontId="41" fillId="2" borderId="3" xfId="4" applyNumberFormat="1" applyFont="1" applyFill="1" applyBorder="1" applyAlignment="1">
      <alignment horizontal="center" vertical="center" wrapText="1"/>
    </xf>
    <xf numFmtId="169" fontId="44" fillId="2" borderId="0" xfId="0" applyNumberFormat="1" applyFont="1" applyFill="1" applyAlignment="1">
      <alignment horizontal="center" vertical="center"/>
    </xf>
    <xf numFmtId="169" fontId="41" fillId="2" borderId="1" xfId="4" applyNumberFormat="1" applyFont="1" applyFill="1" applyBorder="1" applyAlignment="1">
      <alignment horizontal="center" vertical="center" wrapText="1"/>
    </xf>
    <xf numFmtId="174" fontId="41" fillId="2" borderId="1" xfId="12" applyNumberFormat="1" applyFont="1" applyFill="1" applyBorder="1" applyAlignment="1">
      <alignment horizontal="center" vertical="center" wrapText="1"/>
    </xf>
    <xf numFmtId="2" fontId="41" fillId="2" borderId="1" xfId="4" applyNumberFormat="1" applyFont="1" applyFill="1" applyBorder="1" applyAlignment="1">
      <alignment horizontal="center" vertical="center" wrapText="1"/>
    </xf>
    <xf numFmtId="169" fontId="41" fillId="2" borderId="1" xfId="0" applyNumberFormat="1" applyFont="1" applyFill="1" applyBorder="1" applyAlignment="1">
      <alignment horizontal="center" vertical="center"/>
    </xf>
    <xf numFmtId="169" fontId="41" fillId="2" borderId="1" xfId="0" applyNumberFormat="1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169" fontId="41" fillId="2" borderId="4" xfId="4" applyNumberFormat="1" applyFont="1" applyFill="1" applyBorder="1" applyAlignment="1">
      <alignment horizontal="center" vertical="center" wrapText="1"/>
    </xf>
    <xf numFmtId="169" fontId="46" fillId="2" borderId="0" xfId="0" applyNumberFormat="1" applyFont="1" applyFill="1" applyAlignment="1">
      <alignment horizontal="center" vertical="center"/>
    </xf>
    <xf numFmtId="0" fontId="41" fillId="2" borderId="21" xfId="0" applyFont="1" applyFill="1" applyBorder="1" applyAlignment="1">
      <alignment horizontal="center" vertical="center" wrapText="1"/>
    </xf>
    <xf numFmtId="169" fontId="41" fillId="2" borderId="21" xfId="4" applyNumberFormat="1" applyFont="1" applyFill="1" applyBorder="1" applyAlignment="1">
      <alignment horizontal="center" vertical="center" wrapText="1"/>
    </xf>
    <xf numFmtId="169" fontId="50" fillId="2" borderId="0" xfId="0" applyNumberFormat="1" applyFont="1" applyFill="1" applyAlignment="1">
      <alignment horizontal="center" vertical="center"/>
    </xf>
    <xf numFmtId="0" fontId="41" fillId="2" borderId="1" xfId="0" applyFont="1" applyFill="1" applyBorder="1" applyAlignment="1">
      <alignment horizontal="center" vertical="top" wrapText="1"/>
    </xf>
    <xf numFmtId="0" fontId="42" fillId="2" borderId="0" xfId="0" applyFont="1" applyFill="1" applyBorder="1" applyAlignment="1">
      <alignment horizontal="center" vertical="top" wrapText="1"/>
    </xf>
    <xf numFmtId="0" fontId="42" fillId="2" borderId="0" xfId="0" applyFont="1" applyFill="1" applyBorder="1" applyAlignment="1">
      <alignment horizontal="left" vertical="center" wrapText="1"/>
    </xf>
    <xf numFmtId="0" fontId="42" fillId="2" borderId="0" xfId="0" applyFont="1" applyFill="1" applyBorder="1" applyAlignment="1">
      <alignment horizontal="center" vertical="center" wrapText="1"/>
    </xf>
    <xf numFmtId="166" fontId="42" fillId="2" borderId="0" xfId="4" applyNumberFormat="1" applyFont="1" applyFill="1" applyBorder="1" applyAlignment="1">
      <alignment horizontal="center" vertical="center" wrapText="1"/>
    </xf>
    <xf numFmtId="2" fontId="37" fillId="2" borderId="0" xfId="0" applyNumberFormat="1" applyFont="1" applyFill="1" applyAlignment="1">
      <alignment horizontal="center" vertical="center"/>
    </xf>
    <xf numFmtId="2" fontId="37" fillId="2" borderId="0" xfId="12" applyNumberFormat="1" applyFont="1" applyFill="1" applyAlignment="1">
      <alignment horizontal="center" vertical="center"/>
    </xf>
    <xf numFmtId="167" fontId="37" fillId="2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left" vertical="center"/>
    </xf>
    <xf numFmtId="2" fontId="40" fillId="2" borderId="0" xfId="0" applyNumberFormat="1" applyFont="1" applyFill="1" applyAlignment="1">
      <alignment horizontal="center" vertical="center"/>
    </xf>
    <xf numFmtId="169" fontId="40" fillId="2" borderId="0" xfId="0" applyNumberFormat="1" applyFont="1" applyFill="1" applyAlignment="1">
      <alignment horizontal="center" vertical="center"/>
    </xf>
    <xf numFmtId="175" fontId="37" fillId="2" borderId="0" xfId="0" applyNumberFormat="1" applyFont="1" applyFill="1" applyAlignment="1">
      <alignment horizontal="center" vertical="center"/>
    </xf>
    <xf numFmtId="169" fontId="37" fillId="2" borderId="0" xfId="0" applyNumberFormat="1" applyFont="1" applyFill="1" applyAlignment="1">
      <alignment horizontal="center" vertical="center"/>
    </xf>
    <xf numFmtId="0" fontId="53" fillId="0" borderId="2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52" fillId="0" borderId="0" xfId="0" applyNumberFormat="1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vertical="center" wrapText="1"/>
    </xf>
    <xf numFmtId="167" fontId="52" fillId="0" borderId="28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55" fillId="0" borderId="27" xfId="14" applyFont="1" applyFill="1" applyBorder="1" applyAlignment="1">
      <alignment vertical="center" wrapText="1"/>
    </xf>
    <xf numFmtId="0" fontId="56" fillId="0" borderId="27" xfId="0" applyFont="1" applyFill="1" applyBorder="1" applyAlignment="1">
      <alignment vertical="center" wrapText="1"/>
    </xf>
    <xf numFmtId="0" fontId="0" fillId="5" borderId="0" xfId="0" applyFill="1"/>
    <xf numFmtId="0" fontId="58" fillId="0" borderId="29" xfId="14" applyFont="1" applyFill="1" applyBorder="1" applyAlignment="1">
      <alignment horizontal="justify" vertical="center"/>
    </xf>
    <xf numFmtId="167" fontId="0" fillId="0" borderId="0" xfId="0" applyNumberFormat="1" applyAlignment="1">
      <alignment vertical="center"/>
    </xf>
    <xf numFmtId="0" fontId="0" fillId="0" borderId="29" xfId="0" applyBorder="1" applyAlignment="1">
      <alignment vertical="center"/>
    </xf>
    <xf numFmtId="167" fontId="52" fillId="6" borderId="29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67" fontId="0" fillId="0" borderId="0" xfId="0" applyNumberFormat="1" applyBorder="1" applyAlignment="1">
      <alignment vertical="center"/>
    </xf>
    <xf numFmtId="167" fontId="52" fillId="6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10" fontId="0" fillId="0" borderId="0" xfId="0" applyNumberFormat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67" fontId="59" fillId="0" borderId="0" xfId="0" applyNumberFormat="1" applyFont="1"/>
    <xf numFmtId="167" fontId="60" fillId="0" borderId="0" xfId="0" applyNumberFormat="1" applyFont="1"/>
    <xf numFmtId="169" fontId="61" fillId="4" borderId="30" xfId="13" applyNumberFormat="1" applyFont="1" applyFill="1" applyBorder="1" applyAlignment="1">
      <alignment horizontal="center" vertical="center"/>
    </xf>
    <xf numFmtId="169" fontId="61" fillId="4" borderId="31" xfId="13" applyNumberFormat="1" applyFont="1" applyFill="1" applyBorder="1" applyAlignment="1">
      <alignment horizontal="center" vertical="center"/>
    </xf>
    <xf numFmtId="169" fontId="61" fillId="4" borderId="32" xfId="13" applyNumberFormat="1" applyFont="1" applyFill="1" applyBorder="1" applyAlignment="1">
      <alignment horizontal="center" vertical="center"/>
    </xf>
    <xf numFmtId="169" fontId="61" fillId="4" borderId="3" xfId="13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17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60" fillId="0" borderId="0" xfId="0" applyNumberFormat="1" applyFont="1" applyAlignment="1">
      <alignment horizontal="center" vertical="center"/>
    </xf>
    <xf numFmtId="165" fontId="62" fillId="0" borderId="0" xfId="0" applyNumberFormat="1" applyFont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60" fillId="0" borderId="1" xfId="0" applyNumberFormat="1" applyFont="1" applyBorder="1" applyAlignment="1">
      <alignment horizontal="center" vertical="center"/>
    </xf>
    <xf numFmtId="165" fontId="62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1" xfId="0" applyBorder="1"/>
    <xf numFmtId="165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174" fontId="0" fillId="0" borderId="1" xfId="0" applyNumberFormat="1" applyBorder="1" applyAlignment="1">
      <alignment horizontal="center"/>
    </xf>
    <xf numFmtId="0" fontId="59" fillId="0" borderId="0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3" fontId="0" fillId="0" borderId="29" xfId="0" applyNumberFormat="1" applyBorder="1" applyAlignment="1">
      <alignment vertical="top" wrapText="1"/>
    </xf>
    <xf numFmtId="3" fontId="0" fillId="0" borderId="27" xfId="0" applyNumberFormat="1" applyBorder="1" applyAlignment="1">
      <alignment vertical="top" wrapText="1"/>
    </xf>
    <xf numFmtId="9" fontId="63" fillId="0" borderId="1" xfId="0" applyNumberFormat="1" applyFont="1" applyFill="1" applyBorder="1" applyAlignment="1">
      <alignment horizontal="center" vertical="center"/>
    </xf>
    <xf numFmtId="0" fontId="63" fillId="0" borderId="1" xfId="0" applyFont="1" applyFill="1" applyBorder="1" applyAlignment="1">
      <alignment horizontal="center" vertical="center"/>
    </xf>
    <xf numFmtId="165" fontId="63" fillId="0" borderId="1" xfId="0" applyNumberFormat="1" applyFont="1" applyFill="1" applyBorder="1"/>
    <xf numFmtId="0" fontId="59" fillId="0" borderId="0" xfId="0" applyFont="1" applyAlignment="1">
      <alignment vertical="center"/>
    </xf>
    <xf numFmtId="174" fontId="0" fillId="0" borderId="8" xfId="0" applyNumberFormat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65" fontId="0" fillId="3" borderId="1" xfId="0" applyNumberFormat="1" applyFill="1" applyBorder="1"/>
    <xf numFmtId="165" fontId="62" fillId="3" borderId="1" xfId="0" applyNumberFormat="1" applyFont="1" applyFill="1" applyBorder="1" applyAlignment="1">
      <alignment horizontal="center" vertical="center"/>
    </xf>
    <xf numFmtId="9" fontId="63" fillId="3" borderId="1" xfId="0" applyNumberFormat="1" applyFont="1" applyFill="1" applyBorder="1" applyAlignment="1">
      <alignment horizontal="center" vertical="center"/>
    </xf>
    <xf numFmtId="165" fontId="63" fillId="3" borderId="1" xfId="0" applyNumberFormat="1" applyFont="1" applyFill="1" applyBorder="1"/>
    <xf numFmtId="165" fontId="59" fillId="0" borderId="0" xfId="0" applyNumberFormat="1" applyFont="1"/>
    <xf numFmtId="174" fontId="0" fillId="3" borderId="8" xfId="0" applyNumberFormat="1" applyFill="1" applyBorder="1" applyAlignment="1">
      <alignment horizontal="center" vertical="center"/>
    </xf>
    <xf numFmtId="174" fontId="0" fillId="0" borderId="0" xfId="0" applyNumberFormat="1"/>
    <xf numFmtId="0" fontId="59" fillId="0" borderId="0" xfId="0" applyFont="1" applyAlignment="1">
      <alignment horizontal="center"/>
    </xf>
    <xf numFmtId="0" fontId="64" fillId="0" borderId="1" xfId="0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169" fontId="0" fillId="0" borderId="1" xfId="0" applyNumberFormat="1" applyFont="1" applyBorder="1" applyAlignment="1">
      <alignment horizontal="center" vertical="center"/>
    </xf>
    <xf numFmtId="167" fontId="59" fillId="0" borderId="0" xfId="0" applyNumberFormat="1" applyFont="1" applyAlignment="1">
      <alignment horizontal="center" vertical="center"/>
    </xf>
    <xf numFmtId="0" fontId="67" fillId="0" borderId="1" xfId="0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vertical="center" wrapText="1"/>
    </xf>
    <xf numFmtId="169" fontId="67" fillId="0" borderId="1" xfId="0" applyNumberFormat="1" applyFont="1" applyFill="1" applyBorder="1" applyAlignment="1">
      <alignment horizontal="center" vertical="center" wrapText="1"/>
    </xf>
    <xf numFmtId="169" fontId="68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vertical="top" wrapText="1"/>
    </xf>
    <xf numFmtId="0" fontId="23" fillId="2" borderId="14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171" fontId="23" fillId="2" borderId="5" xfId="4" applyNumberFormat="1" applyFont="1" applyFill="1" applyBorder="1" applyAlignment="1" applyProtection="1">
      <alignment horizontal="center" vertical="center" wrapText="1"/>
    </xf>
    <xf numFmtId="168" fontId="11" fillId="2" borderId="2" xfId="4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168" fontId="3" fillId="0" borderId="4" xfId="4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6" fontId="23" fillId="2" borderId="4" xfId="4" applyNumberFormat="1" applyFont="1" applyFill="1" applyBorder="1" applyAlignment="1">
      <alignment horizontal="center" vertical="center" wrapText="1"/>
    </xf>
    <xf numFmtId="168" fontId="23" fillId="2" borderId="4" xfId="4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top" wrapText="1"/>
    </xf>
    <xf numFmtId="0" fontId="29" fillId="2" borderId="3" xfId="0" applyFont="1" applyFill="1" applyBorder="1" applyAlignment="1">
      <alignment vertical="top" wrapText="1"/>
    </xf>
    <xf numFmtId="168" fontId="30" fillId="2" borderId="1" xfId="0" applyNumberFormat="1" applyFont="1" applyFill="1" applyBorder="1" applyAlignment="1" applyProtection="1">
      <alignment horizontal="center" vertical="center"/>
    </xf>
    <xf numFmtId="0" fontId="18" fillId="0" borderId="14" xfId="0" applyNumberFormat="1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left" vertical="top" wrapText="1"/>
    </xf>
    <xf numFmtId="168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vertical="top" wrapText="1"/>
    </xf>
    <xf numFmtId="172" fontId="18" fillId="3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center" vertical="center"/>
    </xf>
    <xf numFmtId="0" fontId="52" fillId="0" borderId="27" xfId="0" applyFont="1" applyFill="1" applyBorder="1" applyAlignment="1">
      <alignment horizontal="center" vertical="center" wrapText="1"/>
    </xf>
    <xf numFmtId="0" fontId="52" fillId="0" borderId="26" xfId="0" applyFont="1" applyFill="1" applyBorder="1" applyAlignment="1">
      <alignment vertical="center"/>
    </xf>
    <xf numFmtId="169" fontId="45" fillId="2" borderId="0" xfId="0" applyNumberFormat="1" applyFont="1" applyFill="1"/>
    <xf numFmtId="169" fontId="46" fillId="2" borderId="0" xfId="0" applyNumberFormat="1" applyFont="1" applyFill="1"/>
    <xf numFmtId="169" fontId="49" fillId="2" borderId="0" xfId="0" applyNumberFormat="1" applyFont="1" applyFill="1" applyAlignment="1">
      <alignment horizontal="center" vertical="center"/>
    </xf>
    <xf numFmtId="169" fontId="70" fillId="2" borderId="18" xfId="4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10" fillId="2" borderId="3" xfId="1" applyNumberFormat="1" applyFont="1" applyFill="1" applyBorder="1" applyAlignment="1" applyProtection="1">
      <alignment horizontal="left" vertical="top" wrapText="1"/>
      <protection hidden="1"/>
    </xf>
    <xf numFmtId="0" fontId="3" fillId="2" borderId="1" xfId="0" applyNumberFormat="1" applyFont="1" applyFill="1" applyBorder="1" applyAlignment="1">
      <alignment horizontal="left" vertical="top" wrapText="1"/>
    </xf>
    <xf numFmtId="0" fontId="23" fillId="2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6" fontId="3" fillId="4" borderId="1" xfId="4" applyNumberFormat="1" applyFont="1" applyFill="1" applyBorder="1" applyAlignment="1" applyProtection="1">
      <alignment horizontal="right" vertical="center"/>
      <protection hidden="1"/>
    </xf>
    <xf numFmtId="166" fontId="3" fillId="4" borderId="1" xfId="4" applyNumberFormat="1" applyFont="1" applyFill="1" applyBorder="1"/>
    <xf numFmtId="168" fontId="3" fillId="4" borderId="1" xfId="4" applyNumberFormat="1" applyFont="1" applyFill="1" applyBorder="1" applyAlignment="1" applyProtection="1">
      <alignment horizontal="right" vertical="center"/>
      <protection hidden="1"/>
    </xf>
    <xf numFmtId="168" fontId="3" fillId="2" borderId="1" xfId="4" applyNumberFormat="1" applyFont="1" applyFill="1" applyBorder="1"/>
    <xf numFmtId="168" fontId="71" fillId="2" borderId="1" xfId="0" applyNumberFormat="1" applyFont="1" applyFill="1" applyBorder="1" applyAlignment="1">
      <alignment horizontal="center" vertical="center" wrapText="1"/>
    </xf>
    <xf numFmtId="173" fontId="41" fillId="2" borderId="20" xfId="4" applyNumberFormat="1" applyFont="1" applyFill="1" applyBorder="1" applyAlignment="1">
      <alignment horizontal="center" vertical="center" wrapText="1"/>
    </xf>
    <xf numFmtId="168" fontId="72" fillId="2" borderId="0" xfId="0" applyNumberFormat="1" applyFont="1" applyFill="1" applyAlignment="1">
      <alignment vertical="center" wrapText="1"/>
    </xf>
    <xf numFmtId="0" fontId="72" fillId="2" borderId="0" xfId="0" applyNumberFormat="1" applyFont="1" applyFill="1" applyAlignment="1">
      <alignment vertical="center" wrapText="1"/>
    </xf>
    <xf numFmtId="4" fontId="72" fillId="2" borderId="0" xfId="0" applyNumberFormat="1" applyFont="1" applyFill="1" applyAlignment="1">
      <alignment vertical="center" wrapText="1"/>
    </xf>
    <xf numFmtId="0" fontId="71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168" fontId="10" fillId="0" borderId="4" xfId="4" applyNumberFormat="1" applyFont="1" applyFill="1" applyBorder="1" applyAlignment="1" applyProtection="1">
      <alignment horizontal="center" vertical="center" wrapText="1"/>
      <protection hidden="1"/>
    </xf>
    <xf numFmtId="0" fontId="10" fillId="2" borderId="1" xfId="0" applyNumberFormat="1" applyFont="1" applyFill="1" applyBorder="1" applyAlignment="1">
      <alignment vertical="top" wrapText="1"/>
    </xf>
    <xf numFmtId="0" fontId="3" fillId="2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vertical="top"/>
    </xf>
    <xf numFmtId="167" fontId="72" fillId="2" borderId="0" xfId="0" applyNumberFormat="1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vertical="top" wrapText="1"/>
    </xf>
    <xf numFmtId="0" fontId="23" fillId="2" borderId="1" xfId="0" applyNumberFormat="1" applyFont="1" applyFill="1" applyBorder="1" applyAlignment="1">
      <alignment horizontal="center" vertical="top" wrapText="1"/>
    </xf>
    <xf numFmtId="173" fontId="3" fillId="2" borderId="1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top" wrapText="1"/>
    </xf>
    <xf numFmtId="173" fontId="37" fillId="2" borderId="0" xfId="0" applyNumberFormat="1" applyFont="1" applyFill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wrapText="1"/>
    </xf>
    <xf numFmtId="0" fontId="37" fillId="2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righ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3" fillId="2" borderId="2" xfId="1" applyNumberFormat="1" applyFont="1" applyFill="1" applyBorder="1" applyAlignment="1" applyProtection="1">
      <alignment horizontal="left" vertical="top" wrapText="1"/>
      <protection hidden="1"/>
    </xf>
    <xf numFmtId="0" fontId="3" fillId="2" borderId="3" xfId="1" applyNumberFormat="1" applyFont="1" applyFill="1" applyBorder="1" applyAlignment="1" applyProtection="1">
      <alignment horizontal="left" vertical="top" wrapText="1"/>
      <protection hidden="1"/>
    </xf>
    <xf numFmtId="0" fontId="3" fillId="2" borderId="4" xfId="1" applyNumberFormat="1" applyFont="1" applyFill="1" applyBorder="1" applyAlignment="1" applyProtection="1">
      <alignment horizontal="left" vertical="top" wrapText="1"/>
      <protection hidden="1"/>
    </xf>
    <xf numFmtId="0" fontId="3" fillId="2" borderId="1" xfId="0" applyNumberFormat="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3" fillId="2" borderId="3" xfId="0" applyNumberFormat="1" applyFont="1" applyFill="1" applyBorder="1" applyAlignment="1">
      <alignment horizontal="center" vertical="top" wrapText="1"/>
    </xf>
    <xf numFmtId="0" fontId="3" fillId="2" borderId="4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10" fillId="2" borderId="2" xfId="1" applyNumberFormat="1" applyFont="1" applyFill="1" applyBorder="1" applyAlignment="1" applyProtection="1">
      <alignment horizontal="left" vertical="top" wrapText="1"/>
      <protection hidden="1"/>
    </xf>
    <xf numFmtId="0" fontId="10" fillId="2" borderId="3" xfId="1" applyNumberFormat="1" applyFont="1" applyFill="1" applyBorder="1" applyAlignment="1" applyProtection="1">
      <alignment horizontal="left" vertical="top" wrapText="1"/>
      <protection hidden="1"/>
    </xf>
    <xf numFmtId="0" fontId="10" fillId="2" borderId="4" xfId="1" applyNumberFormat="1" applyFont="1" applyFill="1" applyBorder="1" applyAlignment="1" applyProtection="1">
      <alignment horizontal="left" vertical="top" wrapText="1"/>
      <protection hidden="1"/>
    </xf>
    <xf numFmtId="0" fontId="10" fillId="2" borderId="2" xfId="0" applyNumberFormat="1" applyFont="1" applyFill="1" applyBorder="1" applyAlignment="1">
      <alignment horizontal="left" vertical="top" wrapText="1"/>
    </xf>
    <xf numFmtId="0" fontId="10" fillId="2" borderId="3" xfId="0" applyNumberFormat="1" applyFont="1" applyFill="1" applyBorder="1" applyAlignment="1">
      <alignment horizontal="left" vertical="top" wrapText="1"/>
    </xf>
    <xf numFmtId="0" fontId="11" fillId="2" borderId="2" xfId="0" applyNumberFormat="1" applyFont="1" applyFill="1" applyBorder="1" applyAlignment="1">
      <alignment horizontal="left" vertical="top" wrapText="1"/>
    </xf>
    <xf numFmtId="0" fontId="11" fillId="2" borderId="3" xfId="0" applyNumberFormat="1" applyFont="1" applyFill="1" applyBorder="1" applyAlignment="1">
      <alignment horizontal="left" vertical="top" wrapText="1"/>
    </xf>
    <xf numFmtId="0" fontId="8" fillId="2" borderId="0" xfId="0" applyNumberFormat="1" applyFont="1" applyFill="1" applyAlignment="1">
      <alignment horizontal="left" vertical="top" wrapText="1"/>
    </xf>
    <xf numFmtId="0" fontId="11" fillId="2" borderId="4" xfId="0" applyNumberFormat="1" applyFont="1" applyFill="1" applyBorder="1" applyAlignment="1">
      <alignment horizontal="left" vertical="top" wrapText="1"/>
    </xf>
    <xf numFmtId="0" fontId="13" fillId="2" borderId="2" xfId="0" applyNumberFormat="1" applyFont="1" applyFill="1" applyBorder="1" applyAlignment="1">
      <alignment horizontal="left" vertical="top" wrapText="1"/>
    </xf>
    <xf numFmtId="0" fontId="13" fillId="2" borderId="3" xfId="0" applyNumberFormat="1" applyFont="1" applyFill="1" applyBorder="1" applyAlignment="1">
      <alignment horizontal="left" vertical="top" wrapText="1"/>
    </xf>
    <xf numFmtId="0" fontId="13" fillId="2" borderId="4" xfId="0" applyNumberFormat="1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top" wrapText="1"/>
    </xf>
    <xf numFmtId="0" fontId="15" fillId="2" borderId="0" xfId="0" applyNumberFormat="1" applyFont="1" applyFill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Alignment="1">
      <alignment horizontal="center" vertical="center" wrapText="1"/>
    </xf>
    <xf numFmtId="0" fontId="8" fillId="2" borderId="0" xfId="0" applyNumberFormat="1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 applyProtection="1">
      <alignment horizontal="left" vertical="top" wrapText="1"/>
      <protection hidden="1"/>
    </xf>
    <xf numFmtId="0" fontId="3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center" vertical="center" wrapText="1"/>
    </xf>
    <xf numFmtId="0" fontId="23" fillId="2" borderId="3" xfId="0" applyNumberFormat="1" applyFont="1" applyFill="1" applyBorder="1" applyAlignment="1">
      <alignment horizontal="center" vertical="center" wrapText="1"/>
    </xf>
    <xf numFmtId="0" fontId="23" fillId="2" borderId="4" xfId="0" applyNumberFormat="1" applyFont="1" applyFill="1" applyBorder="1" applyAlignment="1">
      <alignment horizontal="center" vertical="center" wrapText="1"/>
    </xf>
    <xf numFmtId="0" fontId="23" fillId="2" borderId="2" xfId="0" applyNumberFormat="1" applyFont="1" applyFill="1" applyBorder="1" applyAlignment="1">
      <alignment horizontal="left" vertical="top" wrapText="1"/>
    </xf>
    <xf numFmtId="0" fontId="23" fillId="2" borderId="3" xfId="0" applyNumberFormat="1" applyFont="1" applyFill="1" applyBorder="1" applyAlignment="1">
      <alignment horizontal="left" vertical="top" wrapText="1"/>
    </xf>
    <xf numFmtId="0" fontId="23" fillId="2" borderId="4" xfId="0" applyNumberFormat="1" applyFont="1" applyFill="1" applyBorder="1" applyAlignment="1">
      <alignment horizontal="left" vertical="top" wrapText="1"/>
    </xf>
    <xf numFmtId="0" fontId="11" fillId="2" borderId="1" xfId="0" applyNumberFormat="1" applyFont="1" applyFill="1" applyBorder="1" applyAlignment="1">
      <alignment horizontal="left" vertical="top" wrapText="1"/>
    </xf>
    <xf numFmtId="0" fontId="23" fillId="2" borderId="1" xfId="0" applyNumberFormat="1" applyFont="1" applyFill="1" applyBorder="1" applyAlignment="1">
      <alignment horizontal="left" vertical="top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 applyProtection="1">
      <alignment horizontal="left" vertical="top" wrapText="1"/>
    </xf>
    <xf numFmtId="0" fontId="35" fillId="2" borderId="2" xfId="0" applyFont="1" applyFill="1" applyBorder="1" applyAlignment="1" applyProtection="1">
      <alignment vertical="top" wrapText="1"/>
    </xf>
    <xf numFmtId="0" fontId="35" fillId="2" borderId="4" xfId="0" applyFont="1" applyFill="1" applyBorder="1" applyAlignment="1" applyProtection="1">
      <alignment vertical="top" wrapText="1"/>
    </xf>
    <xf numFmtId="0" fontId="36" fillId="2" borderId="1" xfId="0" applyNumberFormat="1" applyFont="1" applyFill="1" applyBorder="1" applyAlignment="1">
      <alignment horizontal="left" vertical="top" wrapText="1"/>
    </xf>
    <xf numFmtId="0" fontId="35" fillId="2" borderId="2" xfId="0" applyFont="1" applyFill="1" applyBorder="1" applyAlignment="1" applyProtection="1">
      <alignment horizontal="left" vertical="top" wrapText="1"/>
    </xf>
    <xf numFmtId="0" fontId="35" fillId="2" borderId="3" xfId="0" applyFont="1" applyFill="1" applyBorder="1" applyAlignment="1" applyProtection="1">
      <alignment horizontal="left" vertical="top" wrapText="1"/>
    </xf>
    <xf numFmtId="0" fontId="35" fillId="2" borderId="4" xfId="0" applyFont="1" applyFill="1" applyBorder="1" applyAlignment="1" applyProtection="1">
      <alignment horizontal="left" vertical="top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vertical="top" wrapText="1"/>
    </xf>
    <xf numFmtId="0" fontId="11" fillId="2" borderId="3" xfId="0" applyNumberFormat="1" applyFont="1" applyFill="1" applyBorder="1" applyAlignment="1">
      <alignment vertical="top" wrapText="1"/>
    </xf>
    <xf numFmtId="0" fontId="11" fillId="2" borderId="4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left" vertical="top" wrapText="1"/>
    </xf>
    <xf numFmtId="0" fontId="4" fillId="2" borderId="3" xfId="0" applyNumberFormat="1" applyFont="1" applyFill="1" applyBorder="1" applyAlignment="1">
      <alignment horizontal="left" vertical="top" wrapText="1"/>
    </xf>
    <xf numFmtId="0" fontId="4" fillId="2" borderId="4" xfId="0" applyNumberFormat="1" applyFont="1" applyFill="1" applyBorder="1" applyAlignment="1">
      <alignment horizontal="left" vertical="top" wrapText="1"/>
    </xf>
    <xf numFmtId="0" fontId="28" fillId="2" borderId="1" xfId="0" applyFont="1" applyFill="1" applyBorder="1" applyAlignment="1" applyProtection="1">
      <alignment horizontal="left" vertical="top" wrapText="1"/>
    </xf>
    <xf numFmtId="0" fontId="35" fillId="2" borderId="1" xfId="0" applyNumberFormat="1" applyFont="1" applyFill="1" applyBorder="1" applyAlignment="1">
      <alignment horizontal="left" vertical="top" wrapText="1"/>
    </xf>
    <xf numFmtId="0" fontId="23" fillId="2" borderId="2" xfId="0" applyNumberFormat="1" applyFont="1" applyFill="1" applyBorder="1" applyAlignment="1">
      <alignment horizontal="left" vertical="center" wrapText="1"/>
    </xf>
    <xf numFmtId="0" fontId="23" fillId="2" borderId="4" xfId="0" applyNumberFormat="1" applyFont="1" applyFill="1" applyBorder="1" applyAlignment="1">
      <alignment horizontal="left" vertical="center" wrapText="1"/>
    </xf>
    <xf numFmtId="0" fontId="23" fillId="2" borderId="1" xfId="0" applyNumberFormat="1" applyFont="1" applyFill="1" applyBorder="1" applyAlignment="1">
      <alignment vertical="top" wrapText="1"/>
    </xf>
    <xf numFmtId="0" fontId="11" fillId="2" borderId="1" xfId="0" applyNumberFormat="1" applyFont="1" applyFill="1" applyBorder="1" applyAlignment="1">
      <alignment vertical="top" wrapText="1"/>
    </xf>
    <xf numFmtId="0" fontId="23" fillId="2" borderId="2" xfId="0" applyNumberFormat="1" applyFont="1" applyFill="1" applyBorder="1" applyAlignment="1">
      <alignment horizontal="left" vertical="center"/>
    </xf>
    <xf numFmtId="0" fontId="23" fillId="2" borderId="4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vertical="top"/>
    </xf>
    <xf numFmtId="0" fontId="23" fillId="2" borderId="1" xfId="0" applyNumberFormat="1" applyFont="1" applyFill="1" applyBorder="1" applyAlignment="1">
      <alignment horizontal="left" vertical="top"/>
    </xf>
    <xf numFmtId="0" fontId="11" fillId="2" borderId="1" xfId="0" applyNumberFormat="1" applyFont="1" applyFill="1" applyBorder="1" applyAlignment="1">
      <alignment horizontal="left" vertical="top"/>
    </xf>
    <xf numFmtId="0" fontId="28" fillId="2" borderId="1" xfId="0" applyNumberFormat="1" applyFont="1" applyFill="1" applyBorder="1" applyAlignment="1">
      <alignment horizontal="left" vertical="top" wrapText="1"/>
    </xf>
    <xf numFmtId="0" fontId="28" fillId="2" borderId="2" xfId="0" applyNumberFormat="1" applyFont="1" applyFill="1" applyBorder="1" applyAlignment="1">
      <alignment horizontal="left" vertical="top" wrapText="1"/>
    </xf>
    <xf numFmtId="0" fontId="28" fillId="2" borderId="3" xfId="0" applyNumberFormat="1" applyFont="1" applyFill="1" applyBorder="1" applyAlignment="1">
      <alignment horizontal="left" vertical="top" wrapText="1"/>
    </xf>
    <xf numFmtId="0" fontId="28" fillId="2" borderId="4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0" fontId="23" fillId="2" borderId="1" xfId="0" applyNumberFormat="1" applyFont="1" applyFill="1" applyBorder="1" applyAlignment="1" applyProtection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29" fillId="2" borderId="2" xfId="0" applyNumberFormat="1" applyFont="1" applyFill="1" applyBorder="1" applyAlignment="1">
      <alignment horizontal="left" vertical="top" wrapText="1"/>
    </xf>
    <xf numFmtId="0" fontId="29" fillId="2" borderId="3" xfId="0" applyNumberFormat="1" applyFont="1" applyFill="1" applyBorder="1" applyAlignment="1">
      <alignment horizontal="left" vertical="top" wrapText="1"/>
    </xf>
    <xf numFmtId="0" fontId="29" fillId="2" borderId="4" xfId="0" applyNumberFormat="1" applyFont="1" applyFill="1" applyBorder="1" applyAlignment="1">
      <alignment horizontal="left" vertical="top" wrapText="1"/>
    </xf>
    <xf numFmtId="0" fontId="27" fillId="2" borderId="1" xfId="0" applyNumberFormat="1" applyFont="1" applyFill="1" applyBorder="1" applyAlignment="1" applyProtection="1">
      <alignment horizontal="left" vertical="top" wrapText="1"/>
    </xf>
    <xf numFmtId="0" fontId="28" fillId="2" borderId="2" xfId="0" applyNumberFormat="1" applyFont="1" applyFill="1" applyBorder="1" applyAlignment="1" applyProtection="1">
      <alignment vertical="top" wrapText="1"/>
    </xf>
    <xf numFmtId="0" fontId="28" fillId="2" borderId="3" xfId="0" applyNumberFormat="1" applyFont="1" applyFill="1" applyBorder="1" applyAlignment="1" applyProtection="1">
      <alignment vertical="top" wrapText="1"/>
    </xf>
    <xf numFmtId="0" fontId="28" fillId="2" borderId="4" xfId="0" applyNumberFormat="1" applyFont="1" applyFill="1" applyBorder="1" applyAlignment="1" applyProtection="1">
      <alignment vertical="top" wrapText="1"/>
    </xf>
    <xf numFmtId="0" fontId="18" fillId="0" borderId="5" xfId="0" applyNumberFormat="1" applyFont="1" applyFill="1" applyBorder="1" applyAlignment="1">
      <alignment horizontal="center" vertical="top" wrapText="1"/>
    </xf>
    <xf numFmtId="0" fontId="18" fillId="0" borderId="0" xfId="0" applyNumberFormat="1" applyFont="1" applyFill="1" applyAlignment="1">
      <alignment horizontal="center" vertical="top" wrapText="1"/>
    </xf>
    <xf numFmtId="0" fontId="23" fillId="2" borderId="1" xfId="3" applyNumberFormat="1" applyFont="1" applyFill="1" applyBorder="1" applyAlignment="1">
      <alignment horizontal="left" vertical="top" wrapText="1"/>
    </xf>
    <xf numFmtId="0" fontId="23" fillId="2" borderId="12" xfId="0" applyNumberFormat="1" applyFont="1" applyFill="1" applyBorder="1" applyAlignment="1">
      <alignment horizontal="center" vertical="center" wrapText="1"/>
    </xf>
    <xf numFmtId="0" fontId="23" fillId="2" borderId="13" xfId="0" applyNumberFormat="1" applyFont="1" applyFill="1" applyBorder="1" applyAlignment="1">
      <alignment horizontal="center" vertical="center" wrapText="1"/>
    </xf>
    <xf numFmtId="0" fontId="23" fillId="2" borderId="14" xfId="0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Alignment="1">
      <alignment horizontal="center" vertical="top" wrapText="1"/>
    </xf>
    <xf numFmtId="0" fontId="23" fillId="2" borderId="1" xfId="0" applyNumberFormat="1" applyFont="1" applyFill="1" applyBorder="1" applyAlignment="1">
      <alignment horizontal="center" vertical="top" wrapText="1"/>
    </xf>
    <xf numFmtId="0" fontId="29" fillId="2" borderId="4" xfId="0" applyFont="1" applyFill="1" applyBorder="1" applyAlignment="1">
      <alignment horizontal="left" vertical="top" wrapText="1"/>
    </xf>
    <xf numFmtId="0" fontId="29" fillId="2" borderId="1" xfId="0" applyFont="1" applyFill="1" applyBorder="1" applyAlignment="1">
      <alignment horizontal="left" vertical="top" wrapText="1"/>
    </xf>
    <xf numFmtId="0" fontId="27" fillId="2" borderId="2" xfId="0" applyFont="1" applyFill="1" applyBorder="1" applyAlignment="1" applyProtection="1">
      <alignment vertical="center" wrapText="1"/>
    </xf>
    <xf numFmtId="0" fontId="27" fillId="2" borderId="3" xfId="0" applyFont="1" applyFill="1" applyBorder="1" applyAlignment="1" applyProtection="1">
      <alignment vertical="center" wrapText="1"/>
    </xf>
    <xf numFmtId="0" fontId="27" fillId="2" borderId="4" xfId="0" applyFont="1" applyFill="1" applyBorder="1" applyAlignment="1" applyProtection="1">
      <alignment vertical="center" wrapText="1"/>
    </xf>
    <xf numFmtId="0" fontId="29" fillId="2" borderId="1" xfId="0" applyNumberFormat="1" applyFont="1" applyFill="1" applyBorder="1" applyAlignment="1">
      <alignment horizontal="left" vertical="top" wrapText="1"/>
    </xf>
    <xf numFmtId="0" fontId="69" fillId="2" borderId="2" xfId="0" applyFont="1" applyFill="1" applyBorder="1" applyAlignment="1">
      <alignment horizontal="left" vertical="top" wrapText="1"/>
    </xf>
    <xf numFmtId="0" fontId="69" fillId="2" borderId="3" xfId="0" applyFont="1" applyFill="1" applyBorder="1" applyAlignment="1">
      <alignment horizontal="left" vertical="top" wrapText="1"/>
    </xf>
    <xf numFmtId="0" fontId="69" fillId="2" borderId="4" xfId="0" applyFont="1" applyFill="1" applyBorder="1" applyAlignment="1">
      <alignment horizontal="left" vertical="top" wrapText="1"/>
    </xf>
    <xf numFmtId="0" fontId="29" fillId="2" borderId="2" xfId="0" applyFont="1" applyFill="1" applyBorder="1" applyAlignment="1">
      <alignment horizontal="left" vertical="top" wrapText="1"/>
    </xf>
    <xf numFmtId="0" fontId="29" fillId="2" borderId="3" xfId="0" applyFont="1" applyFill="1" applyBorder="1" applyAlignment="1">
      <alignment horizontal="left" vertical="top" wrapText="1"/>
    </xf>
    <xf numFmtId="0" fontId="28" fillId="2" borderId="1" xfId="0" applyNumberFormat="1" applyFont="1" applyFill="1" applyBorder="1" applyAlignment="1" applyProtection="1">
      <alignment horizontal="left" vertical="top" wrapText="1"/>
    </xf>
    <xf numFmtId="0" fontId="8" fillId="2" borderId="0" xfId="0" applyNumberFormat="1" applyFont="1" applyFill="1" applyAlignment="1">
      <alignment horizontal="center" vertical="top" wrapText="1"/>
    </xf>
    <xf numFmtId="0" fontId="34" fillId="2" borderId="2" xfId="0" applyNumberFormat="1" applyFont="1" applyFill="1" applyBorder="1" applyAlignment="1" applyProtection="1">
      <alignment horizontal="left" vertical="top" wrapText="1"/>
    </xf>
    <xf numFmtId="0" fontId="34" fillId="2" borderId="3" xfId="0" applyNumberFormat="1" applyFont="1" applyFill="1" applyBorder="1" applyAlignment="1" applyProtection="1">
      <alignment horizontal="left" vertical="top" wrapText="1"/>
    </xf>
    <xf numFmtId="0" fontId="34" fillId="2" borderId="4" xfId="0" applyNumberFormat="1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horizontal="left" vertical="top" wrapText="1"/>
    </xf>
    <xf numFmtId="0" fontId="41" fillId="2" borderId="0" xfId="0" applyFont="1" applyFill="1" applyAlignment="1">
      <alignment horizontal="center"/>
    </xf>
    <xf numFmtId="0" fontId="41" fillId="2" borderId="2" xfId="0" applyFont="1" applyFill="1" applyBorder="1" applyAlignment="1">
      <alignment horizontal="center" vertical="center" wrapText="1"/>
    </xf>
    <xf numFmtId="0" fontId="41" fillId="2" borderId="4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0" fontId="41" fillId="2" borderId="14" xfId="0" applyFont="1" applyFill="1" applyBorder="1" applyAlignment="1">
      <alignment horizontal="left" vertical="center" wrapText="1"/>
    </xf>
    <xf numFmtId="0" fontId="41" fillId="2" borderId="2" xfId="0" applyFont="1" applyFill="1" applyBorder="1" applyAlignment="1">
      <alignment horizontal="center" vertical="top" wrapText="1"/>
    </xf>
    <xf numFmtId="0" fontId="41" fillId="2" borderId="3" xfId="0" applyFont="1" applyFill="1" applyBorder="1" applyAlignment="1">
      <alignment horizontal="center" vertical="top" wrapText="1"/>
    </xf>
    <xf numFmtId="0" fontId="41" fillId="2" borderId="4" xfId="0" applyFont="1" applyFill="1" applyBorder="1" applyAlignment="1">
      <alignment horizontal="center" vertical="top" wrapText="1"/>
    </xf>
    <xf numFmtId="0" fontId="41" fillId="2" borderId="1" xfId="0" applyFont="1" applyFill="1" applyBorder="1" applyAlignment="1">
      <alignment horizontal="center" vertical="top" wrapText="1"/>
    </xf>
    <xf numFmtId="0" fontId="41" fillId="2" borderId="0" xfId="0" applyFont="1" applyFill="1" applyAlignment="1">
      <alignment horizontal="left" vertical="center"/>
    </xf>
    <xf numFmtId="0" fontId="42" fillId="2" borderId="0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 wrapText="1"/>
    </xf>
    <xf numFmtId="0" fontId="59" fillId="0" borderId="8" xfId="0" applyFont="1" applyBorder="1" applyAlignment="1">
      <alignment horizontal="center" vertical="center"/>
    </xf>
    <xf numFmtId="0" fontId="59" fillId="3" borderId="8" xfId="0" applyFont="1" applyFill="1" applyBorder="1" applyAlignment="1">
      <alignment horizontal="center" vertical="center"/>
    </xf>
    <xf numFmtId="167" fontId="52" fillId="0" borderId="22" xfId="0" applyNumberFormat="1" applyFont="1" applyFill="1" applyBorder="1" applyAlignment="1">
      <alignment horizontal="center" vertical="center"/>
    </xf>
    <xf numFmtId="167" fontId="52" fillId="0" borderId="27" xfId="0" applyNumberFormat="1" applyFont="1" applyFill="1" applyBorder="1" applyAlignment="1">
      <alignment horizontal="center" vertical="center"/>
    </xf>
    <xf numFmtId="165" fontId="59" fillId="0" borderId="0" xfId="0" applyNumberFormat="1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0" xfId="0" applyFont="1" applyBorder="1" applyAlignment="1">
      <alignment horizontal="left" vertical="center" wrapText="1"/>
    </xf>
    <xf numFmtId="165" fontId="59" fillId="0" borderId="5" xfId="0" applyNumberFormat="1" applyFont="1" applyBorder="1" applyAlignment="1">
      <alignment vertical="center"/>
    </xf>
    <xf numFmtId="0" fontId="57" fillId="0" borderId="23" xfId="0" applyFont="1" applyFill="1" applyBorder="1" applyAlignment="1">
      <alignment horizontal="center" vertical="center" wrapText="1"/>
    </xf>
    <xf numFmtId="0" fontId="57" fillId="0" borderId="24" xfId="0" applyFont="1" applyFill="1" applyBorder="1" applyAlignment="1">
      <alignment horizontal="center" vertical="center" wrapText="1"/>
    </xf>
    <xf numFmtId="0" fontId="57" fillId="0" borderId="25" xfId="0" applyFont="1" applyFill="1" applyBorder="1" applyAlignment="1">
      <alignment horizontal="center"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52" fillId="0" borderId="26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0" fontId="52" fillId="0" borderId="23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3" fillId="0" borderId="22" xfId="0" applyFont="1" applyFill="1" applyBorder="1" applyAlignment="1">
      <alignment horizontal="center" vertical="center" wrapText="1"/>
    </xf>
    <xf numFmtId="0" fontId="53" fillId="0" borderId="27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169" fontId="67" fillId="0" borderId="2" xfId="0" applyNumberFormat="1" applyFont="1" applyFill="1" applyBorder="1" applyAlignment="1">
      <alignment horizontal="center" vertical="center" wrapText="1"/>
    </xf>
    <xf numFmtId="169" fontId="67" fillId="0" borderId="4" xfId="0" applyNumberFormat="1" applyFont="1" applyFill="1" applyBorder="1" applyAlignment="1">
      <alignment horizontal="center" vertical="center" wrapText="1"/>
    </xf>
    <xf numFmtId="169" fontId="67" fillId="0" borderId="1" xfId="0" applyNumberFormat="1" applyFont="1" applyFill="1" applyBorder="1" applyAlignment="1">
      <alignment horizontal="center" vertical="center" wrapText="1"/>
    </xf>
    <xf numFmtId="0" fontId="67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</cellXfs>
  <cellStyles count="15">
    <cellStyle name="Гиперссылка" xfId="14" builtinId="8"/>
    <cellStyle name="Денежный" xfId="6" builtinId="4"/>
    <cellStyle name="Денежный 2" xfId="11"/>
    <cellStyle name="Обычный" xfId="0" builtinId="0"/>
    <cellStyle name="Обычный 2" xfId="1"/>
    <cellStyle name="Обычный 3" xfId="2"/>
    <cellStyle name="Обычный 4" xfId="8"/>
    <cellStyle name="Обычный 5" xfId="7"/>
    <cellStyle name="Обычный_План ПИР-2009 ( тех.отд.) с ДЕНЬГАМИ (для Громенко)" xfId="3"/>
    <cellStyle name="Обычный_Сб-macro 2020" xfId="13"/>
    <cellStyle name="Процентный" xfId="12" builtinId="5"/>
    <cellStyle name="Процентный 2" xfId="9"/>
    <cellStyle name="Финансовый" xfId="4" builtinId="3"/>
    <cellStyle name="Финансовый 2" xfId="5"/>
    <cellStyle name="Финансовый 3" xfId="1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43;&#1054;&#1057;&#1055;&#1056;&#1054;&#1043;&#1056;&#1040;&#1052;&#1052;&#1067;\&#1043;&#1055;%202017-2019\&#1055;&#1083;&#1072;&#1085;%20&#1088;&#1077;&#1072;&#1083;&#1080;&#1079;&#1072;&#1094;&#1080;&#1080;%20&#1043;&#1055;%20&#1056;&#1040;&#1044;%202017-2019%20(&#1085;&#1072;%20&#1089;&#1086;&#1075;&#1083;&#1072;&#1089;+&#1041;&#1044;&#104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дикаторы"/>
      <sheetName val="Мероприятия"/>
      <sheetName val="Подробный перечень"/>
      <sheetName val="прил. 1  (2)"/>
      <sheetName val="прил .6 с мостом"/>
      <sheetName val="для вставки в ворд"/>
      <sheetName val="рррр"/>
    </sheetNames>
    <sheetDataSet>
      <sheetData sheetId="0"/>
      <sheetData sheetId="1">
        <row r="16">
          <cell r="Q16">
            <v>68.47</v>
          </cell>
        </row>
      </sheetData>
      <sheetData sheetId="2">
        <row r="13">
          <cell r="Y13">
            <v>3.8</v>
          </cell>
        </row>
      </sheetData>
      <sheetData sheetId="3"/>
      <sheetData sheetId="4">
        <row r="5">
          <cell r="B5">
            <v>78559983.919999987</v>
          </cell>
          <cell r="C5">
            <v>7389522.1000000006</v>
          </cell>
          <cell r="D5">
            <v>8429259.5199999996</v>
          </cell>
          <cell r="E5">
            <v>9666667.4999999981</v>
          </cell>
          <cell r="F5">
            <v>10032250.300000001</v>
          </cell>
          <cell r="G5">
            <v>9939612.4999999981</v>
          </cell>
          <cell r="H5">
            <v>10814708.099999998</v>
          </cell>
          <cell r="I5">
            <v>11044938.499999998</v>
          </cell>
          <cell r="J5">
            <v>11243025.399999999</v>
          </cell>
        </row>
        <row r="6">
          <cell r="B6">
            <v>9086523.0199999996</v>
          </cell>
          <cell r="C6">
            <v>1562163.2000000002</v>
          </cell>
          <cell r="D6">
            <v>625434.81999999995</v>
          </cell>
          <cell r="E6">
            <v>924750.6</v>
          </cell>
          <cell r="F6">
            <v>899982.3</v>
          </cell>
          <cell r="G6">
            <v>932600</v>
          </cell>
          <cell r="H6">
            <v>1380530.7</v>
          </cell>
          <cell r="I6">
            <v>1380530.7</v>
          </cell>
          <cell r="J6">
            <v>1380530.7</v>
          </cell>
        </row>
        <row r="7">
          <cell r="B7">
            <v>68317536.900000006</v>
          </cell>
          <cell r="C7">
            <v>5446414.7000000002</v>
          </cell>
          <cell r="D7">
            <v>7684169.5999999996</v>
          </cell>
          <cell r="E7">
            <v>8638936.6999999993</v>
          </cell>
          <cell r="F7">
            <v>9029287.8000000007</v>
          </cell>
          <cell r="G7">
            <v>8904032.2999999989</v>
          </cell>
          <cell r="H7">
            <v>9313197.1999999993</v>
          </cell>
          <cell r="I7">
            <v>9539810.5999999996</v>
          </cell>
          <cell r="J7">
            <v>9761688</v>
          </cell>
        </row>
        <row r="8">
          <cell r="B8">
            <v>1155923.9999999998</v>
          </cell>
          <cell r="C8">
            <v>380944.2</v>
          </cell>
          <cell r="D8">
            <v>119655.09999999999</v>
          </cell>
          <cell r="E8">
            <v>102980.2</v>
          </cell>
          <cell r="F8">
            <v>102980.2</v>
          </cell>
          <cell r="G8">
            <v>102980.2</v>
          </cell>
          <cell r="H8">
            <v>120980.2</v>
          </cell>
          <cell r="I8">
            <v>124597.2</v>
          </cell>
          <cell r="J8">
            <v>100806.7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20485271.619999997</v>
          </cell>
          <cell r="C10">
            <v>1721621.6</v>
          </cell>
          <cell r="D10">
            <v>1278114.1199999999</v>
          </cell>
          <cell r="E10">
            <v>2724550.3000000003</v>
          </cell>
          <cell r="F10">
            <v>2525966</v>
          </cell>
          <cell r="G10">
            <v>2335603.6</v>
          </cell>
          <cell r="H10">
            <v>3257150.7</v>
          </cell>
          <cell r="I10">
            <v>3308747.9000000004</v>
          </cell>
          <cell r="J10">
            <v>3333517.4000000004</v>
          </cell>
        </row>
        <row r="11">
          <cell r="B11">
            <v>8629157.9199999999</v>
          </cell>
          <cell r="C11">
            <v>1104798.1000000001</v>
          </cell>
          <cell r="D11">
            <v>625434.81999999995</v>
          </cell>
          <cell r="E11">
            <v>924750.6</v>
          </cell>
          <cell r="F11">
            <v>899982.3</v>
          </cell>
          <cell r="G11">
            <v>932600</v>
          </cell>
          <cell r="H11">
            <v>1380530.7</v>
          </cell>
          <cell r="I11">
            <v>1380530.7</v>
          </cell>
          <cell r="J11">
            <v>1380530.7</v>
          </cell>
        </row>
        <row r="12">
          <cell r="B12">
            <v>11373151.9</v>
          </cell>
          <cell r="C12">
            <v>288964.5</v>
          </cell>
          <cell r="D12">
            <v>625717.6</v>
          </cell>
          <cell r="E12">
            <v>1777303.5</v>
          </cell>
          <cell r="F12">
            <v>1602362.7000000002</v>
          </cell>
          <cell r="G12">
            <v>1378803.6</v>
          </cell>
          <cell r="H12">
            <v>1850000</v>
          </cell>
          <cell r="I12">
            <v>1900000</v>
          </cell>
          <cell r="J12">
            <v>1950000</v>
          </cell>
        </row>
        <row r="13">
          <cell r="B13">
            <v>482961.80000000005</v>
          </cell>
          <cell r="C13">
            <v>327859</v>
          </cell>
          <cell r="D13">
            <v>26961.7</v>
          </cell>
          <cell r="E13">
            <v>22496.2</v>
          </cell>
          <cell r="F13">
            <v>23621</v>
          </cell>
          <cell r="G13">
            <v>24200</v>
          </cell>
          <cell r="H13">
            <v>26620</v>
          </cell>
          <cell r="I13">
            <v>28217.200000000001</v>
          </cell>
          <cell r="J13">
            <v>2986.7</v>
          </cell>
        </row>
        <row r="15">
          <cell r="B15">
            <v>57000</v>
          </cell>
          <cell r="C15">
            <v>3000</v>
          </cell>
          <cell r="D15">
            <v>3000</v>
          </cell>
          <cell r="E15">
            <v>3000</v>
          </cell>
          <cell r="F15">
            <v>3000</v>
          </cell>
          <cell r="G15">
            <v>3000</v>
          </cell>
          <cell r="H15">
            <v>12000</v>
          </cell>
          <cell r="I15">
            <v>14000</v>
          </cell>
          <cell r="J15">
            <v>16000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B17">
            <v>57000</v>
          </cell>
          <cell r="C17">
            <v>3000</v>
          </cell>
          <cell r="D17">
            <v>3000</v>
          </cell>
          <cell r="E17">
            <v>3000</v>
          </cell>
          <cell r="F17">
            <v>3000</v>
          </cell>
          <cell r="G17">
            <v>3000</v>
          </cell>
          <cell r="H17">
            <v>12000</v>
          </cell>
          <cell r="I17">
            <v>14000</v>
          </cell>
          <cell r="J17">
            <v>16000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B20">
            <v>58017712.300000004</v>
          </cell>
          <cell r="C20">
            <v>5664900.5</v>
          </cell>
          <cell r="D20">
            <v>7148145.4000000004</v>
          </cell>
          <cell r="E20">
            <v>6939117.2000000002</v>
          </cell>
          <cell r="F20">
            <v>7503284.2999999998</v>
          </cell>
          <cell r="G20">
            <v>7601008.8999999994</v>
          </cell>
          <cell r="H20">
            <v>7545557.4000000004</v>
          </cell>
          <cell r="I20">
            <v>7722190.5999999996</v>
          </cell>
          <cell r="J20">
            <v>7893508</v>
          </cell>
        </row>
        <row r="21">
          <cell r="B21">
            <v>457365.1</v>
          </cell>
          <cell r="C21">
            <v>457365.1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B22">
            <v>56887385.000000007</v>
          </cell>
          <cell r="C22">
            <v>5154450.2</v>
          </cell>
          <cell r="D22">
            <v>7055452</v>
          </cell>
          <cell r="E22">
            <v>6858633.2000000002</v>
          </cell>
          <cell r="F22">
            <v>7423925.0999999996</v>
          </cell>
          <cell r="G22">
            <v>7522228.6999999993</v>
          </cell>
          <cell r="H22">
            <v>7451197.2000000002</v>
          </cell>
          <cell r="I22">
            <v>7625810.5999999996</v>
          </cell>
          <cell r="J22">
            <v>7795688</v>
          </cell>
        </row>
        <row r="23">
          <cell r="B23">
            <v>672962.2</v>
          </cell>
          <cell r="C23">
            <v>53085.2</v>
          </cell>
          <cell r="D23">
            <v>92693.4</v>
          </cell>
          <cell r="E23">
            <v>80484</v>
          </cell>
          <cell r="F23">
            <v>79359.199999999997</v>
          </cell>
          <cell r="G23">
            <v>78780.2</v>
          </cell>
          <cell r="H23">
            <v>94360.2</v>
          </cell>
          <cell r="I23">
            <v>96380</v>
          </cell>
          <cell r="J23">
            <v>97820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6">
          <cell r="B26">
            <v>78559983.919999987</v>
          </cell>
          <cell r="C26">
            <v>7389522.1000000006</v>
          </cell>
          <cell r="D26">
            <v>8429259.5199999996</v>
          </cell>
          <cell r="E26">
            <v>9666667.4999999981</v>
          </cell>
          <cell r="F26">
            <v>10032250.300000001</v>
          </cell>
          <cell r="G26">
            <v>9939612.4999999981</v>
          </cell>
          <cell r="H26">
            <v>10814708.099999998</v>
          </cell>
          <cell r="I26">
            <v>11044938.499999998</v>
          </cell>
          <cell r="J26">
            <v>11243025.399999999</v>
          </cell>
        </row>
        <row r="27">
          <cell r="B27">
            <v>9086523.0199999996</v>
          </cell>
          <cell r="C27">
            <v>1562163.2000000002</v>
          </cell>
          <cell r="D27">
            <v>625434.81999999995</v>
          </cell>
          <cell r="E27">
            <v>924750.6</v>
          </cell>
          <cell r="F27">
            <v>899982.3</v>
          </cell>
          <cell r="G27">
            <v>932600</v>
          </cell>
          <cell r="H27">
            <v>1380530.7</v>
          </cell>
          <cell r="I27">
            <v>1380530.7</v>
          </cell>
          <cell r="J27">
            <v>1380530.7</v>
          </cell>
        </row>
        <row r="28">
          <cell r="B28">
            <v>68317536.900000006</v>
          </cell>
          <cell r="C28">
            <v>5446414.7000000002</v>
          </cell>
          <cell r="D28">
            <v>7684169.5999999996</v>
          </cell>
          <cell r="E28">
            <v>8638936.6999999993</v>
          </cell>
          <cell r="F28">
            <v>9029287.8000000007</v>
          </cell>
          <cell r="G28">
            <v>8904032.2999999989</v>
          </cell>
          <cell r="H28">
            <v>9313197.1999999993</v>
          </cell>
          <cell r="I28">
            <v>9539810.5999999996</v>
          </cell>
          <cell r="J28">
            <v>9761688</v>
          </cell>
        </row>
        <row r="29">
          <cell r="B29">
            <v>1155923.9999999998</v>
          </cell>
          <cell r="C29">
            <v>380944.2</v>
          </cell>
          <cell r="D29">
            <v>119655.09999999999</v>
          </cell>
          <cell r="E29">
            <v>102980.2</v>
          </cell>
          <cell r="F29">
            <v>102980.2</v>
          </cell>
          <cell r="G29">
            <v>102980.2</v>
          </cell>
          <cell r="H29">
            <v>120980.2</v>
          </cell>
          <cell r="I29">
            <v>124597.2</v>
          </cell>
          <cell r="J29">
            <v>100806.7</v>
          </cell>
        </row>
        <row r="30">
          <cell r="C30">
            <v>0</v>
          </cell>
          <cell r="D30">
            <v>0</v>
          </cell>
          <cell r="J30">
            <v>0</v>
          </cell>
        </row>
        <row r="31">
          <cell r="B31">
            <v>20485271.619999997</v>
          </cell>
          <cell r="C31">
            <v>1721621.6</v>
          </cell>
          <cell r="D31">
            <v>1278114.1199999999</v>
          </cell>
          <cell r="E31">
            <v>2724550.3000000003</v>
          </cell>
          <cell r="F31">
            <v>2525966</v>
          </cell>
          <cell r="G31">
            <v>2335603.6</v>
          </cell>
          <cell r="H31">
            <v>3257150.7</v>
          </cell>
          <cell r="I31">
            <v>3308747.9000000004</v>
          </cell>
          <cell r="J31">
            <v>3333517.4000000004</v>
          </cell>
        </row>
        <row r="32">
          <cell r="B32">
            <v>8629157.9199999999</v>
          </cell>
          <cell r="C32">
            <v>1104798.1000000001</v>
          </cell>
          <cell r="D32">
            <v>625434.81999999995</v>
          </cell>
          <cell r="E32">
            <v>924750.6</v>
          </cell>
          <cell r="F32">
            <v>899982.3</v>
          </cell>
          <cell r="G32">
            <v>932600</v>
          </cell>
          <cell r="H32">
            <v>1380530.7</v>
          </cell>
          <cell r="I32">
            <v>1380530.7</v>
          </cell>
          <cell r="J32">
            <v>1380530.7</v>
          </cell>
        </row>
        <row r="33">
          <cell r="B33">
            <v>11373151.9</v>
          </cell>
          <cell r="C33">
            <v>288964.5</v>
          </cell>
          <cell r="D33">
            <v>625717.6</v>
          </cell>
          <cell r="E33">
            <v>1777303.5</v>
          </cell>
          <cell r="F33">
            <v>1602362.7000000002</v>
          </cell>
          <cell r="G33">
            <v>1378803.6</v>
          </cell>
          <cell r="H33">
            <v>1850000</v>
          </cell>
          <cell r="I33">
            <v>1900000</v>
          </cell>
          <cell r="J33">
            <v>1950000</v>
          </cell>
        </row>
        <row r="34">
          <cell r="B34">
            <v>482961.80000000005</v>
          </cell>
          <cell r="C34">
            <v>327859</v>
          </cell>
          <cell r="D34">
            <v>26961.7</v>
          </cell>
          <cell r="E34">
            <v>22496.2</v>
          </cell>
          <cell r="F34">
            <v>23621</v>
          </cell>
          <cell r="G34">
            <v>24200</v>
          </cell>
          <cell r="H34">
            <v>26620</v>
          </cell>
          <cell r="I34">
            <v>28217.200000000001</v>
          </cell>
          <cell r="J34">
            <v>2986.7</v>
          </cell>
        </row>
        <row r="35">
          <cell r="C35">
            <v>0</v>
          </cell>
          <cell r="D35">
            <v>0</v>
          </cell>
        </row>
        <row r="36">
          <cell r="B36">
            <v>57000</v>
          </cell>
          <cell r="C36">
            <v>3000</v>
          </cell>
          <cell r="D36">
            <v>3000</v>
          </cell>
          <cell r="E36">
            <v>3000</v>
          </cell>
          <cell r="F36">
            <v>3000</v>
          </cell>
          <cell r="G36">
            <v>3000</v>
          </cell>
          <cell r="H36">
            <v>12000</v>
          </cell>
          <cell r="I36">
            <v>14000</v>
          </cell>
          <cell r="J36">
            <v>16000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B38">
            <v>57000</v>
          </cell>
          <cell r="C38">
            <v>3000</v>
          </cell>
          <cell r="D38">
            <v>3000</v>
          </cell>
          <cell r="E38">
            <v>3000</v>
          </cell>
          <cell r="F38">
            <v>3000</v>
          </cell>
          <cell r="G38">
            <v>3000</v>
          </cell>
          <cell r="H38">
            <v>12000</v>
          </cell>
          <cell r="I38">
            <v>14000</v>
          </cell>
          <cell r="J38">
            <v>16000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B41">
            <v>58017712.300000004</v>
          </cell>
          <cell r="C41">
            <v>5664900.5</v>
          </cell>
          <cell r="D41">
            <v>7148145.4000000004</v>
          </cell>
          <cell r="E41">
            <v>6939117.2000000002</v>
          </cell>
          <cell r="F41">
            <v>7503284.2999999998</v>
          </cell>
          <cell r="G41">
            <v>7601008.8999999994</v>
          </cell>
          <cell r="H41">
            <v>7545557.4000000004</v>
          </cell>
          <cell r="I41">
            <v>7722190.5999999996</v>
          </cell>
          <cell r="J41">
            <v>7893508</v>
          </cell>
        </row>
        <row r="42">
          <cell r="B42">
            <v>457365.1</v>
          </cell>
          <cell r="C42">
            <v>457365.1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B43">
            <v>56887385.000000007</v>
          </cell>
          <cell r="C43">
            <v>5154450.2</v>
          </cell>
          <cell r="D43">
            <v>7055452</v>
          </cell>
          <cell r="E43">
            <v>6858633.2000000002</v>
          </cell>
          <cell r="F43">
            <v>7423925.0999999996</v>
          </cell>
          <cell r="G43">
            <v>7522228.6999999993</v>
          </cell>
          <cell r="H43">
            <v>7451197.2000000002</v>
          </cell>
          <cell r="I43">
            <v>7625810.5999999996</v>
          </cell>
          <cell r="J43">
            <v>7795688</v>
          </cell>
        </row>
        <row r="44">
          <cell r="B44">
            <v>672962.2</v>
          </cell>
          <cell r="C44">
            <v>53085.2</v>
          </cell>
          <cell r="D44">
            <v>92693.4</v>
          </cell>
          <cell r="E44">
            <v>80484</v>
          </cell>
          <cell r="F44">
            <v>79359.199999999997</v>
          </cell>
          <cell r="G44">
            <v>78780.2</v>
          </cell>
          <cell r="H44">
            <v>94360.2</v>
          </cell>
          <cell r="I44">
            <v>96380</v>
          </cell>
          <cell r="J44">
            <v>97820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B46">
            <v>4087696.2</v>
          </cell>
          <cell r="C46">
            <v>533688</v>
          </cell>
          <cell r="D46">
            <v>560906</v>
          </cell>
          <cell r="E46">
            <v>429099</v>
          </cell>
          <cell r="F46">
            <v>454844.9</v>
          </cell>
          <cell r="G46">
            <v>482135.6</v>
          </cell>
          <cell r="H46">
            <v>511063.8</v>
          </cell>
          <cell r="I46">
            <v>541727.6</v>
          </cell>
          <cell r="J46">
            <v>574231.30000000005</v>
          </cell>
        </row>
        <row r="47">
          <cell r="B47">
            <v>9086523.0500000007</v>
          </cell>
          <cell r="C47">
            <v>1562163.2000000002</v>
          </cell>
          <cell r="D47">
            <v>625434.81999999995</v>
          </cell>
          <cell r="E47">
            <v>924750.63000000012</v>
          </cell>
          <cell r="F47">
            <v>899982.3</v>
          </cell>
          <cell r="G47">
            <v>932600</v>
          </cell>
          <cell r="H47">
            <v>1380530.7</v>
          </cell>
          <cell r="I47">
            <v>1380530.7</v>
          </cell>
          <cell r="J47">
            <v>1380530.7</v>
          </cell>
        </row>
        <row r="50">
          <cell r="B50">
            <v>472799.23</v>
          </cell>
          <cell r="C50">
            <v>95879.3</v>
          </cell>
          <cell r="D50">
            <v>60969.599999999999</v>
          </cell>
          <cell r="E50">
            <v>315950.33</v>
          </cell>
        </row>
        <row r="51">
          <cell r="B51">
            <v>8156358.7200000007</v>
          </cell>
          <cell r="C51">
            <v>1008918.8</v>
          </cell>
          <cell r="D51">
            <v>564465.22</v>
          </cell>
          <cell r="E51">
            <v>608800.30000000005</v>
          </cell>
          <cell r="F51">
            <v>899982.3</v>
          </cell>
          <cell r="G51">
            <v>932600</v>
          </cell>
          <cell r="H51">
            <v>1380530.7</v>
          </cell>
          <cell r="I51">
            <v>1380530.7</v>
          </cell>
          <cell r="J51">
            <v>1380530.7</v>
          </cell>
        </row>
        <row r="52">
          <cell r="B52">
            <v>457365.1</v>
          </cell>
          <cell r="C52">
            <v>457365.1</v>
          </cell>
        </row>
        <row r="55">
          <cell r="B55">
            <v>0</v>
          </cell>
          <cell r="D55">
            <v>0</v>
          </cell>
        </row>
        <row r="56">
          <cell r="B56">
            <v>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BC496DE9CD4DD003661B9BE3DD29CC0BB84219353379C154704F53E6C66F167571238B5D4FA498D2047A2859L0N" TargetMode="External"/><Relationship Id="rId13" Type="http://schemas.openxmlformats.org/officeDocument/2006/relationships/hyperlink" Target="consultantplus://offline/ref=BC496DE9CD4DD003661B9BE3DD29CC0BB84219353379C154704F53E6C66F167571238B5D4FA498D2047A2859L0N" TargetMode="External"/><Relationship Id="rId18" Type="http://schemas.openxmlformats.org/officeDocument/2006/relationships/hyperlink" Target="consultantplus://offline/ref=BC496DE9CD4DD003661B9BE3DD29CC0BB84219353379C154704F53E6C66F167571238B5D4FA498D2047A2859L0N" TargetMode="External"/><Relationship Id="rId26" Type="http://schemas.openxmlformats.org/officeDocument/2006/relationships/hyperlink" Target="consultantplus://offline/ref=BC496DE9CD4DD003661B9BE3DD29CC0BB84219353379C154704F53E6C66F167571238B5D4FA498D2047A2859L0N" TargetMode="External"/><Relationship Id="rId3" Type="http://schemas.openxmlformats.org/officeDocument/2006/relationships/hyperlink" Target="consultantplus://offline/ref=BC496DE9CD4DD003661B9BE3DD29CC0BB84219353379C154704F53E6C66F167571238B5D4FA498D2047A2859L0N" TargetMode="External"/><Relationship Id="rId21" Type="http://schemas.openxmlformats.org/officeDocument/2006/relationships/hyperlink" Target="consultantplus://offline/ref=BC496DE9CD4DD003661B9BE3DD29CC0BB84219353379C154704F53E6C66F167571238B5D4FA498D2047A2859L0N" TargetMode="External"/><Relationship Id="rId7" Type="http://schemas.openxmlformats.org/officeDocument/2006/relationships/hyperlink" Target="consultantplus://offline/ref=BC496DE9CD4DD003661B9BE3DD29CC0BB84219353379C154704F53E6C66F167571238B5D4FA498D2047A2859L3N" TargetMode="External"/><Relationship Id="rId12" Type="http://schemas.openxmlformats.org/officeDocument/2006/relationships/hyperlink" Target="consultantplus://offline/ref=BC496DE9CD4DD003661B9BE3DD29CC0BB84219353379C154704F53E6C66F167571238B5D4FA498D2047A2859L0N" TargetMode="External"/><Relationship Id="rId17" Type="http://schemas.openxmlformats.org/officeDocument/2006/relationships/hyperlink" Target="consultantplus://offline/ref=BC496DE9CD4DD003661B9BE3DD29CC0BB84219353379C154704F53E6C66F167571238B5D4FA498D2047A2859L0N" TargetMode="External"/><Relationship Id="rId25" Type="http://schemas.openxmlformats.org/officeDocument/2006/relationships/hyperlink" Target="consultantplus://offline/ref=BC496DE9CD4DD003661B9BE3DD29CC0BB84219353379C154704F53E6C66F167571238B5D4FA498D2047A2859L0N" TargetMode="External"/><Relationship Id="rId33" Type="http://schemas.openxmlformats.org/officeDocument/2006/relationships/comments" Target="../comments2.xml"/><Relationship Id="rId2" Type="http://schemas.openxmlformats.org/officeDocument/2006/relationships/hyperlink" Target="consultantplus://offline/ref=BC496DE9CD4DD003661B9BE3DD29CC0BB84219353379C154704F53E6C66F167571238B5D4FA498D2047A2859L0N" TargetMode="External"/><Relationship Id="rId16" Type="http://schemas.openxmlformats.org/officeDocument/2006/relationships/hyperlink" Target="consultantplus://offline/ref=BC496DE9CD4DD003661B9BE3DD29CC0BB84219353379C154704F53E6C66F167571238B5D4FA498D2047A2859L0N" TargetMode="External"/><Relationship Id="rId20" Type="http://schemas.openxmlformats.org/officeDocument/2006/relationships/hyperlink" Target="consultantplus://offline/ref=BC496DE9CD4DD003661B9BE3DD29CC0BB84219353379C154704F53E6C66F167571238B5D4FA498D2047A2859L3N" TargetMode="External"/><Relationship Id="rId29" Type="http://schemas.openxmlformats.org/officeDocument/2006/relationships/hyperlink" Target="consultantplus://offline/ref=BC496DE9CD4DD003661B85EECB459202B04F45393C7FCE04281008BB91661C22366CD21F0BA999D550L3N" TargetMode="External"/><Relationship Id="rId1" Type="http://schemas.openxmlformats.org/officeDocument/2006/relationships/hyperlink" Target="consultantplus://offline/ref=BC496DE9CD4DD003661B9BE3DD29CC0BB84219353379C154704F53E6C66F167571238B5D4FA498D2047A2859L0N" TargetMode="External"/><Relationship Id="rId6" Type="http://schemas.openxmlformats.org/officeDocument/2006/relationships/hyperlink" Target="consultantplus://offline/ref=BC496DE9CD4DD003661B9BE3DD29CC0BB84219353379C154704F53E6C66F167571238B5D4FA498D2047A2859L0N" TargetMode="External"/><Relationship Id="rId11" Type="http://schemas.openxmlformats.org/officeDocument/2006/relationships/hyperlink" Target="consultantplus://offline/ref=BC496DE9CD4DD003661B9BE3DD29CC0BB84219353379C154704F53E6C66F167571238B5D4FA498D2047A2859L0N" TargetMode="External"/><Relationship Id="rId24" Type="http://schemas.openxmlformats.org/officeDocument/2006/relationships/hyperlink" Target="consultantplus://offline/ref=BC496DE9CD4DD003661B9BE3DD29CC0BB84219353379C154704F53E6C66F167571238B5D4FA498D2047A2859L0N" TargetMode="External"/><Relationship Id="rId32" Type="http://schemas.openxmlformats.org/officeDocument/2006/relationships/vmlDrawing" Target="../drawings/vmlDrawing2.vml"/><Relationship Id="rId5" Type="http://schemas.openxmlformats.org/officeDocument/2006/relationships/hyperlink" Target="consultantplus://offline/ref=BC496DE9CD4DD003661B9BE3DD29CC0BB84219353379C154704F53E6C66F167571238B5D4FA498D2047A2859L0N" TargetMode="External"/><Relationship Id="rId15" Type="http://schemas.openxmlformats.org/officeDocument/2006/relationships/hyperlink" Target="consultantplus://offline/ref=BC496DE9CD4DD003661B9BE3DD29CC0BB84219353379C154704F53E6C66F167571238B5D4FA498D2047A2859L0N" TargetMode="External"/><Relationship Id="rId23" Type="http://schemas.openxmlformats.org/officeDocument/2006/relationships/hyperlink" Target="consultantplus://offline/ref=BC496DE9CD4DD003661B9BE3DD29CC0BB84219353379C154704F53E6C66F167571238B5D4FA498D2047A2859L0N" TargetMode="External"/><Relationship Id="rId28" Type="http://schemas.openxmlformats.org/officeDocument/2006/relationships/hyperlink" Target="consultantplus://offline/ref=BC496DE9CD4DD003661B85EECB459202B04F45393C7FCE04281008BB91661C22366CD21F0BA999D550L3N" TargetMode="External"/><Relationship Id="rId10" Type="http://schemas.openxmlformats.org/officeDocument/2006/relationships/hyperlink" Target="consultantplus://offline/ref=BC496DE9CD4DD003661B9BE3DD29CC0BB84219353379C154704F53E6C66F167571238B5D4FA498D2047A2859L0N" TargetMode="External"/><Relationship Id="rId19" Type="http://schemas.openxmlformats.org/officeDocument/2006/relationships/hyperlink" Target="consultantplus://offline/ref=BC496DE9CD4DD003661B9BE3DD29CC0BB84219353379C154704F53E6C66F167571238B5D4FA498D2047A2859L0N" TargetMode="External"/><Relationship Id="rId31" Type="http://schemas.openxmlformats.org/officeDocument/2006/relationships/printerSettings" Target="../printerSettings/printerSettings5.bin"/><Relationship Id="rId4" Type="http://schemas.openxmlformats.org/officeDocument/2006/relationships/hyperlink" Target="consultantplus://offline/ref=BC496DE9CD4DD003661B9BE3DD29CC0BB84219353379C154704F53E6C66F167571238B5D4FA498D2047A2859L0N" TargetMode="External"/><Relationship Id="rId9" Type="http://schemas.openxmlformats.org/officeDocument/2006/relationships/hyperlink" Target="consultantplus://offline/ref=BC496DE9CD4DD003661B9BE3DD29CC0BB84219353379C154704F53E6C66F167571238B5D4FA498D2047A2859L0N" TargetMode="External"/><Relationship Id="rId14" Type="http://schemas.openxmlformats.org/officeDocument/2006/relationships/hyperlink" Target="consultantplus://offline/ref=BC496DE9CD4DD003661B9BE3DD29CC0BB84219353379C154704F53E6C66F167571238B5D4FA498D2047A2859L0N" TargetMode="External"/><Relationship Id="rId22" Type="http://schemas.openxmlformats.org/officeDocument/2006/relationships/hyperlink" Target="consultantplus://offline/ref=BC496DE9CD4DD003661B9BE3DD29CC0BB84219353379C154704F53E6C66F167571238B5D4FA498D2047A2859L0N" TargetMode="External"/><Relationship Id="rId27" Type="http://schemas.openxmlformats.org/officeDocument/2006/relationships/hyperlink" Target="consultantplus://offline/ref=BC496DE9CD4DD003661B85EECB459202B04E433B3E7BCE04281008BB91661C22366CD21F0BA999D350L2N" TargetMode="External"/><Relationship Id="rId30" Type="http://schemas.openxmlformats.org/officeDocument/2006/relationships/hyperlink" Target="consultantplus://offline/ref=BC496DE9CD4DD003661B85EECB459202B04F45393C7FCE04281008BB91661C22366CD21F0BA999D550L3N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view="pageBreakPreview" zoomScale="70" zoomScaleNormal="70" zoomScaleSheetLayoutView="70" workbookViewId="0">
      <selection activeCell="Q45" sqref="Q45"/>
    </sheetView>
  </sheetViews>
  <sheetFormatPr defaultColWidth="8.88671875" defaultRowHeight="15.6"/>
  <cols>
    <col min="1" max="1" width="3.6640625" style="209" customWidth="1"/>
    <col min="2" max="2" width="24.6640625" style="209" customWidth="1"/>
    <col min="3" max="3" width="23.6640625" style="209" customWidth="1"/>
    <col min="4" max="4" width="9.5546875" style="209" customWidth="1"/>
    <col min="5" max="5" width="9.6640625" style="209" customWidth="1"/>
    <col min="6" max="6" width="13.5546875" style="209" hidden="1" customWidth="1"/>
    <col min="7" max="7" width="8.6640625" style="209" hidden="1" customWidth="1"/>
    <col min="8" max="8" width="7.33203125" style="209" hidden="1" customWidth="1"/>
    <col min="9" max="9" width="7.88671875" style="209" hidden="1" customWidth="1"/>
    <col min="10" max="10" width="12.44140625" style="209" hidden="1" customWidth="1"/>
    <col min="11" max="11" width="10" style="209" customWidth="1"/>
    <col min="12" max="15" width="13" style="209" customWidth="1"/>
    <col min="16" max="16" width="9.6640625" style="209" customWidth="1"/>
    <col min="17" max="17" width="9.5546875" style="209" customWidth="1"/>
    <col min="18" max="18" width="28.5546875" style="209" customWidth="1"/>
    <col min="19" max="16384" width="8.88671875" style="209"/>
  </cols>
  <sheetData>
    <row r="1" spans="2:19" ht="31.95" customHeight="1">
      <c r="K1" s="480" t="s">
        <v>661</v>
      </c>
      <c r="L1" s="480"/>
      <c r="M1" s="480"/>
      <c r="N1" s="480"/>
      <c r="O1" s="480"/>
      <c r="P1" s="480"/>
      <c r="Q1" s="480"/>
      <c r="R1" s="480"/>
      <c r="S1" s="248"/>
    </row>
    <row r="2" spans="2:19">
      <c r="S2" s="248"/>
    </row>
    <row r="3" spans="2:19">
      <c r="S3" s="248"/>
    </row>
    <row r="4" spans="2:19" ht="14.4" customHeight="1">
      <c r="B4" s="479" t="s">
        <v>528</v>
      </c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</row>
    <row r="5" spans="2:19" ht="45.6" customHeight="1">
      <c r="B5" s="481" t="s">
        <v>527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</row>
    <row r="6" spans="2:19" ht="14.4" customHeight="1">
      <c r="K6" s="482" t="s">
        <v>526</v>
      </c>
      <c r="L6" s="482"/>
      <c r="M6" s="482"/>
      <c r="N6" s="482"/>
      <c r="O6" s="482"/>
      <c r="P6" s="482"/>
      <c r="Q6" s="482"/>
      <c r="R6" s="482"/>
    </row>
    <row r="7" spans="2:19" ht="14.4" customHeight="1">
      <c r="B7" s="479" t="s">
        <v>525</v>
      </c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/>
      <c r="O7" s="479"/>
      <c r="P7" s="479"/>
      <c r="Q7" s="479"/>
      <c r="R7" s="479"/>
    </row>
    <row r="8" spans="2:19" ht="14.4" customHeight="1">
      <c r="B8" s="479" t="s">
        <v>524</v>
      </c>
      <c r="C8" s="479"/>
      <c r="D8" s="479"/>
      <c r="E8" s="479"/>
      <c r="F8" s="479"/>
      <c r="G8" s="479"/>
      <c r="H8" s="479"/>
      <c r="I8" s="479"/>
      <c r="J8" s="479"/>
      <c r="K8" s="479"/>
      <c r="L8" s="479"/>
      <c r="M8" s="479"/>
      <c r="N8" s="479"/>
      <c r="O8" s="479"/>
      <c r="P8" s="479"/>
      <c r="Q8" s="479"/>
      <c r="R8" s="479"/>
    </row>
    <row r="9" spans="2:19" ht="14.4" customHeight="1">
      <c r="B9" s="479" t="s">
        <v>443</v>
      </c>
      <c r="C9" s="479"/>
      <c r="D9" s="479"/>
      <c r="E9" s="479"/>
      <c r="F9" s="479"/>
      <c r="G9" s="479"/>
      <c r="H9" s="479"/>
      <c r="I9" s="479"/>
      <c r="J9" s="479"/>
      <c r="K9" s="479"/>
      <c r="L9" s="479"/>
      <c r="M9" s="479"/>
      <c r="N9" s="479"/>
      <c r="O9" s="479"/>
      <c r="P9" s="479"/>
      <c r="Q9" s="479"/>
      <c r="R9" s="479"/>
    </row>
    <row r="11" spans="2:19" ht="12" customHeight="1">
      <c r="B11" s="473" t="s">
        <v>523</v>
      </c>
      <c r="C11" s="473" t="s">
        <v>522</v>
      </c>
      <c r="D11" s="473" t="s">
        <v>521</v>
      </c>
      <c r="E11" s="473" t="s">
        <v>520</v>
      </c>
      <c r="F11" s="472" t="s">
        <v>152</v>
      </c>
      <c r="G11" s="472" t="s">
        <v>153</v>
      </c>
      <c r="H11" s="472"/>
      <c r="I11" s="472"/>
      <c r="J11" s="472"/>
      <c r="K11" s="472" t="s">
        <v>9</v>
      </c>
      <c r="L11" s="472" t="s">
        <v>519</v>
      </c>
      <c r="M11" s="472"/>
      <c r="N11" s="472"/>
      <c r="O11" s="472"/>
      <c r="P11" s="472" t="s">
        <v>288</v>
      </c>
      <c r="Q11" s="472" t="s">
        <v>370</v>
      </c>
      <c r="R11" s="473" t="s">
        <v>518</v>
      </c>
    </row>
    <row r="12" spans="2:19" ht="14.4" customHeight="1">
      <c r="B12" s="473"/>
      <c r="C12" s="473"/>
      <c r="D12" s="473"/>
      <c r="E12" s="473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3"/>
    </row>
    <row r="13" spans="2:19" ht="51.75" customHeight="1">
      <c r="B13" s="473"/>
      <c r="C13" s="473"/>
      <c r="D13" s="473"/>
      <c r="E13" s="473"/>
      <c r="F13" s="472"/>
      <c r="G13" s="208" t="s">
        <v>154</v>
      </c>
      <c r="H13" s="208" t="s">
        <v>155</v>
      </c>
      <c r="I13" s="208" t="s">
        <v>156</v>
      </c>
      <c r="J13" s="208" t="s">
        <v>157</v>
      </c>
      <c r="K13" s="472"/>
      <c r="L13" s="208" t="s">
        <v>154</v>
      </c>
      <c r="M13" s="208" t="s">
        <v>155</v>
      </c>
      <c r="N13" s="208" t="s">
        <v>156</v>
      </c>
      <c r="O13" s="208" t="s">
        <v>157</v>
      </c>
      <c r="P13" s="472"/>
      <c r="Q13" s="472"/>
      <c r="R13" s="473"/>
    </row>
    <row r="14" spans="2:19">
      <c r="B14" s="223">
        <v>1</v>
      </c>
      <c r="C14" s="223">
        <v>2</v>
      </c>
      <c r="D14" s="223">
        <v>3</v>
      </c>
      <c r="E14" s="223">
        <v>4</v>
      </c>
      <c r="F14" s="208">
        <v>5</v>
      </c>
      <c r="G14" s="208">
        <v>6</v>
      </c>
      <c r="H14" s="208">
        <v>7</v>
      </c>
      <c r="I14" s="208">
        <v>8</v>
      </c>
      <c r="J14" s="208">
        <v>9</v>
      </c>
      <c r="K14" s="208">
        <v>5</v>
      </c>
      <c r="L14" s="208">
        <v>6</v>
      </c>
      <c r="M14" s="208">
        <v>7</v>
      </c>
      <c r="N14" s="208">
        <v>8</v>
      </c>
      <c r="O14" s="208">
        <v>9</v>
      </c>
      <c r="P14" s="208">
        <v>10</v>
      </c>
      <c r="Q14" s="208">
        <v>11</v>
      </c>
      <c r="R14" s="223">
        <v>12</v>
      </c>
    </row>
    <row r="15" spans="2:19" ht="31.2" customHeight="1">
      <c r="B15" s="474" t="s">
        <v>517</v>
      </c>
      <c r="C15" s="474"/>
      <c r="D15" s="474"/>
      <c r="E15" s="474"/>
      <c r="F15" s="474"/>
      <c r="G15" s="474"/>
      <c r="H15" s="474"/>
      <c r="I15" s="474"/>
      <c r="J15" s="474"/>
      <c r="K15" s="474"/>
      <c r="L15" s="474"/>
      <c r="M15" s="474"/>
      <c r="N15" s="474"/>
      <c r="O15" s="474"/>
      <c r="P15" s="474"/>
      <c r="Q15" s="474"/>
      <c r="R15" s="474"/>
    </row>
    <row r="16" spans="2:19" ht="47.4" customHeight="1">
      <c r="B16" s="474" t="s">
        <v>486</v>
      </c>
      <c r="C16" s="474"/>
      <c r="D16" s="474"/>
      <c r="E16" s="474"/>
      <c r="F16" s="474"/>
      <c r="G16" s="474"/>
      <c r="H16" s="474"/>
      <c r="I16" s="474"/>
      <c r="J16" s="474"/>
      <c r="K16" s="474"/>
      <c r="L16" s="474"/>
      <c r="M16" s="474"/>
      <c r="N16" s="474"/>
      <c r="O16" s="474"/>
      <c r="P16" s="474"/>
      <c r="Q16" s="474"/>
      <c r="R16" s="474"/>
    </row>
    <row r="17" spans="2:26" ht="98.4" customHeight="1">
      <c r="B17" s="475" t="s">
        <v>516</v>
      </c>
      <c r="C17" s="242" t="s">
        <v>515</v>
      </c>
      <c r="D17" s="223" t="s">
        <v>496</v>
      </c>
      <c r="E17" s="466">
        <v>0.1</v>
      </c>
      <c r="F17" s="236">
        <f>J17</f>
        <v>80.569999999999993</v>
      </c>
      <c r="G17" s="236"/>
      <c r="H17" s="236"/>
      <c r="I17" s="236"/>
      <c r="J17" s="247">
        <v>80.569999999999993</v>
      </c>
      <c r="K17" s="246">
        <f>'прил. 1  (2)'!$K$14</f>
        <v>81.252652681437127</v>
      </c>
      <c r="L17" s="227" t="s">
        <v>348</v>
      </c>
      <c r="M17" s="227" t="s">
        <v>348</v>
      </c>
      <c r="N17" s="227" t="s">
        <v>348</v>
      </c>
      <c r="O17" s="227" t="s">
        <v>348</v>
      </c>
      <c r="P17" s="227">
        <f>'прил. 1  (2)'!$L$14</f>
        <v>81.332704014747023</v>
      </c>
      <c r="Q17" s="227">
        <f>'прил. 1  (2)'!$M$14</f>
        <v>81.378223400354614</v>
      </c>
      <c r="R17" s="219" t="s">
        <v>488</v>
      </c>
    </row>
    <row r="18" spans="2:26" ht="99" customHeight="1">
      <c r="B18" s="476"/>
      <c r="C18" s="242" t="s">
        <v>514</v>
      </c>
      <c r="D18" s="223" t="s">
        <v>513</v>
      </c>
      <c r="E18" s="466">
        <v>0.1</v>
      </c>
      <c r="F18" s="236">
        <f>J18</f>
        <v>57.88</v>
      </c>
      <c r="G18" s="236"/>
      <c r="H18" s="236"/>
      <c r="I18" s="236"/>
      <c r="J18" s="247">
        <v>57.88</v>
      </c>
      <c r="K18" s="246">
        <f>'прил. 1  (2)'!$K$15</f>
        <v>58.10908529741863</v>
      </c>
      <c r="L18" s="227" t="s">
        <v>348</v>
      </c>
      <c r="M18" s="227" t="s">
        <v>348</v>
      </c>
      <c r="N18" s="227" t="s">
        <v>348</v>
      </c>
      <c r="O18" s="227" t="s">
        <v>348</v>
      </c>
      <c r="P18" s="227">
        <f>'прил. 1  (2)'!$L$15</f>
        <v>58.155274971941637</v>
      </c>
      <c r="Q18" s="227">
        <f>'прил. 1  (2)'!$M$15</f>
        <v>58.187822671155999</v>
      </c>
      <c r="R18" s="219" t="s">
        <v>488</v>
      </c>
    </row>
    <row r="19" spans="2:26" ht="110.4" customHeight="1">
      <c r="B19" s="245"/>
      <c r="C19" s="244" t="s">
        <v>512</v>
      </c>
      <c r="D19" s="223" t="s">
        <v>489</v>
      </c>
      <c r="E19" s="466">
        <v>0.05</v>
      </c>
      <c r="F19" s="224">
        <f>J19</f>
        <v>12801.5</v>
      </c>
      <c r="G19" s="236"/>
      <c r="H19" s="236"/>
      <c r="I19" s="236"/>
      <c r="J19" s="235">
        <v>12801.5</v>
      </c>
      <c r="K19" s="231">
        <f>'прил. 1  (2)'!$K$16</f>
        <v>12741.824000000001</v>
      </c>
      <c r="L19" s="227" t="s">
        <v>348</v>
      </c>
      <c r="M19" s="227" t="s">
        <v>348</v>
      </c>
      <c r="N19" s="227" t="s">
        <v>348</v>
      </c>
      <c r="O19" s="227" t="s">
        <v>348</v>
      </c>
      <c r="P19" s="231">
        <f>'прил. 1  (2)'!$L$16</f>
        <v>12741.824000000001</v>
      </c>
      <c r="Q19" s="231">
        <f>'прил. 1  (2)'!$M$16</f>
        <v>12741.824000000001</v>
      </c>
      <c r="R19" s="219" t="s">
        <v>488</v>
      </c>
    </row>
    <row r="20" spans="2:26" ht="148.19999999999999" customHeight="1">
      <c r="B20" s="243"/>
      <c r="C20" s="242" t="s">
        <v>511</v>
      </c>
      <c r="D20" s="223" t="s">
        <v>489</v>
      </c>
      <c r="E20" s="466">
        <v>0.05</v>
      </c>
      <c r="F20" s="224">
        <f>J20</f>
        <v>38.299999999999997</v>
      </c>
      <c r="G20" s="236"/>
      <c r="H20" s="236"/>
      <c r="I20" s="236"/>
      <c r="J20" s="222">
        <v>38.299999999999997</v>
      </c>
      <c r="K20" s="231">
        <f>'прил. 1  (2)'!$K$17</f>
        <v>39.089999999999996</v>
      </c>
      <c r="L20" s="227" t="s">
        <v>348</v>
      </c>
      <c r="M20" s="227" t="s">
        <v>348</v>
      </c>
      <c r="N20" s="227" t="s">
        <v>348</v>
      </c>
      <c r="O20" s="227" t="s">
        <v>348</v>
      </c>
      <c r="P20" s="231">
        <f>'прил. 1  (2)'!$L$17</f>
        <v>10.199999999999999</v>
      </c>
      <c r="Q20" s="231">
        <f>'прил. 1  (2)'!$M$17</f>
        <v>5.8</v>
      </c>
      <c r="R20" s="219" t="s">
        <v>488</v>
      </c>
    </row>
    <row r="21" spans="2:26" ht="129.6" customHeight="1">
      <c r="B21" s="240"/>
      <c r="C21" s="242" t="s">
        <v>510</v>
      </c>
      <c r="D21" s="223" t="s">
        <v>489</v>
      </c>
      <c r="E21" s="466">
        <v>0.06</v>
      </c>
      <c r="F21" s="224">
        <f>J21</f>
        <v>15.6</v>
      </c>
      <c r="G21" s="236"/>
      <c r="H21" s="236"/>
      <c r="I21" s="236"/>
      <c r="J21" s="222">
        <v>15.6</v>
      </c>
      <c r="K21" s="231">
        <v>0.9</v>
      </c>
      <c r="L21" s="227" t="s">
        <v>348</v>
      </c>
      <c r="M21" s="227" t="s">
        <v>348</v>
      </c>
      <c r="N21" s="227" t="s">
        <v>348</v>
      </c>
      <c r="O21" s="227" t="s">
        <v>348</v>
      </c>
      <c r="P21" s="231">
        <v>0</v>
      </c>
      <c r="Q21" s="231">
        <v>0</v>
      </c>
      <c r="R21" s="219" t="s">
        <v>488</v>
      </c>
    </row>
    <row r="22" spans="2:26" ht="186" customHeight="1">
      <c r="B22" s="240"/>
      <c r="C22" s="242" t="s">
        <v>509</v>
      </c>
      <c r="D22" s="223" t="s">
        <v>489</v>
      </c>
      <c r="E22" s="466">
        <v>0.06</v>
      </c>
      <c r="F22" s="224">
        <v>10.9</v>
      </c>
      <c r="G22" s="236"/>
      <c r="H22" s="236"/>
      <c r="I22" s="236"/>
      <c r="J22" s="222">
        <v>10.9</v>
      </c>
      <c r="K22" s="231">
        <v>37.5</v>
      </c>
      <c r="L22" s="227" t="s">
        <v>348</v>
      </c>
      <c r="M22" s="227" t="s">
        <v>348</v>
      </c>
      <c r="N22" s="227" t="s">
        <v>348</v>
      </c>
      <c r="O22" s="227" t="s">
        <v>348</v>
      </c>
      <c r="P22" s="231">
        <v>10.199999999999999</v>
      </c>
      <c r="Q22" s="231">
        <v>5.8</v>
      </c>
      <c r="R22" s="219" t="s">
        <v>488</v>
      </c>
    </row>
    <row r="23" spans="2:26" ht="203.4" customHeight="1">
      <c r="B23" s="240"/>
      <c r="C23" s="241" t="s">
        <v>689</v>
      </c>
      <c r="D23" s="466" t="s">
        <v>489</v>
      </c>
      <c r="E23" s="466">
        <v>0.02</v>
      </c>
      <c r="F23" s="224"/>
      <c r="G23" s="236"/>
      <c r="H23" s="236"/>
      <c r="I23" s="236"/>
      <c r="J23" s="222"/>
      <c r="K23" s="469">
        <f>'прил. 1  (2)'!$K$20</f>
        <v>27.959</v>
      </c>
      <c r="L23" s="469"/>
      <c r="M23" s="469"/>
      <c r="N23" s="469"/>
      <c r="O23" s="469"/>
      <c r="P23" s="469">
        <f>'прил. 1  (2)'!$L$20</f>
        <v>9.5939999999999994</v>
      </c>
      <c r="Q23" s="469">
        <f>'прил. 1  (2)'!$M$20</f>
        <v>13.1</v>
      </c>
      <c r="R23" s="219" t="s">
        <v>488</v>
      </c>
    </row>
    <row r="24" spans="2:26" ht="186" customHeight="1">
      <c r="B24" s="240"/>
      <c r="C24" s="241" t="s">
        <v>508</v>
      </c>
      <c r="D24" s="223" t="s">
        <v>489</v>
      </c>
      <c r="E24" s="466" t="s">
        <v>348</v>
      </c>
      <c r="F24" s="224"/>
      <c r="G24" s="236"/>
      <c r="H24" s="236"/>
      <c r="I24" s="236"/>
      <c r="J24" s="222"/>
      <c r="K24" s="231">
        <v>0</v>
      </c>
      <c r="L24" s="227" t="s">
        <v>348</v>
      </c>
      <c r="M24" s="227" t="s">
        <v>348</v>
      </c>
      <c r="N24" s="227" t="s">
        <v>348</v>
      </c>
      <c r="O24" s="227" t="s">
        <v>348</v>
      </c>
      <c r="P24" s="231">
        <v>0</v>
      </c>
      <c r="Q24" s="231">
        <v>0</v>
      </c>
      <c r="R24" s="219" t="s">
        <v>488</v>
      </c>
    </row>
    <row r="25" spans="2:26" ht="135.6" customHeight="1">
      <c r="B25" s="240"/>
      <c r="C25" s="239" t="s">
        <v>669</v>
      </c>
      <c r="D25" s="223" t="s">
        <v>489</v>
      </c>
      <c r="E25" s="466" t="s">
        <v>348</v>
      </c>
      <c r="F25" s="224"/>
      <c r="G25" s="236"/>
      <c r="H25" s="236"/>
      <c r="I25" s="236"/>
      <c r="J25" s="222"/>
      <c r="K25" s="231" t="s">
        <v>348</v>
      </c>
      <c r="L25" s="227" t="s">
        <v>348</v>
      </c>
      <c r="M25" s="227" t="s">
        <v>348</v>
      </c>
      <c r="N25" s="227" t="s">
        <v>348</v>
      </c>
      <c r="O25" s="227" t="s">
        <v>348</v>
      </c>
      <c r="P25" s="231" t="s">
        <v>348</v>
      </c>
      <c r="Q25" s="231" t="s">
        <v>348</v>
      </c>
      <c r="R25" s="219" t="s">
        <v>488</v>
      </c>
    </row>
    <row r="26" spans="2:26" ht="219.6" customHeight="1">
      <c r="B26" s="240"/>
      <c r="C26" s="239" t="s">
        <v>507</v>
      </c>
      <c r="D26" s="223" t="s">
        <v>496</v>
      </c>
      <c r="E26" s="466">
        <v>0.02</v>
      </c>
      <c r="F26" s="224"/>
      <c r="G26" s="236"/>
      <c r="H26" s="236"/>
      <c r="I26" s="236"/>
      <c r="J26" s="222"/>
      <c r="K26" s="231">
        <f>'прил. 1  (2)'!$K$23</f>
        <v>63.3</v>
      </c>
      <c r="L26" s="227"/>
      <c r="M26" s="227"/>
      <c r="N26" s="227"/>
      <c r="O26" s="227"/>
      <c r="P26" s="231">
        <f>'прил. 1  (2)'!$L$23</f>
        <v>63.2</v>
      </c>
      <c r="Q26" s="231">
        <f>'прил. 1  (2)'!$M$23</f>
        <v>63.1</v>
      </c>
      <c r="R26" s="219" t="s">
        <v>488</v>
      </c>
    </row>
    <row r="27" spans="2:26" ht="135.6" customHeight="1">
      <c r="B27" s="219"/>
      <c r="C27" s="238" t="s">
        <v>506</v>
      </c>
      <c r="D27" s="223" t="s">
        <v>489</v>
      </c>
      <c r="E27" s="466">
        <v>0.02</v>
      </c>
      <c r="F27" s="224"/>
      <c r="G27" s="236"/>
      <c r="H27" s="236"/>
      <c r="I27" s="236"/>
      <c r="J27" s="222"/>
      <c r="K27" s="231">
        <f>'прил. 1  (2)'!$K$24</f>
        <v>6770.9890000000005</v>
      </c>
      <c r="L27" s="227"/>
      <c r="M27" s="227"/>
      <c r="N27" s="227"/>
      <c r="O27" s="227"/>
      <c r="P27" s="231">
        <f>'прил. 1  (2)'!$L$24</f>
        <v>6772.9890000000005</v>
      </c>
      <c r="Q27" s="231">
        <f>'прил. 1  (2)'!$M$24</f>
        <v>6774.9890000000005</v>
      </c>
      <c r="R27" s="219" t="s">
        <v>488</v>
      </c>
    </row>
    <row r="28" spans="2:26" ht="142.94999999999999" customHeight="1">
      <c r="B28" s="219"/>
      <c r="C28" s="237" t="s">
        <v>505</v>
      </c>
      <c r="D28" s="223" t="s">
        <v>489</v>
      </c>
      <c r="E28" s="466">
        <v>0.02</v>
      </c>
      <c r="F28" s="224"/>
      <c r="G28" s="236"/>
      <c r="H28" s="236"/>
      <c r="I28" s="236"/>
      <c r="J28" s="222"/>
      <c r="K28" s="231">
        <f>'прил. 1  (2)'!$K$25</f>
        <v>2416.027</v>
      </c>
      <c r="L28" s="231"/>
      <c r="M28" s="231"/>
      <c r="N28" s="231"/>
      <c r="O28" s="231"/>
      <c r="P28" s="231">
        <f>'прил. 1  (2)'!$L$25</f>
        <v>2405.027</v>
      </c>
      <c r="Q28" s="231">
        <f>'прил. 1  (2)'!$M$25</f>
        <v>2390.027</v>
      </c>
      <c r="R28" s="219" t="s">
        <v>488</v>
      </c>
    </row>
    <row r="29" spans="2:26" ht="161.4" customHeight="1">
      <c r="B29" s="477" t="s">
        <v>670</v>
      </c>
      <c r="C29" s="225" t="s">
        <v>504</v>
      </c>
      <c r="D29" s="223" t="s">
        <v>489</v>
      </c>
      <c r="E29" s="466">
        <v>0.05</v>
      </c>
      <c r="F29" s="224">
        <f>J29</f>
        <v>9325.9000000000015</v>
      </c>
      <c r="G29" s="223"/>
      <c r="H29" s="223"/>
      <c r="I29" s="223"/>
      <c r="J29" s="222">
        <f>J30+J31</f>
        <v>9325.9000000000015</v>
      </c>
      <c r="K29" s="231">
        <f>'прил. 1  (2)'!$K$26</f>
        <v>17537.699999999997</v>
      </c>
      <c r="L29" s="227" t="s">
        <v>348</v>
      </c>
      <c r="M29" s="227" t="s">
        <v>348</v>
      </c>
      <c r="N29" s="227" t="s">
        <v>348</v>
      </c>
      <c r="O29" s="227" t="s">
        <v>348</v>
      </c>
      <c r="P29" s="231">
        <f>'прил. 1  (2)'!$L$26</f>
        <v>17621.899999999998</v>
      </c>
      <c r="Q29" s="231">
        <f>'прил. 1  (2)'!$M$26</f>
        <v>17714.299999999996</v>
      </c>
      <c r="R29" s="219" t="s">
        <v>488</v>
      </c>
      <c r="S29" s="232"/>
      <c r="T29" s="232"/>
      <c r="U29" s="232"/>
      <c r="V29" s="232"/>
      <c r="W29" s="232"/>
      <c r="X29" s="232"/>
      <c r="Y29" s="232"/>
      <c r="Z29" s="232"/>
    </row>
    <row r="30" spans="2:26" ht="70.95" customHeight="1">
      <c r="B30" s="477"/>
      <c r="C30" s="228" t="s">
        <v>500</v>
      </c>
      <c r="D30" s="223" t="s">
        <v>489</v>
      </c>
      <c r="E30" s="466"/>
      <c r="F30" s="224">
        <f>J30</f>
        <v>4635.6000000000004</v>
      </c>
      <c r="G30" s="223"/>
      <c r="H30" s="223"/>
      <c r="I30" s="223"/>
      <c r="J30" s="235">
        <v>4635.6000000000004</v>
      </c>
      <c r="K30" s="231">
        <f>'прил. 1  (2)'!$K$27</f>
        <v>4678.9379999999992</v>
      </c>
      <c r="L30" s="227" t="s">
        <v>348</v>
      </c>
      <c r="M30" s="227" t="s">
        <v>348</v>
      </c>
      <c r="N30" s="227" t="s">
        <v>348</v>
      </c>
      <c r="O30" s="227" t="s">
        <v>348</v>
      </c>
      <c r="P30" s="231">
        <f>'прил. 1  (2)'!$L$27</f>
        <v>4693.137999999999</v>
      </c>
      <c r="Q30" s="231">
        <f>'прил. 1  (2)'!$M$27</f>
        <v>4705.5379999999986</v>
      </c>
      <c r="R30" s="219"/>
      <c r="S30" s="232"/>
      <c r="T30" s="232"/>
      <c r="U30" s="232"/>
      <c r="V30" s="232"/>
      <c r="W30" s="232"/>
      <c r="X30" s="232"/>
      <c r="Y30" s="232"/>
      <c r="Z30" s="232"/>
    </row>
    <row r="31" spans="2:26" ht="52.95" customHeight="1">
      <c r="B31" s="477"/>
      <c r="C31" s="225" t="s">
        <v>499</v>
      </c>
      <c r="D31" s="223" t="s">
        <v>489</v>
      </c>
      <c r="E31" s="466"/>
      <c r="F31" s="224">
        <f>J31</f>
        <v>4690.3</v>
      </c>
      <c r="G31" s="223"/>
      <c r="H31" s="223"/>
      <c r="I31" s="223"/>
      <c r="J31" s="222">
        <v>4690.3</v>
      </c>
      <c r="K31" s="231">
        <f>'прил. 1  (2)'!$K$28</f>
        <v>12858.761999999999</v>
      </c>
      <c r="L31" s="227" t="s">
        <v>348</v>
      </c>
      <c r="M31" s="227" t="s">
        <v>348</v>
      </c>
      <c r="N31" s="227" t="s">
        <v>348</v>
      </c>
      <c r="O31" s="227" t="s">
        <v>348</v>
      </c>
      <c r="P31" s="231">
        <f>'прил. 1  (2)'!$L$28</f>
        <v>12928.761999999999</v>
      </c>
      <c r="Q31" s="231">
        <f>'прил. 1  (2)'!$M$28</f>
        <v>13008.761999999999</v>
      </c>
      <c r="R31" s="219"/>
      <c r="S31" s="232"/>
      <c r="T31" s="232"/>
      <c r="U31" s="232"/>
      <c r="V31" s="232"/>
      <c r="W31" s="232"/>
      <c r="X31" s="232"/>
      <c r="Y31" s="232"/>
      <c r="Z31" s="232"/>
    </row>
    <row r="32" spans="2:26" ht="186" customHeight="1">
      <c r="B32" s="477"/>
      <c r="C32" s="225" t="s">
        <v>503</v>
      </c>
      <c r="D32" s="234" t="s">
        <v>489</v>
      </c>
      <c r="E32" s="466">
        <v>0.05</v>
      </c>
      <c r="F32" s="224"/>
      <c r="G32" s="223"/>
      <c r="H32" s="223"/>
      <c r="I32" s="223"/>
      <c r="J32" s="222">
        <f>J33+J34</f>
        <v>202.7</v>
      </c>
      <c r="K32" s="231">
        <f>'прил. 1  (2)'!$K$29</f>
        <v>260.8</v>
      </c>
      <c r="L32" s="227" t="s">
        <v>348</v>
      </c>
      <c r="M32" s="227" t="s">
        <v>348</v>
      </c>
      <c r="N32" s="227" t="s">
        <v>348</v>
      </c>
      <c r="O32" s="227" t="s">
        <v>348</v>
      </c>
      <c r="P32" s="231">
        <f>'прил. 1  (2)'!$L$29</f>
        <v>184.2</v>
      </c>
      <c r="Q32" s="231">
        <f>'прил. 1  (2)'!$M$29</f>
        <v>192.4</v>
      </c>
      <c r="R32" s="219" t="s">
        <v>502</v>
      </c>
      <c r="S32" s="232"/>
      <c r="T32" s="232"/>
      <c r="U32" s="232"/>
      <c r="V32" s="232"/>
      <c r="W32" s="232"/>
      <c r="X32" s="232"/>
      <c r="Y32" s="232"/>
      <c r="Z32" s="232"/>
    </row>
    <row r="33" spans="1:26" ht="68.25" customHeight="1">
      <c r="B33" s="477"/>
      <c r="C33" s="228" t="s">
        <v>500</v>
      </c>
      <c r="D33" s="234" t="s">
        <v>489</v>
      </c>
      <c r="E33" s="466"/>
      <c r="F33" s="224"/>
      <c r="G33" s="223"/>
      <c r="H33" s="223"/>
      <c r="I33" s="223"/>
      <c r="J33" s="222">
        <f>20+12.7</f>
        <v>32.700000000000003</v>
      </c>
      <c r="K33" s="231">
        <f>'прил. 1  (2)'!$K$30</f>
        <v>100.5</v>
      </c>
      <c r="L33" s="227" t="s">
        <v>348</v>
      </c>
      <c r="M33" s="227" t="s">
        <v>348</v>
      </c>
      <c r="N33" s="227" t="s">
        <v>348</v>
      </c>
      <c r="O33" s="227" t="s">
        <v>348</v>
      </c>
      <c r="P33" s="231">
        <f>'прил. 1  (2)'!$L$30</f>
        <v>64.2</v>
      </c>
      <c r="Q33" s="231">
        <f>'прил. 1  (2)'!$M$30</f>
        <v>62.4</v>
      </c>
      <c r="R33" s="219"/>
      <c r="S33" s="232"/>
      <c r="T33" s="232"/>
      <c r="U33" s="232"/>
      <c r="V33" s="232"/>
      <c r="W33" s="232"/>
      <c r="X33" s="232"/>
      <c r="Y33" s="232"/>
      <c r="Z33" s="232"/>
    </row>
    <row r="34" spans="1:26" ht="68.25" customHeight="1">
      <c r="B34" s="477"/>
      <c r="C34" s="225" t="s">
        <v>499</v>
      </c>
      <c r="D34" s="234" t="s">
        <v>489</v>
      </c>
      <c r="E34" s="466"/>
      <c r="F34" s="224"/>
      <c r="G34" s="223"/>
      <c r="H34" s="223"/>
      <c r="I34" s="223"/>
      <c r="J34" s="222">
        <v>170</v>
      </c>
      <c r="K34" s="231">
        <f>'прил. 1  (2)'!$K$31</f>
        <v>160.30000000000001</v>
      </c>
      <c r="L34" s="227" t="s">
        <v>348</v>
      </c>
      <c r="M34" s="227" t="s">
        <v>348</v>
      </c>
      <c r="N34" s="227" t="s">
        <v>348</v>
      </c>
      <c r="O34" s="227" t="s">
        <v>348</v>
      </c>
      <c r="P34" s="231">
        <f>'прил. 1  (2)'!$L$31</f>
        <v>120</v>
      </c>
      <c r="Q34" s="231">
        <f>'прил. 1  (2)'!$M$31</f>
        <v>130</v>
      </c>
      <c r="R34" s="219"/>
      <c r="S34" s="232"/>
      <c r="T34" s="232"/>
      <c r="U34" s="232"/>
      <c r="V34" s="232"/>
      <c r="W34" s="232"/>
      <c r="X34" s="232"/>
      <c r="Y34" s="232"/>
      <c r="Z34" s="232"/>
    </row>
    <row r="35" spans="1:26" ht="126.6" customHeight="1">
      <c r="B35" s="477"/>
      <c r="C35" s="225" t="s">
        <v>666</v>
      </c>
      <c r="D35" s="234" t="s">
        <v>489</v>
      </c>
      <c r="E35" s="466">
        <v>0.01</v>
      </c>
      <c r="F35" s="224"/>
      <c r="G35" s="223"/>
      <c r="H35" s="223"/>
      <c r="I35" s="223"/>
      <c r="J35" s="222"/>
      <c r="K35" s="231">
        <f>'прил. 1  (2)'!$K$32</f>
        <v>107.3</v>
      </c>
      <c r="L35" s="227"/>
      <c r="M35" s="227"/>
      <c r="N35" s="227"/>
      <c r="O35" s="227"/>
      <c r="P35" s="231">
        <f>'прил. 1  (2)'!$L$32</f>
        <v>53.6</v>
      </c>
      <c r="Q35" s="231">
        <f>'прил. 1  (2)'!$M$32</f>
        <v>86.9</v>
      </c>
      <c r="R35" s="219" t="s">
        <v>488</v>
      </c>
      <c r="S35" s="232"/>
      <c r="T35" s="232"/>
      <c r="U35" s="232"/>
      <c r="V35" s="232"/>
      <c r="W35" s="232"/>
      <c r="X35" s="232"/>
      <c r="Y35" s="232"/>
      <c r="Z35" s="232"/>
    </row>
    <row r="36" spans="1:26" ht="170.4" customHeight="1">
      <c r="B36" s="477"/>
      <c r="C36" s="225" t="s">
        <v>501</v>
      </c>
      <c r="D36" s="234" t="s">
        <v>496</v>
      </c>
      <c r="E36" s="466">
        <v>0.05</v>
      </c>
      <c r="F36" s="224"/>
      <c r="G36" s="223"/>
      <c r="H36" s="223"/>
      <c r="I36" s="223"/>
      <c r="J36" s="233">
        <f>J29/SUM(J19+J41)</f>
        <v>0.36759123857423842</v>
      </c>
      <c r="K36" s="231">
        <v>64.099999999999994</v>
      </c>
      <c r="L36" s="227" t="s">
        <v>348</v>
      </c>
      <c r="M36" s="227" t="s">
        <v>348</v>
      </c>
      <c r="N36" s="227" t="s">
        <v>348</v>
      </c>
      <c r="O36" s="227" t="s">
        <v>348</v>
      </c>
      <c r="P36" s="231">
        <v>64.400000000000006</v>
      </c>
      <c r="Q36" s="231">
        <v>64.7</v>
      </c>
      <c r="R36" s="219" t="s">
        <v>488</v>
      </c>
      <c r="S36" s="232"/>
      <c r="T36" s="232"/>
      <c r="U36" s="232"/>
      <c r="V36" s="232"/>
      <c r="W36" s="232"/>
      <c r="X36" s="232"/>
      <c r="Y36" s="232"/>
      <c r="Z36" s="232"/>
    </row>
    <row r="37" spans="1:26" ht="80.25" customHeight="1">
      <c r="B37" s="477"/>
      <c r="C37" s="228" t="s">
        <v>500</v>
      </c>
      <c r="D37" s="234" t="s">
        <v>496</v>
      </c>
      <c r="E37" s="466"/>
      <c r="F37" s="224"/>
      <c r="G37" s="223"/>
      <c r="H37" s="223"/>
      <c r="I37" s="223"/>
      <c r="J37" s="233">
        <f>J30/J19</f>
        <v>0.36211381478732962</v>
      </c>
      <c r="K37" s="231">
        <v>36.700000000000003</v>
      </c>
      <c r="L37" s="227" t="s">
        <v>348</v>
      </c>
      <c r="M37" s="227" t="s">
        <v>348</v>
      </c>
      <c r="N37" s="227" t="s">
        <v>348</v>
      </c>
      <c r="O37" s="227" t="s">
        <v>348</v>
      </c>
      <c r="P37" s="231">
        <v>36.799999999999997</v>
      </c>
      <c r="Q37" s="231">
        <v>36.9</v>
      </c>
      <c r="R37" s="219"/>
      <c r="S37" s="232"/>
      <c r="T37" s="232"/>
      <c r="U37" s="232"/>
      <c r="V37" s="232"/>
      <c r="W37" s="232"/>
      <c r="X37" s="232"/>
      <c r="Y37" s="232"/>
      <c r="Z37" s="232"/>
    </row>
    <row r="38" spans="1:26" ht="57" customHeight="1">
      <c r="B38" s="477"/>
      <c r="C38" s="225" t="s">
        <v>499</v>
      </c>
      <c r="D38" s="234" t="s">
        <v>496</v>
      </c>
      <c r="E38" s="466"/>
      <c r="F38" s="224"/>
      <c r="G38" s="223"/>
      <c r="H38" s="223"/>
      <c r="I38" s="223"/>
      <c r="J38" s="233">
        <f>J31/J41</f>
        <v>0.37317007192412965</v>
      </c>
      <c r="K38" s="226">
        <v>87.9</v>
      </c>
      <c r="L38" s="227" t="s">
        <v>348</v>
      </c>
      <c r="M38" s="227" t="s">
        <v>348</v>
      </c>
      <c r="N38" s="227" t="s">
        <v>348</v>
      </c>
      <c r="O38" s="227" t="s">
        <v>348</v>
      </c>
      <c r="P38" s="226">
        <v>88.4</v>
      </c>
      <c r="Q38" s="226">
        <v>88.9</v>
      </c>
      <c r="R38" s="219"/>
      <c r="S38" s="232"/>
      <c r="T38" s="232"/>
      <c r="U38" s="232"/>
      <c r="V38" s="232"/>
      <c r="W38" s="232"/>
      <c r="X38" s="232"/>
      <c r="Y38" s="232"/>
      <c r="Z38" s="232"/>
    </row>
    <row r="39" spans="1:26" ht="97.2" customHeight="1">
      <c r="B39" s="477"/>
      <c r="C39" s="229" t="s">
        <v>498</v>
      </c>
      <c r="D39" s="223" t="s">
        <v>496</v>
      </c>
      <c r="E39" s="466">
        <v>0.05</v>
      </c>
      <c r="F39" s="224">
        <f t="shared" ref="F39:F44" si="0">J39</f>
        <v>54</v>
      </c>
      <c r="G39" s="223"/>
      <c r="H39" s="223"/>
      <c r="I39" s="223"/>
      <c r="J39" s="231">
        <v>54</v>
      </c>
      <c r="K39" s="227">
        <v>49.25</v>
      </c>
      <c r="L39" s="227" t="s">
        <v>348</v>
      </c>
      <c r="M39" s="227" t="s">
        <v>348</v>
      </c>
      <c r="N39" s="227" t="s">
        <v>348</v>
      </c>
      <c r="O39" s="227" t="s">
        <v>348</v>
      </c>
      <c r="P39" s="230">
        <v>49.24</v>
      </c>
      <c r="Q39" s="230">
        <v>49.230000000000004</v>
      </c>
      <c r="R39" s="219" t="s">
        <v>488</v>
      </c>
    </row>
    <row r="40" spans="1:26" ht="153.75" customHeight="1">
      <c r="B40" s="477"/>
      <c r="C40" s="229" t="s">
        <v>497</v>
      </c>
      <c r="D40" s="223" t="s">
        <v>496</v>
      </c>
      <c r="E40" s="466">
        <v>0.05</v>
      </c>
      <c r="F40" s="224">
        <f t="shared" si="0"/>
        <v>18.5</v>
      </c>
      <c r="G40" s="223"/>
      <c r="H40" s="223"/>
      <c r="I40" s="223"/>
      <c r="J40" s="223">
        <v>18.5</v>
      </c>
      <c r="K40" s="223">
        <v>23.5</v>
      </c>
      <c r="L40" s="227" t="s">
        <v>348</v>
      </c>
      <c r="M40" s="227" t="s">
        <v>348</v>
      </c>
      <c r="N40" s="227" t="s">
        <v>348</v>
      </c>
      <c r="O40" s="227" t="s">
        <v>348</v>
      </c>
      <c r="P40" s="226">
        <v>23.2</v>
      </c>
      <c r="Q40" s="226">
        <v>22.9</v>
      </c>
      <c r="R40" s="219" t="s">
        <v>488</v>
      </c>
    </row>
    <row r="41" spans="1:26" ht="104.25" customHeight="1">
      <c r="B41" s="477"/>
      <c r="C41" s="228" t="s">
        <v>495</v>
      </c>
      <c r="D41" s="223" t="s">
        <v>489</v>
      </c>
      <c r="E41" s="466">
        <v>0.05</v>
      </c>
      <c r="F41" s="224">
        <f t="shared" si="0"/>
        <v>12568.8</v>
      </c>
      <c r="G41" s="223"/>
      <c r="H41" s="223"/>
      <c r="I41" s="223"/>
      <c r="J41" s="222">
        <v>12568.8</v>
      </c>
      <c r="K41" s="231">
        <f>'прил. 1  (2)'!$K$38</f>
        <v>14621.962</v>
      </c>
      <c r="L41" s="227" t="s">
        <v>348</v>
      </c>
      <c r="M41" s="227" t="s">
        <v>348</v>
      </c>
      <c r="N41" s="227" t="s">
        <v>348</v>
      </c>
      <c r="O41" s="227" t="s">
        <v>348</v>
      </c>
      <c r="P41" s="226">
        <f>'прил. 1  (2)'!$L$38</f>
        <v>14625.062</v>
      </c>
      <c r="Q41" s="226">
        <f>'прил. 1  (2)'!$M$38</f>
        <v>14628.262000000001</v>
      </c>
      <c r="R41" s="219" t="s">
        <v>488</v>
      </c>
    </row>
    <row r="42" spans="1:26" ht="123" customHeight="1">
      <c r="B42" s="477"/>
      <c r="C42" s="225" t="s">
        <v>494</v>
      </c>
      <c r="D42" s="223" t="s">
        <v>489</v>
      </c>
      <c r="E42" s="466">
        <v>0.05</v>
      </c>
      <c r="F42" s="224">
        <f t="shared" si="0"/>
        <v>10.5</v>
      </c>
      <c r="G42" s="223"/>
      <c r="H42" s="223"/>
      <c r="I42" s="223"/>
      <c r="J42" s="222">
        <v>10.5</v>
      </c>
      <c r="K42" s="223">
        <f>'прил. 1  (2)'!$K$39</f>
        <v>15.399999999999999</v>
      </c>
      <c r="L42" s="227" t="s">
        <v>348</v>
      </c>
      <c r="M42" s="227" t="s">
        <v>348</v>
      </c>
      <c r="N42" s="227" t="s">
        <v>348</v>
      </c>
      <c r="O42" s="227" t="s">
        <v>348</v>
      </c>
      <c r="P42" s="226">
        <f>'прил. 1  (2)'!$L$39</f>
        <v>9.6</v>
      </c>
      <c r="Q42" s="226">
        <f>'прил. 1  (2)'!$M$39</f>
        <v>10</v>
      </c>
      <c r="R42" s="219" t="s">
        <v>488</v>
      </c>
    </row>
    <row r="43" spans="1:26" ht="129" customHeight="1">
      <c r="B43" s="477"/>
      <c r="C43" s="225" t="s">
        <v>493</v>
      </c>
      <c r="D43" s="223" t="s">
        <v>489</v>
      </c>
      <c r="E43" s="466">
        <v>0.05</v>
      </c>
      <c r="F43" s="224">
        <f t="shared" si="0"/>
        <v>3</v>
      </c>
      <c r="G43" s="223"/>
      <c r="H43" s="223"/>
      <c r="I43" s="223"/>
      <c r="J43" s="222">
        <v>3</v>
      </c>
      <c r="K43" s="223">
        <v>3.7</v>
      </c>
      <c r="L43" s="227" t="s">
        <v>348</v>
      </c>
      <c r="M43" s="227" t="s">
        <v>348</v>
      </c>
      <c r="N43" s="227" t="s">
        <v>348</v>
      </c>
      <c r="O43" s="227" t="s">
        <v>348</v>
      </c>
      <c r="P43" s="226">
        <v>3.1</v>
      </c>
      <c r="Q43" s="226">
        <v>3.2</v>
      </c>
      <c r="R43" s="219" t="s">
        <v>488</v>
      </c>
    </row>
    <row r="44" spans="1:26" ht="193.2" customHeight="1">
      <c r="B44" s="477"/>
      <c r="C44" s="225" t="s">
        <v>492</v>
      </c>
      <c r="D44" s="223" t="s">
        <v>489</v>
      </c>
      <c r="E44" s="466">
        <v>0.05</v>
      </c>
      <c r="F44" s="224">
        <f t="shared" si="0"/>
        <v>7.5</v>
      </c>
      <c r="G44" s="223"/>
      <c r="H44" s="223"/>
      <c r="I44" s="223"/>
      <c r="J44" s="222">
        <v>7.5</v>
      </c>
      <c r="K44" s="223">
        <f>'прил. 1  (2)'!$K$41</f>
        <v>11.7</v>
      </c>
      <c r="L44" s="227" t="s">
        <v>348</v>
      </c>
      <c r="M44" s="227" t="s">
        <v>348</v>
      </c>
      <c r="N44" s="227" t="s">
        <v>348</v>
      </c>
      <c r="O44" s="227" t="s">
        <v>348</v>
      </c>
      <c r="P44" s="226">
        <f>'прил. 1  (2)'!$L$41</f>
        <v>6.5</v>
      </c>
      <c r="Q44" s="226">
        <f>'прил. 1  (2)'!$M$41</f>
        <v>6.8</v>
      </c>
      <c r="R44" s="219" t="s">
        <v>488</v>
      </c>
    </row>
    <row r="45" spans="1:26" ht="193.2" customHeight="1">
      <c r="B45" s="477"/>
      <c r="C45" s="225" t="s">
        <v>491</v>
      </c>
      <c r="D45" s="223" t="s">
        <v>489</v>
      </c>
      <c r="E45" s="466">
        <v>0.02</v>
      </c>
      <c r="F45" s="224"/>
      <c r="G45" s="223"/>
      <c r="H45" s="223"/>
      <c r="I45" s="223"/>
      <c r="J45" s="222"/>
      <c r="K45" s="221">
        <f>'прил. 1  (2)'!$K$42</f>
        <v>4042.6110000000003</v>
      </c>
      <c r="L45" s="221"/>
      <c r="M45" s="221"/>
      <c r="N45" s="221"/>
      <c r="O45" s="221"/>
      <c r="P45" s="220">
        <f>'прил. 1  (2)'!$L$42</f>
        <v>4052.6110000000003</v>
      </c>
      <c r="Q45" s="220">
        <f>'прил. 1  (2)'!$M$42</f>
        <v>4062.6110000000003</v>
      </c>
      <c r="R45" s="219" t="s">
        <v>488</v>
      </c>
    </row>
    <row r="46" spans="1:26" ht="113.4" customHeight="1">
      <c r="B46" s="478"/>
      <c r="C46" s="218" t="s">
        <v>490</v>
      </c>
      <c r="D46" s="217" t="s">
        <v>489</v>
      </c>
      <c r="E46" s="217">
        <v>0.02</v>
      </c>
      <c r="F46" s="217">
        <v>7.5</v>
      </c>
      <c r="G46" s="217"/>
      <c r="H46" s="217"/>
      <c r="I46" s="217"/>
      <c r="J46" s="217">
        <v>7.5</v>
      </c>
      <c r="K46" s="216">
        <f>'прил. 1  (2)'!$K$43</f>
        <v>6072.1729999999998</v>
      </c>
      <c r="L46" s="216" t="s">
        <v>348</v>
      </c>
      <c r="M46" s="216" t="s">
        <v>348</v>
      </c>
      <c r="N46" s="216" t="s">
        <v>348</v>
      </c>
      <c r="O46" s="216" t="s">
        <v>348</v>
      </c>
      <c r="P46" s="216">
        <f>'прил. 1  (2)'!$L$43</f>
        <v>6057.1729999999998</v>
      </c>
      <c r="Q46" s="216">
        <f>'прил. 1  (2)'!$M$43</f>
        <v>6042.1729999999998</v>
      </c>
      <c r="R46" s="215" t="s">
        <v>488</v>
      </c>
    </row>
    <row r="47" spans="1:26" ht="0.6" customHeight="1">
      <c r="A47" s="213"/>
      <c r="B47" s="214"/>
      <c r="C47" s="213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</row>
    <row r="48" spans="1:26">
      <c r="B48" s="211"/>
      <c r="C48" s="210"/>
    </row>
    <row r="49" spans="1:18">
      <c r="A49" s="471" t="s">
        <v>487</v>
      </c>
      <c r="B49" s="471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</row>
    <row r="50" spans="1:18" ht="37.200000000000003" customHeight="1">
      <c r="A50" s="471"/>
      <c r="B50" s="471"/>
      <c r="C50" s="471"/>
      <c r="D50" s="471"/>
      <c r="E50" s="471"/>
      <c r="F50" s="471"/>
      <c r="G50" s="471"/>
      <c r="H50" s="471"/>
      <c r="I50" s="471"/>
      <c r="J50" s="471"/>
      <c r="K50" s="471"/>
      <c r="L50" s="471"/>
      <c r="M50" s="471"/>
      <c r="N50" s="471"/>
      <c r="O50" s="471"/>
      <c r="P50" s="471"/>
      <c r="Q50" s="471"/>
      <c r="R50" s="471"/>
    </row>
  </sheetData>
  <mergeCells count="23">
    <mergeCell ref="K1:R1"/>
    <mergeCell ref="B4:R4"/>
    <mergeCell ref="B5:R5"/>
    <mergeCell ref="K6:R6"/>
    <mergeCell ref="B7:R7"/>
    <mergeCell ref="B8:R8"/>
    <mergeCell ref="B9:R9"/>
    <mergeCell ref="B11:B13"/>
    <mergeCell ref="C11:C13"/>
    <mergeCell ref="D11:D13"/>
    <mergeCell ref="E11:E13"/>
    <mergeCell ref="F11:F13"/>
    <mergeCell ref="G11:J12"/>
    <mergeCell ref="K11:K13"/>
    <mergeCell ref="L11:O12"/>
    <mergeCell ref="P11:P13"/>
    <mergeCell ref="A49:R50"/>
    <mergeCell ref="Q11:Q13"/>
    <mergeCell ref="R11:R13"/>
    <mergeCell ref="B15:R15"/>
    <mergeCell ref="B16:R16"/>
    <mergeCell ref="B17:B18"/>
    <mergeCell ref="B29:B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32"/>
  <sheetViews>
    <sheetView tabSelected="1" view="pageBreakPreview" topLeftCell="A382" zoomScale="80" zoomScaleNormal="90" zoomScaleSheetLayoutView="80" workbookViewId="0">
      <selection activeCell="Q417" sqref="Q417:Q420"/>
    </sheetView>
  </sheetViews>
  <sheetFormatPr defaultColWidth="8.88671875" defaultRowHeight="13.8"/>
  <cols>
    <col min="1" max="1" width="39.44140625" style="11" customWidth="1"/>
    <col min="2" max="2" width="20.6640625" style="37" customWidth="1"/>
    <col min="3" max="3" width="7.5546875" style="11" customWidth="1"/>
    <col min="4" max="4" width="9" style="11" bestFit="1" customWidth="1"/>
    <col min="5" max="5" width="12.33203125" style="11" customWidth="1"/>
    <col min="6" max="6" width="7.5546875" style="11" customWidth="1"/>
    <col min="7" max="7" width="14.44140625" style="11" hidden="1" customWidth="1"/>
    <col min="8" max="11" width="13.5546875" style="11" hidden="1" customWidth="1"/>
    <col min="12" max="12" width="0.109375" style="11" hidden="1" customWidth="1"/>
    <col min="13" max="13" width="13.6640625" style="11" hidden="1" customWidth="1"/>
    <col min="14" max="14" width="11.44140625" style="11" hidden="1" customWidth="1"/>
    <col min="15" max="15" width="14.6640625" style="11" hidden="1" customWidth="1"/>
    <col min="16" max="16" width="12.109375" style="11" hidden="1" customWidth="1"/>
    <col min="17" max="21" width="13.5546875" style="109" customWidth="1"/>
    <col min="22" max="23" width="16.109375" style="11" customWidth="1"/>
    <col min="24" max="24" width="12.5546875" style="11" customWidth="1"/>
    <col min="25" max="25" width="19.5546875" style="11" customWidth="1"/>
    <col min="26" max="26" width="17.44140625" style="11" customWidth="1"/>
    <col min="27" max="27" width="12.88671875" style="11" hidden="1" customWidth="1"/>
    <col min="28" max="28" width="11.5546875" style="11" hidden="1" customWidth="1"/>
    <col min="29" max="29" width="10.6640625" style="11" hidden="1" customWidth="1"/>
    <col min="30" max="30" width="9.109375" style="11" hidden="1" customWidth="1"/>
    <col min="31" max="16384" width="8.88671875" style="11"/>
  </cols>
  <sheetData>
    <row r="1" spans="1:25" ht="37.200000000000003" customHeight="1">
      <c r="V1" s="526" t="s">
        <v>609</v>
      </c>
      <c r="W1" s="526"/>
      <c r="X1" s="526"/>
      <c r="Y1" s="526"/>
    </row>
    <row r="2" spans="1:25" ht="22.95" customHeight="1">
      <c r="Y2" s="27" t="s">
        <v>94</v>
      </c>
    </row>
    <row r="3" spans="1:25" ht="20.399999999999999" customHeight="1">
      <c r="A3" s="511" t="s">
        <v>216</v>
      </c>
      <c r="B3" s="511"/>
      <c r="C3" s="511"/>
      <c r="D3" s="511"/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1"/>
    </row>
    <row r="4" spans="1:25" ht="26.4" customHeight="1">
      <c r="A4" s="511" t="s">
        <v>217</v>
      </c>
      <c r="B4" s="511"/>
      <c r="C4" s="511"/>
      <c r="D4" s="511"/>
      <c r="E4" s="511"/>
      <c r="F4" s="511"/>
      <c r="G4" s="511"/>
      <c r="H4" s="511"/>
      <c r="I4" s="511"/>
      <c r="J4" s="511"/>
      <c r="K4" s="511"/>
      <c r="L4" s="511"/>
      <c r="M4" s="511"/>
      <c r="N4" s="511"/>
      <c r="O4" s="511"/>
      <c r="P4" s="511"/>
      <c r="Q4" s="511"/>
      <c r="R4" s="511"/>
      <c r="S4" s="511"/>
      <c r="T4" s="511"/>
      <c r="U4" s="511"/>
      <c r="V4" s="511"/>
      <c r="W4" s="511"/>
      <c r="X4" s="511"/>
      <c r="Y4" s="511"/>
    </row>
    <row r="5" spans="1:25" ht="45" customHeight="1">
      <c r="A5" s="511" t="s">
        <v>283</v>
      </c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1"/>
      <c r="N5" s="511"/>
      <c r="O5" s="511"/>
      <c r="P5" s="511"/>
      <c r="Q5" s="511"/>
      <c r="R5" s="511"/>
      <c r="S5" s="511"/>
      <c r="T5" s="511"/>
      <c r="U5" s="511"/>
      <c r="V5" s="511"/>
      <c r="W5" s="511"/>
      <c r="X5" s="511"/>
      <c r="Y5" s="511"/>
    </row>
    <row r="6" spans="1:25" ht="26.4" customHeight="1">
      <c r="A6" s="511" t="s">
        <v>443</v>
      </c>
      <c r="B6" s="511"/>
      <c r="C6" s="511"/>
      <c r="D6" s="511"/>
      <c r="E6" s="511"/>
      <c r="F6" s="511"/>
      <c r="G6" s="511"/>
      <c r="H6" s="511"/>
      <c r="I6" s="511"/>
      <c r="J6" s="511"/>
      <c r="K6" s="511"/>
      <c r="L6" s="511"/>
      <c r="M6" s="511"/>
      <c r="N6" s="511"/>
      <c r="O6" s="511"/>
      <c r="P6" s="511"/>
      <c r="Q6" s="511"/>
      <c r="R6" s="511"/>
      <c r="S6" s="511"/>
      <c r="T6" s="511"/>
      <c r="U6" s="511"/>
      <c r="V6" s="511"/>
      <c r="W6" s="511"/>
      <c r="X6" s="511"/>
      <c r="Y6" s="511"/>
    </row>
    <row r="7" spans="1:25">
      <c r="A7" s="28"/>
    </row>
    <row r="8" spans="1:25" ht="21" customHeight="1">
      <c r="A8" s="472" t="s">
        <v>0</v>
      </c>
      <c r="B8" s="492" t="s">
        <v>1</v>
      </c>
      <c r="C8" s="512" t="s">
        <v>151</v>
      </c>
      <c r="D8" s="513"/>
      <c r="E8" s="513"/>
      <c r="F8" s="514"/>
      <c r="G8" s="512" t="s">
        <v>152</v>
      </c>
      <c r="H8" s="472" t="s">
        <v>153</v>
      </c>
      <c r="I8" s="472"/>
      <c r="J8" s="472"/>
      <c r="K8" s="472"/>
      <c r="L8" s="472" t="s">
        <v>8</v>
      </c>
      <c r="M8" s="472" t="s">
        <v>333</v>
      </c>
      <c r="N8" s="472"/>
      <c r="O8" s="472"/>
      <c r="P8" s="472"/>
      <c r="Q8" s="519" t="s">
        <v>9</v>
      </c>
      <c r="R8" s="520" t="s">
        <v>519</v>
      </c>
      <c r="S8" s="521"/>
      <c r="T8" s="521"/>
      <c r="U8" s="522"/>
      <c r="V8" s="472" t="s">
        <v>288</v>
      </c>
      <c r="W8" s="492" t="s">
        <v>370</v>
      </c>
      <c r="X8" s="472" t="s">
        <v>2</v>
      </c>
      <c r="Y8" s="472" t="s">
        <v>3</v>
      </c>
    </row>
    <row r="9" spans="1:25">
      <c r="A9" s="472"/>
      <c r="B9" s="493"/>
      <c r="C9" s="515"/>
      <c r="D9" s="516"/>
      <c r="E9" s="516"/>
      <c r="F9" s="517"/>
      <c r="G9" s="518"/>
      <c r="H9" s="472"/>
      <c r="I9" s="472"/>
      <c r="J9" s="472"/>
      <c r="K9" s="472"/>
      <c r="L9" s="472"/>
      <c r="M9" s="472"/>
      <c r="N9" s="472"/>
      <c r="O9" s="472"/>
      <c r="P9" s="472"/>
      <c r="Q9" s="519"/>
      <c r="R9" s="523"/>
      <c r="S9" s="524"/>
      <c r="T9" s="524"/>
      <c r="U9" s="525"/>
      <c r="V9" s="472"/>
      <c r="W9" s="493"/>
      <c r="X9" s="472"/>
      <c r="Y9" s="472"/>
    </row>
    <row r="10" spans="1:25" ht="16.2" customHeight="1">
      <c r="A10" s="472"/>
      <c r="B10" s="494"/>
      <c r="C10" s="63" t="s">
        <v>4</v>
      </c>
      <c r="D10" s="63" t="s">
        <v>5</v>
      </c>
      <c r="E10" s="63" t="s">
        <v>6</v>
      </c>
      <c r="F10" s="63" t="s">
        <v>7</v>
      </c>
      <c r="G10" s="515"/>
      <c r="H10" s="63" t="s">
        <v>154</v>
      </c>
      <c r="I10" s="63" t="s">
        <v>155</v>
      </c>
      <c r="J10" s="63" t="s">
        <v>156</v>
      </c>
      <c r="K10" s="63" t="s">
        <v>157</v>
      </c>
      <c r="L10" s="472"/>
      <c r="M10" s="63" t="s">
        <v>154</v>
      </c>
      <c r="N10" s="63" t="s">
        <v>155</v>
      </c>
      <c r="O10" s="63" t="s">
        <v>156</v>
      </c>
      <c r="P10" s="63" t="s">
        <v>157</v>
      </c>
      <c r="Q10" s="519"/>
      <c r="R10" s="394" t="s">
        <v>154</v>
      </c>
      <c r="S10" s="394" t="s">
        <v>155</v>
      </c>
      <c r="T10" s="394" t="s">
        <v>156</v>
      </c>
      <c r="U10" s="394" t="s">
        <v>157</v>
      </c>
      <c r="V10" s="472"/>
      <c r="W10" s="494"/>
      <c r="X10" s="472"/>
      <c r="Y10" s="472"/>
    </row>
    <row r="11" spans="1:25" ht="14.4" customHeight="1">
      <c r="A11" s="63">
        <v>1</v>
      </c>
      <c r="B11" s="63">
        <v>2</v>
      </c>
      <c r="C11" s="63">
        <v>3</v>
      </c>
      <c r="D11" s="63">
        <v>4</v>
      </c>
      <c r="E11" s="63">
        <v>5</v>
      </c>
      <c r="F11" s="63">
        <v>6</v>
      </c>
      <c r="G11" s="63">
        <v>7</v>
      </c>
      <c r="H11" s="63">
        <v>8</v>
      </c>
      <c r="I11" s="63">
        <v>9</v>
      </c>
      <c r="J11" s="63">
        <v>10</v>
      </c>
      <c r="K11" s="63">
        <v>11</v>
      </c>
      <c r="L11" s="63">
        <v>7</v>
      </c>
      <c r="M11" s="63">
        <v>8</v>
      </c>
      <c r="N11" s="63">
        <v>9</v>
      </c>
      <c r="O11" s="63">
        <v>10</v>
      </c>
      <c r="P11" s="63">
        <v>11</v>
      </c>
      <c r="Q11" s="110">
        <v>7</v>
      </c>
      <c r="R11" s="394">
        <v>8</v>
      </c>
      <c r="S11" s="394">
        <v>9</v>
      </c>
      <c r="T11" s="394">
        <v>10</v>
      </c>
      <c r="U11" s="394">
        <v>11</v>
      </c>
      <c r="V11" s="63">
        <v>12</v>
      </c>
      <c r="W11" s="159">
        <v>13</v>
      </c>
      <c r="X11" s="63">
        <v>14</v>
      </c>
      <c r="Y11" s="63">
        <v>15</v>
      </c>
    </row>
    <row r="12" spans="1:25" ht="28.2" customHeight="1">
      <c r="A12" s="483" t="s">
        <v>349</v>
      </c>
      <c r="B12" s="483"/>
      <c r="C12" s="483"/>
      <c r="D12" s="483"/>
      <c r="E12" s="483"/>
      <c r="F12" s="483"/>
      <c r="G12" s="483"/>
      <c r="H12" s="483"/>
      <c r="I12" s="483"/>
      <c r="J12" s="483"/>
      <c r="K12" s="483"/>
      <c r="L12" s="483"/>
      <c r="M12" s="483"/>
      <c r="N12" s="483"/>
      <c r="O12" s="483"/>
      <c r="P12" s="483"/>
      <c r="Q12" s="483"/>
      <c r="R12" s="483"/>
      <c r="S12" s="483"/>
      <c r="T12" s="483"/>
      <c r="U12" s="483"/>
      <c r="V12" s="483"/>
      <c r="W12" s="483"/>
      <c r="X12" s="483"/>
      <c r="Y12" s="483"/>
    </row>
    <row r="13" spans="1:25" ht="24.6" customHeight="1">
      <c r="A13" s="483" t="s">
        <v>235</v>
      </c>
      <c r="B13" s="483"/>
      <c r="C13" s="483"/>
      <c r="D13" s="483"/>
      <c r="E13" s="483"/>
      <c r="F13" s="483"/>
      <c r="G13" s="483"/>
      <c r="H13" s="483"/>
      <c r="I13" s="483"/>
      <c r="J13" s="483"/>
      <c r="K13" s="483"/>
      <c r="L13" s="483"/>
      <c r="M13" s="483"/>
      <c r="N13" s="483"/>
      <c r="O13" s="483"/>
      <c r="P13" s="483"/>
      <c r="Q13" s="483"/>
      <c r="R13" s="483"/>
      <c r="S13" s="483"/>
      <c r="T13" s="483"/>
      <c r="U13" s="483"/>
      <c r="V13" s="483"/>
      <c r="W13" s="483"/>
      <c r="X13" s="483"/>
      <c r="Y13" s="483"/>
    </row>
    <row r="14" spans="1:25" ht="0.6" hidden="1" customHeight="1">
      <c r="A14" s="487"/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</row>
    <row r="15" spans="1:25" ht="136.19999999999999" hidden="1" customHeight="1">
      <c r="A15" s="51" t="s">
        <v>13</v>
      </c>
      <c r="B15" s="63"/>
      <c r="C15" s="63">
        <v>176</v>
      </c>
      <c r="D15" s="63" t="s">
        <v>16</v>
      </c>
      <c r="E15" s="63" t="s">
        <v>17</v>
      </c>
      <c r="F15" s="63" t="s">
        <v>29</v>
      </c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110"/>
      <c r="R15" s="394"/>
      <c r="S15" s="394"/>
      <c r="T15" s="394"/>
      <c r="U15" s="394"/>
      <c r="V15" s="63"/>
      <c r="W15" s="159"/>
      <c r="X15" s="63"/>
      <c r="Y15" s="62"/>
    </row>
    <row r="16" spans="1:25" ht="26.4" customHeight="1">
      <c r="A16" s="488" t="s">
        <v>236</v>
      </c>
      <c r="B16" s="12" t="s">
        <v>196</v>
      </c>
      <c r="C16" s="12"/>
      <c r="D16" s="12"/>
      <c r="E16" s="12"/>
      <c r="F16" s="12"/>
      <c r="G16" s="34" t="e">
        <f>K16</f>
        <v>#REF!</v>
      </c>
      <c r="H16" s="12"/>
      <c r="I16" s="12"/>
      <c r="J16" s="12"/>
      <c r="K16" s="34" t="e">
        <f>#REF!</f>
        <v>#REF!</v>
      </c>
      <c r="L16" s="85">
        <f>'Подробный перечень'!L11</f>
        <v>44.215000000000011</v>
      </c>
      <c r="M16" s="85"/>
      <c r="N16" s="85"/>
      <c r="O16" s="85"/>
      <c r="P16" s="85"/>
      <c r="Q16" s="111">
        <f>'Подробный перечень'!$Q$11</f>
        <v>39.099999999999994</v>
      </c>
      <c r="R16" s="111"/>
      <c r="S16" s="111"/>
      <c r="T16" s="111"/>
      <c r="U16" s="111"/>
      <c r="V16" s="85">
        <f>'Подробный перечень'!$V$11</f>
        <v>10.199999999999999</v>
      </c>
      <c r="W16" s="85">
        <f>'Подробный перечень'!W11</f>
        <v>5.8</v>
      </c>
      <c r="X16" s="489" t="s">
        <v>27</v>
      </c>
      <c r="Y16" s="489" t="s">
        <v>694</v>
      </c>
    </row>
    <row r="17" spans="1:26" ht="44.25" customHeight="1">
      <c r="A17" s="488"/>
      <c r="B17" s="12" t="s">
        <v>223</v>
      </c>
      <c r="C17" s="12"/>
      <c r="D17" s="12"/>
      <c r="E17" s="12"/>
      <c r="F17" s="12"/>
      <c r="G17" s="13" t="e">
        <f>G18/G16</f>
        <v>#REF!</v>
      </c>
      <c r="H17" s="13"/>
      <c r="I17" s="13"/>
      <c r="J17" s="13"/>
      <c r="K17" s="13" t="e">
        <f>G17</f>
        <v>#REF!</v>
      </c>
      <c r="L17" s="60">
        <f>L18/L16</f>
        <v>29893.618002940173</v>
      </c>
      <c r="M17" s="60"/>
      <c r="N17" s="60"/>
      <c r="O17" s="60"/>
      <c r="P17" s="60"/>
      <c r="Q17" s="112">
        <f>(Q18)/Q16</f>
        <v>46128.942710997449</v>
      </c>
      <c r="R17" s="112"/>
      <c r="S17" s="112"/>
      <c r="T17" s="112"/>
      <c r="U17" s="112"/>
      <c r="V17" s="112">
        <f>V18/V16</f>
        <v>116687.88235294117</v>
      </c>
      <c r="W17" s="112">
        <f>W18/W16</f>
        <v>188382.8448275862</v>
      </c>
      <c r="X17" s="490"/>
      <c r="Y17" s="490"/>
    </row>
    <row r="18" spans="1:26" ht="30.75" customHeight="1">
      <c r="A18" s="488"/>
      <c r="B18" s="12" t="s">
        <v>26</v>
      </c>
      <c r="C18" s="12">
        <v>176</v>
      </c>
      <c r="D18" s="12" t="s">
        <v>16</v>
      </c>
      <c r="E18" s="12" t="s">
        <v>330</v>
      </c>
      <c r="F18" s="12">
        <v>414</v>
      </c>
      <c r="G18" s="13" t="e">
        <f>G21+G22+G25+G26</f>
        <v>#REF!</v>
      </c>
      <c r="H18" s="13" t="e">
        <f t="shared" ref="H18:K18" si="0">H21+H22+H25+H26</f>
        <v>#REF!</v>
      </c>
      <c r="I18" s="13" t="e">
        <f>I21+I22+I25+I26</f>
        <v>#REF!</v>
      </c>
      <c r="J18" s="13" t="e">
        <f t="shared" si="0"/>
        <v>#REF!</v>
      </c>
      <c r="K18" s="13" t="e">
        <f t="shared" si="0"/>
        <v>#REF!</v>
      </c>
      <c r="L18" s="60">
        <f>L21+L22+L25+L26</f>
        <v>1321746.32</v>
      </c>
      <c r="M18" s="60"/>
      <c r="N18" s="60"/>
      <c r="O18" s="60"/>
      <c r="P18" s="60"/>
      <c r="Q18" s="112">
        <f>SUM(Q20:Q24)</f>
        <v>1803641.6600000001</v>
      </c>
      <c r="R18" s="112">
        <f t="shared" ref="R18:U18" si="1">SUM(R20:R24)</f>
        <v>23768.053</v>
      </c>
      <c r="S18" s="112">
        <f t="shared" si="1"/>
        <v>172055.56</v>
      </c>
      <c r="T18" s="112">
        <f t="shared" si="1"/>
        <v>975481.23100000003</v>
      </c>
      <c r="U18" s="112">
        <f t="shared" si="1"/>
        <v>632336.81599999999</v>
      </c>
      <c r="V18" s="112">
        <f>SUM(V20:V24)</f>
        <v>1190216.3999999999</v>
      </c>
      <c r="W18" s="112">
        <f>SUM(W20:W24)</f>
        <v>1092620.5</v>
      </c>
      <c r="X18" s="490"/>
      <c r="Y18" s="490"/>
    </row>
    <row r="19" spans="1:26">
      <c r="A19" s="488"/>
      <c r="B19" s="12" t="s">
        <v>10</v>
      </c>
      <c r="C19" s="12"/>
      <c r="D19" s="12"/>
      <c r="E19" s="12"/>
      <c r="F19" s="12"/>
      <c r="G19" s="13"/>
      <c r="H19" s="13"/>
      <c r="I19" s="13"/>
      <c r="J19" s="13"/>
      <c r="K19" s="13"/>
      <c r="L19" s="60"/>
      <c r="M19" s="60"/>
      <c r="N19" s="60"/>
      <c r="O19" s="60"/>
      <c r="P19" s="60"/>
      <c r="Q19" s="112"/>
      <c r="R19" s="112"/>
      <c r="S19" s="112"/>
      <c r="T19" s="112"/>
      <c r="U19" s="112"/>
      <c r="V19" s="60"/>
      <c r="W19" s="60"/>
      <c r="X19" s="490"/>
      <c r="Y19" s="490"/>
    </row>
    <row r="20" spans="1:26" ht="32.4" customHeight="1">
      <c r="A20" s="488"/>
      <c r="B20" s="12" t="s">
        <v>11</v>
      </c>
      <c r="C20" s="12">
        <v>176</v>
      </c>
      <c r="D20" s="12" t="s">
        <v>16</v>
      </c>
      <c r="E20" s="12">
        <v>6100004040</v>
      </c>
      <c r="F20" s="12">
        <v>414</v>
      </c>
      <c r="G20" s="13"/>
      <c r="H20" s="13"/>
      <c r="I20" s="13"/>
      <c r="J20" s="13"/>
      <c r="K20" s="13"/>
      <c r="L20" s="60"/>
      <c r="M20" s="60"/>
      <c r="N20" s="60"/>
      <c r="O20" s="60"/>
      <c r="P20" s="60"/>
      <c r="Q20" s="112">
        <f>Q29+Q36+Q40+Q43+Q44+Q49+Q55+Q63+Q65</f>
        <v>1151917.26</v>
      </c>
      <c r="R20" s="112">
        <f t="shared" ref="R20:U20" si="2">R29+R36+R40+R43+R44+R49+R55+R63+R65</f>
        <v>23768.053</v>
      </c>
      <c r="S20" s="112">
        <f t="shared" si="2"/>
        <v>172055.56</v>
      </c>
      <c r="T20" s="112">
        <f t="shared" si="2"/>
        <v>638934.25100000005</v>
      </c>
      <c r="U20" s="112">
        <f t="shared" si="2"/>
        <v>317159.39600000001</v>
      </c>
      <c r="V20" s="112">
        <f>SUM(V29+V47+V49+V54+V55+V65)</f>
        <v>1010126.4</v>
      </c>
      <c r="W20" s="112">
        <f>W29+W47+W49+W65</f>
        <v>1092620.5</v>
      </c>
      <c r="X20" s="490"/>
      <c r="Y20" s="490"/>
    </row>
    <row r="21" spans="1:26" ht="25.5" customHeight="1">
      <c r="A21" s="488"/>
      <c r="B21" s="12" t="s">
        <v>11</v>
      </c>
      <c r="C21" s="12">
        <v>176</v>
      </c>
      <c r="D21" s="12" t="s">
        <v>16</v>
      </c>
      <c r="E21" s="12" t="s">
        <v>672</v>
      </c>
      <c r="F21" s="12">
        <v>414</v>
      </c>
      <c r="G21" s="13" t="e">
        <f>SUM(H21:K21)</f>
        <v>#REF!</v>
      </c>
      <c r="H21" s="13" t="e">
        <f>#REF!</f>
        <v>#REF!</v>
      </c>
      <c r="I21" s="13" t="e">
        <f>#REF!</f>
        <v>#REF!</v>
      </c>
      <c r="J21" s="13" t="e">
        <f>#REF!</f>
        <v>#REF!</v>
      </c>
      <c r="K21" s="13" t="e">
        <f>#REF!</f>
        <v>#REF!</v>
      </c>
      <c r="L21" s="60">
        <f>'Подробный перечень'!L15</f>
        <v>696311.52</v>
      </c>
      <c r="M21" s="60">
        <f>'Подробный перечень'!M15</f>
        <v>87614.3</v>
      </c>
      <c r="N21" s="60">
        <f>'Подробный перечень'!N15</f>
        <v>125592.71999999999</v>
      </c>
      <c r="O21" s="60">
        <f>'Подробный перечень'!O15</f>
        <v>111995</v>
      </c>
      <c r="P21" s="60">
        <f>'Подробный перечень'!P15</f>
        <v>371109.5</v>
      </c>
      <c r="Q21" s="112">
        <f t="shared" ref="Q21:W21" si="3">Q33+Q59</f>
        <v>206616.7</v>
      </c>
      <c r="R21" s="112">
        <f t="shared" si="3"/>
        <v>0</v>
      </c>
      <c r="S21" s="112">
        <f t="shared" si="3"/>
        <v>0</v>
      </c>
      <c r="T21" s="112">
        <f t="shared" si="3"/>
        <v>134772</v>
      </c>
      <c r="U21" s="112">
        <f t="shared" si="3"/>
        <v>71844.7</v>
      </c>
      <c r="V21" s="112">
        <f t="shared" si="3"/>
        <v>0</v>
      </c>
      <c r="W21" s="112">
        <f t="shared" si="3"/>
        <v>0</v>
      </c>
      <c r="X21" s="490"/>
      <c r="Y21" s="490"/>
    </row>
    <row r="22" spans="1:26" ht="30" customHeight="1">
      <c r="A22" s="488"/>
      <c r="B22" s="12" t="s">
        <v>35</v>
      </c>
      <c r="C22" s="12">
        <v>176</v>
      </c>
      <c r="D22" s="12" t="s">
        <v>16</v>
      </c>
      <c r="E22" s="12" t="s">
        <v>672</v>
      </c>
      <c r="F22" s="12">
        <v>414</v>
      </c>
      <c r="G22" s="13" t="e">
        <f>SUM(H22:K22)</f>
        <v>#REF!</v>
      </c>
      <c r="H22" s="13" t="e">
        <f>#REF!</f>
        <v>#REF!</v>
      </c>
      <c r="I22" s="13" t="e">
        <f>#REF!</f>
        <v>#REF!</v>
      </c>
      <c r="J22" s="13" t="e">
        <f>#REF!</f>
        <v>#REF!</v>
      </c>
      <c r="K22" s="13" t="e">
        <f>#REF!</f>
        <v>#REF!</v>
      </c>
      <c r="L22" s="60">
        <f>'Подробный перечень'!L17</f>
        <v>625434.80000000005</v>
      </c>
      <c r="M22" s="60"/>
      <c r="N22" s="60"/>
      <c r="O22" s="60">
        <f>'Подробный перечень'!O17</f>
        <v>129348.5</v>
      </c>
      <c r="P22" s="60">
        <f>'Подробный перечень'!P17</f>
        <v>496086.29999999993</v>
      </c>
      <c r="Q22" s="112">
        <f>'Подробный перечень'!$Q$17</f>
        <v>203785.09999999998</v>
      </c>
      <c r="R22" s="112"/>
      <c r="S22" s="112"/>
      <c r="T22" s="112">
        <f>'Подробный перечень'!$T$17</f>
        <v>123382.48</v>
      </c>
      <c r="U22" s="112">
        <f>'Подробный перечень'!$U$17</f>
        <v>80402.62</v>
      </c>
      <c r="V22" s="60"/>
      <c r="W22" s="60">
        <f>'Подробный перечень'!W17</f>
        <v>0</v>
      </c>
      <c r="X22" s="490"/>
      <c r="Y22" s="490"/>
    </row>
    <row r="23" spans="1:26" ht="30" customHeight="1">
      <c r="A23" s="488"/>
      <c r="B23" s="12" t="s">
        <v>680</v>
      </c>
      <c r="C23" s="12">
        <v>176</v>
      </c>
      <c r="D23" s="12" t="s">
        <v>16</v>
      </c>
      <c r="E23" s="12">
        <v>6100053904</v>
      </c>
      <c r="F23" s="12">
        <v>414</v>
      </c>
      <c r="G23" s="13"/>
      <c r="H23" s="13"/>
      <c r="I23" s="13"/>
      <c r="J23" s="13"/>
      <c r="K23" s="13"/>
      <c r="L23" s="60"/>
      <c r="M23" s="60"/>
      <c r="N23" s="60"/>
      <c r="O23" s="60"/>
      <c r="P23" s="60"/>
      <c r="Q23" s="112">
        <f>'Подробный перечень'!Q18</f>
        <v>5792.5</v>
      </c>
      <c r="R23" s="112"/>
      <c r="S23" s="112"/>
      <c r="T23" s="112">
        <f>'Подробный перечень'!$T$18</f>
        <v>5792.5</v>
      </c>
      <c r="U23" s="112"/>
      <c r="V23" s="60"/>
      <c r="W23" s="60"/>
      <c r="X23" s="490"/>
      <c r="Y23" s="490"/>
    </row>
    <row r="24" spans="1:26" ht="30" customHeight="1">
      <c r="A24" s="488"/>
      <c r="B24" s="12" t="s">
        <v>476</v>
      </c>
      <c r="C24" s="12">
        <v>176</v>
      </c>
      <c r="D24" s="187" t="s">
        <v>16</v>
      </c>
      <c r="E24" s="12">
        <v>6100053902</v>
      </c>
      <c r="F24" s="12">
        <v>414</v>
      </c>
      <c r="G24" s="13"/>
      <c r="H24" s="13"/>
      <c r="I24" s="13"/>
      <c r="J24" s="13"/>
      <c r="K24" s="13"/>
      <c r="L24" s="60"/>
      <c r="M24" s="60"/>
      <c r="N24" s="60"/>
      <c r="O24" s="60"/>
      <c r="P24" s="60"/>
      <c r="Q24" s="112">
        <f>'Подробный перечень'!$Q$16</f>
        <v>235530.1</v>
      </c>
      <c r="R24" s="112"/>
      <c r="S24" s="112"/>
      <c r="T24" s="112">
        <f>'Подробный перечень'!$T$16</f>
        <v>72600</v>
      </c>
      <c r="U24" s="112">
        <f>'Подробный перечень'!$U$16</f>
        <v>162930.1</v>
      </c>
      <c r="V24" s="60">
        <f>'Подробный перечень'!$V$16</f>
        <v>180090</v>
      </c>
      <c r="W24" s="60"/>
      <c r="X24" s="490"/>
      <c r="Y24" s="490"/>
    </row>
    <row r="25" spans="1:26" ht="27.75" customHeight="1">
      <c r="A25" s="488"/>
      <c r="B25" s="12" t="s">
        <v>614</v>
      </c>
      <c r="C25" s="12"/>
      <c r="D25" s="12"/>
      <c r="E25" s="12"/>
      <c r="F25" s="12"/>
      <c r="G25" s="13"/>
      <c r="H25" s="13">
        <v>0</v>
      </c>
      <c r="I25" s="13">
        <v>0</v>
      </c>
      <c r="J25" s="13">
        <v>0</v>
      </c>
      <c r="K25" s="13">
        <v>0</v>
      </c>
      <c r="L25" s="60"/>
      <c r="M25" s="60"/>
      <c r="N25" s="60"/>
      <c r="O25" s="60"/>
      <c r="P25" s="60"/>
      <c r="Q25" s="112"/>
      <c r="R25" s="112"/>
      <c r="S25" s="112"/>
      <c r="T25" s="112"/>
      <c r="U25" s="112"/>
      <c r="V25" s="60"/>
      <c r="W25" s="60"/>
      <c r="X25" s="490"/>
      <c r="Y25" s="490"/>
    </row>
    <row r="26" spans="1:26" ht="27.6" customHeight="1">
      <c r="A26" s="488"/>
      <c r="B26" s="12" t="s">
        <v>665</v>
      </c>
      <c r="C26" s="12"/>
      <c r="D26" s="12"/>
      <c r="E26" s="12"/>
      <c r="F26" s="12"/>
      <c r="G26" s="13"/>
      <c r="H26" s="13">
        <v>0</v>
      </c>
      <c r="I26" s="13">
        <v>0</v>
      </c>
      <c r="J26" s="13">
        <v>0</v>
      </c>
      <c r="K26" s="13">
        <v>0</v>
      </c>
      <c r="L26" s="60"/>
      <c r="M26" s="60"/>
      <c r="N26" s="60"/>
      <c r="O26" s="60"/>
      <c r="P26" s="60"/>
      <c r="Q26" s="112"/>
      <c r="R26" s="112"/>
      <c r="S26" s="112"/>
      <c r="T26" s="112"/>
      <c r="U26" s="112"/>
      <c r="V26" s="60"/>
      <c r="W26" s="60"/>
      <c r="X26" s="491"/>
      <c r="Y26" s="491"/>
    </row>
    <row r="27" spans="1:26" ht="15" customHeight="1">
      <c r="A27" s="30" t="s">
        <v>42</v>
      </c>
      <c r="B27" s="12"/>
      <c r="C27" s="12"/>
      <c r="D27" s="12"/>
      <c r="E27" s="12"/>
      <c r="F27" s="12"/>
      <c r="G27" s="13"/>
      <c r="H27" s="13"/>
      <c r="I27" s="13"/>
      <c r="J27" s="13"/>
      <c r="K27" s="13"/>
      <c r="L27" s="60"/>
      <c r="M27" s="60"/>
      <c r="N27" s="60"/>
      <c r="O27" s="60"/>
      <c r="P27" s="60"/>
      <c r="Q27" s="112"/>
      <c r="R27" s="120"/>
      <c r="S27" s="120"/>
      <c r="T27" s="120"/>
      <c r="U27" s="120"/>
      <c r="V27" s="86"/>
      <c r="W27" s="86"/>
      <c r="X27" s="64"/>
      <c r="Y27" s="63"/>
    </row>
    <row r="28" spans="1:26" ht="17.399999999999999" customHeight="1">
      <c r="A28" s="14" t="s">
        <v>43</v>
      </c>
      <c r="B28" s="63" t="s">
        <v>461</v>
      </c>
      <c r="C28" s="63">
        <v>176</v>
      </c>
      <c r="D28" s="63" t="s">
        <v>16</v>
      </c>
      <c r="E28" s="63">
        <v>6100004040</v>
      </c>
      <c r="F28" s="63">
        <v>414</v>
      </c>
      <c r="G28" s="29" t="e">
        <f>SUM(H28:K28)</f>
        <v>#REF!</v>
      </c>
      <c r="H28" s="29" t="e">
        <f>#REF!</f>
        <v>#REF!</v>
      </c>
      <c r="I28" s="29" t="e">
        <f>#REF!</f>
        <v>#REF!</v>
      </c>
      <c r="J28" s="29" t="e">
        <f>#REF!</f>
        <v>#REF!</v>
      </c>
      <c r="K28" s="29" t="e">
        <f>#REF!</f>
        <v>#REF!</v>
      </c>
      <c r="L28" s="87"/>
      <c r="M28" s="87"/>
      <c r="N28" s="87"/>
      <c r="O28" s="87"/>
      <c r="P28" s="87"/>
      <c r="Q28" s="113">
        <f>'Подробный перечень'!$Q$23</f>
        <v>0</v>
      </c>
      <c r="R28" s="113"/>
      <c r="S28" s="113"/>
      <c r="T28" s="113"/>
      <c r="U28" s="113"/>
      <c r="V28" s="87"/>
      <c r="W28" s="87">
        <f>'Подробный перечень'!$W$23</f>
        <v>0</v>
      </c>
      <c r="X28" s="64"/>
      <c r="Y28" s="63"/>
      <c r="Z28" s="100"/>
    </row>
    <row r="29" spans="1:26" ht="17.399999999999999" customHeight="1">
      <c r="A29" s="14" t="s">
        <v>44</v>
      </c>
      <c r="B29" s="63" t="s">
        <v>461</v>
      </c>
      <c r="C29" s="63">
        <v>176</v>
      </c>
      <c r="D29" s="63" t="s">
        <v>16</v>
      </c>
      <c r="E29" s="63">
        <v>6100004040</v>
      </c>
      <c r="F29" s="63">
        <v>414</v>
      </c>
      <c r="G29" s="29" t="e">
        <f>SUM(H29:K29)</f>
        <v>#REF!</v>
      </c>
      <c r="H29" s="29" t="e">
        <f>#REF!</f>
        <v>#REF!</v>
      </c>
      <c r="I29" s="29" t="e">
        <f>#REF!</f>
        <v>#REF!</v>
      </c>
      <c r="J29" s="29" t="e">
        <f>#REF!</f>
        <v>#REF!</v>
      </c>
      <c r="K29" s="29" t="e">
        <f>#REF!</f>
        <v>#REF!</v>
      </c>
      <c r="L29" s="87"/>
      <c r="M29" s="87"/>
      <c r="N29" s="87"/>
      <c r="O29" s="87"/>
      <c r="P29" s="87"/>
      <c r="Q29" s="113">
        <f>'Подробный перечень'!$Q$39</f>
        <v>144789.70000000001</v>
      </c>
      <c r="R29" s="113"/>
      <c r="S29" s="113"/>
      <c r="T29" s="113">
        <f>'Подробный перечень'!$T$39</f>
        <v>78819.3</v>
      </c>
      <c r="U29" s="113">
        <f>'Подробный перечень'!$U$39</f>
        <v>65970.399999999994</v>
      </c>
      <c r="V29" s="87">
        <f>'Подробный перечень'!$V$39</f>
        <v>150000</v>
      </c>
      <c r="W29" s="87">
        <f>'Подробный перечень'!$W$39</f>
        <v>180000</v>
      </c>
      <c r="X29" s="64"/>
      <c r="Y29" s="63"/>
    </row>
    <row r="30" spans="1:26" ht="17.399999999999999" customHeight="1">
      <c r="A30" s="14" t="s">
        <v>45</v>
      </c>
      <c r="B30" s="63" t="s">
        <v>461</v>
      </c>
      <c r="C30" s="63">
        <v>176</v>
      </c>
      <c r="D30" s="63" t="s">
        <v>16</v>
      </c>
      <c r="E30" s="63">
        <v>6100004040</v>
      </c>
      <c r="F30" s="63">
        <v>414</v>
      </c>
      <c r="G30" s="29" t="e">
        <f t="shared" ref="G30:G65" si="4">SUM(H30:K30)</f>
        <v>#REF!</v>
      </c>
      <c r="H30" s="29" t="e">
        <f>#REF!</f>
        <v>#REF!</v>
      </c>
      <c r="I30" s="29" t="e">
        <f>#REF!</f>
        <v>#REF!</v>
      </c>
      <c r="J30" s="29" t="e">
        <f>#REF!</f>
        <v>#REF!</v>
      </c>
      <c r="K30" s="29" t="e">
        <f>#REF!</f>
        <v>#REF!</v>
      </c>
      <c r="L30" s="87"/>
      <c r="M30" s="87"/>
      <c r="N30" s="87"/>
      <c r="O30" s="87"/>
      <c r="P30" s="87"/>
      <c r="Q30" s="113"/>
      <c r="R30" s="113"/>
      <c r="S30" s="113"/>
      <c r="T30" s="113"/>
      <c r="U30" s="113"/>
      <c r="V30" s="87"/>
      <c r="W30" s="87"/>
      <c r="X30" s="64"/>
      <c r="Y30" s="63"/>
    </row>
    <row r="31" spans="1:26" ht="17.399999999999999" customHeight="1">
      <c r="A31" s="14" t="s">
        <v>46</v>
      </c>
      <c r="B31" s="63" t="s">
        <v>461</v>
      </c>
      <c r="C31" s="63">
        <v>176</v>
      </c>
      <c r="D31" s="63" t="s">
        <v>16</v>
      </c>
      <c r="E31" s="63">
        <v>6100004040</v>
      </c>
      <c r="F31" s="63">
        <v>414</v>
      </c>
      <c r="G31" s="29" t="e">
        <f t="shared" si="4"/>
        <v>#REF!</v>
      </c>
      <c r="H31" s="29" t="e">
        <f>#REF!</f>
        <v>#REF!</v>
      </c>
      <c r="I31" s="29" t="e">
        <f>#REF!</f>
        <v>#REF!</v>
      </c>
      <c r="J31" s="29" t="e">
        <f>#REF!</f>
        <v>#REF!</v>
      </c>
      <c r="K31" s="29" t="e">
        <f>#REF!</f>
        <v>#REF!</v>
      </c>
      <c r="L31" s="87">
        <f>'Подробный перечень'!L53</f>
        <v>46500</v>
      </c>
      <c r="M31" s="87"/>
      <c r="N31" s="87"/>
      <c r="O31" s="87"/>
      <c r="P31" s="87">
        <f>'Подробный перечень'!P53</f>
        <v>46500</v>
      </c>
      <c r="Q31" s="113">
        <f>'Подробный перечень'!$Q$53</f>
        <v>0</v>
      </c>
      <c r="R31" s="113"/>
      <c r="S31" s="113"/>
      <c r="T31" s="113"/>
      <c r="U31" s="113"/>
      <c r="V31" s="87">
        <f>'Подробный перечень'!$V$53</f>
        <v>0</v>
      </c>
      <c r="W31" s="87">
        <f>'Подробный перечень'!$W$53</f>
        <v>0</v>
      </c>
      <c r="X31" s="64"/>
      <c r="Y31" s="63"/>
    </row>
    <row r="32" spans="1:26" ht="17.399999999999999" customHeight="1">
      <c r="A32" s="484" t="s">
        <v>47</v>
      </c>
      <c r="B32" s="63" t="s">
        <v>462</v>
      </c>
      <c r="C32" s="63">
        <v>176</v>
      </c>
      <c r="D32" s="63" t="s">
        <v>16</v>
      </c>
      <c r="E32" s="63" t="s">
        <v>330</v>
      </c>
      <c r="F32" s="63">
        <v>414</v>
      </c>
      <c r="G32" s="29" t="e">
        <f t="shared" si="4"/>
        <v>#REF!</v>
      </c>
      <c r="H32" s="29" t="e">
        <f>#REF!</f>
        <v>#REF!</v>
      </c>
      <c r="I32" s="29" t="e">
        <f>#REF!</f>
        <v>#REF!</v>
      </c>
      <c r="J32" s="29" t="e">
        <f>#REF!</f>
        <v>#REF!</v>
      </c>
      <c r="K32" s="29" t="e">
        <f>#REF!</f>
        <v>#REF!</v>
      </c>
      <c r="L32" s="87"/>
      <c r="M32" s="87"/>
      <c r="N32" s="87"/>
      <c r="O32" s="87"/>
      <c r="P32" s="87"/>
      <c r="Q32" s="113">
        <f>Q33+Q34</f>
        <v>68154.48</v>
      </c>
      <c r="R32" s="113"/>
      <c r="S32" s="113"/>
      <c r="T32" s="113">
        <f>T33+T34</f>
        <v>68154.48</v>
      </c>
      <c r="U32" s="113"/>
      <c r="V32" s="87"/>
      <c r="W32" s="87"/>
      <c r="X32" s="64"/>
      <c r="Y32" s="63"/>
    </row>
    <row r="33" spans="1:25" ht="17.399999999999999" customHeight="1">
      <c r="A33" s="485"/>
      <c r="B33" s="436" t="s">
        <v>461</v>
      </c>
      <c r="C33" s="436">
        <v>176</v>
      </c>
      <c r="D33" s="436" t="s">
        <v>16</v>
      </c>
      <c r="E33" s="436" t="s">
        <v>672</v>
      </c>
      <c r="F33" s="436">
        <v>414</v>
      </c>
      <c r="G33" s="29"/>
      <c r="H33" s="29"/>
      <c r="I33" s="29"/>
      <c r="J33" s="29"/>
      <c r="K33" s="29"/>
      <c r="L33" s="87"/>
      <c r="M33" s="87"/>
      <c r="N33" s="87"/>
      <c r="O33" s="87"/>
      <c r="P33" s="87"/>
      <c r="Q33" s="113">
        <f>'Подробный перечень'!Q96</f>
        <v>34772</v>
      </c>
      <c r="R33" s="404"/>
      <c r="S33" s="404"/>
      <c r="T33" s="404">
        <f>Q33</f>
        <v>34772</v>
      </c>
      <c r="U33" s="404"/>
      <c r="V33" s="88"/>
      <c r="W33" s="87"/>
      <c r="X33" s="437"/>
      <c r="Y33" s="436"/>
    </row>
    <row r="34" spans="1:25" ht="16.95" customHeight="1">
      <c r="A34" s="486"/>
      <c r="B34" s="436" t="s">
        <v>664</v>
      </c>
      <c r="C34" s="436">
        <v>176</v>
      </c>
      <c r="D34" s="436" t="s">
        <v>16</v>
      </c>
      <c r="E34" s="436" t="s">
        <v>672</v>
      </c>
      <c r="F34" s="436">
        <v>414</v>
      </c>
      <c r="G34" s="29"/>
      <c r="H34" s="29"/>
      <c r="I34" s="29"/>
      <c r="J34" s="29"/>
      <c r="K34" s="29"/>
      <c r="L34" s="87"/>
      <c r="M34" s="87"/>
      <c r="N34" s="87"/>
      <c r="O34" s="87"/>
      <c r="P34" s="87"/>
      <c r="Q34" s="113">
        <f>'Подробный перечень'!Q97</f>
        <v>33382.479999999996</v>
      </c>
      <c r="R34" s="404"/>
      <c r="S34" s="404"/>
      <c r="T34" s="404">
        <f>Q34</f>
        <v>33382.479999999996</v>
      </c>
      <c r="U34" s="404"/>
      <c r="V34" s="88"/>
      <c r="W34" s="87"/>
      <c r="X34" s="437"/>
      <c r="Y34" s="436"/>
    </row>
    <row r="35" spans="1:25" ht="17.399999999999999" customHeight="1">
      <c r="A35" s="14" t="s">
        <v>48</v>
      </c>
      <c r="B35" s="63" t="s">
        <v>461</v>
      </c>
      <c r="C35" s="63">
        <v>176</v>
      </c>
      <c r="D35" s="63" t="s">
        <v>16</v>
      </c>
      <c r="E35" s="63">
        <v>6100004040</v>
      </c>
      <c r="F35" s="63">
        <v>414</v>
      </c>
      <c r="G35" s="29">
        <f t="shared" si="4"/>
        <v>0</v>
      </c>
      <c r="H35" s="29"/>
      <c r="I35" s="29"/>
      <c r="J35" s="29"/>
      <c r="K35" s="29"/>
      <c r="L35" s="87"/>
      <c r="M35" s="87"/>
      <c r="N35" s="87"/>
      <c r="O35" s="87"/>
      <c r="P35" s="87"/>
      <c r="Q35" s="113"/>
      <c r="R35" s="404"/>
      <c r="S35" s="404"/>
      <c r="T35" s="404"/>
      <c r="U35" s="404"/>
      <c r="V35" s="88"/>
      <c r="W35" s="87"/>
      <c r="X35" s="64"/>
      <c r="Y35" s="63"/>
    </row>
    <row r="36" spans="1:25" ht="17.399999999999999" customHeight="1">
      <c r="A36" s="14" t="s">
        <v>49</v>
      </c>
      <c r="B36" s="63" t="s">
        <v>461</v>
      </c>
      <c r="C36" s="63">
        <v>176</v>
      </c>
      <c r="D36" s="63" t="s">
        <v>16</v>
      </c>
      <c r="E36" s="63">
        <v>6100004040</v>
      </c>
      <c r="F36" s="63">
        <v>414</v>
      </c>
      <c r="G36" s="29" t="e">
        <f t="shared" si="4"/>
        <v>#REF!</v>
      </c>
      <c r="H36" s="29" t="e">
        <f>#REF!</f>
        <v>#REF!</v>
      </c>
      <c r="I36" s="29" t="e">
        <f>#REF!</f>
        <v>#REF!</v>
      </c>
      <c r="J36" s="29" t="e">
        <f>#REF!</f>
        <v>#REF!</v>
      </c>
      <c r="K36" s="29" t="e">
        <f>#REF!</f>
        <v>#REF!</v>
      </c>
      <c r="L36" s="87">
        <f>'Подробный перечень'!L103</f>
        <v>43938.8</v>
      </c>
      <c r="M36" s="87"/>
      <c r="N36" s="87"/>
      <c r="O36" s="87"/>
      <c r="P36" s="87">
        <f>'Подробный перечень'!P103</f>
        <v>43938.8</v>
      </c>
      <c r="Q36" s="113">
        <f>'Подробный перечень'!$Q$103</f>
        <v>9309.4</v>
      </c>
      <c r="R36" s="113"/>
      <c r="S36" s="113"/>
      <c r="T36" s="113">
        <f>'Подробный перечень'!$T$103</f>
        <v>9309.4</v>
      </c>
      <c r="U36" s="113"/>
      <c r="V36" s="87">
        <f>'Подробный перечень'!$V$103</f>
        <v>0</v>
      </c>
      <c r="W36" s="87"/>
      <c r="X36" s="64"/>
      <c r="Y36" s="63"/>
    </row>
    <row r="37" spans="1:25" ht="17.399999999999999" customHeight="1">
      <c r="A37" s="14" t="s">
        <v>50</v>
      </c>
      <c r="B37" s="63" t="s">
        <v>461</v>
      </c>
      <c r="C37" s="63">
        <v>176</v>
      </c>
      <c r="D37" s="63" t="s">
        <v>16</v>
      </c>
      <c r="E37" s="63">
        <v>6100004040</v>
      </c>
      <c r="F37" s="63">
        <v>414</v>
      </c>
      <c r="G37" s="29" t="e">
        <f t="shared" si="4"/>
        <v>#REF!</v>
      </c>
      <c r="H37" s="29" t="e">
        <f>#REF!</f>
        <v>#REF!</v>
      </c>
      <c r="I37" s="29" t="e">
        <f>#REF!</f>
        <v>#REF!</v>
      </c>
      <c r="J37" s="29" t="e">
        <f>#REF!</f>
        <v>#REF!</v>
      </c>
      <c r="K37" s="29" t="e">
        <f>#REF!</f>
        <v>#REF!</v>
      </c>
      <c r="L37" s="87">
        <f>'Подробный перечень'!L131</f>
        <v>21615.200000000001</v>
      </c>
      <c r="M37" s="87"/>
      <c r="N37" s="87"/>
      <c r="O37" s="87">
        <f>'Подробный перечень'!O131</f>
        <v>21615.200000000001</v>
      </c>
      <c r="P37" s="87"/>
      <c r="Q37" s="113"/>
      <c r="R37" s="113"/>
      <c r="S37" s="113"/>
      <c r="T37" s="113"/>
      <c r="U37" s="113"/>
      <c r="V37" s="87"/>
      <c r="W37" s="87"/>
      <c r="X37" s="64"/>
      <c r="Y37" s="63"/>
    </row>
    <row r="38" spans="1:25" ht="17.399999999999999" customHeight="1">
      <c r="A38" s="14" t="s">
        <v>51</v>
      </c>
      <c r="B38" s="63" t="s">
        <v>461</v>
      </c>
      <c r="C38" s="63">
        <v>176</v>
      </c>
      <c r="D38" s="63" t="s">
        <v>16</v>
      </c>
      <c r="E38" s="63">
        <v>6100004040</v>
      </c>
      <c r="F38" s="63">
        <v>414</v>
      </c>
      <c r="G38" s="29">
        <f t="shared" si="4"/>
        <v>0</v>
      </c>
      <c r="H38" s="29"/>
      <c r="I38" s="29"/>
      <c r="J38" s="29"/>
      <c r="K38" s="29"/>
      <c r="L38" s="87"/>
      <c r="M38" s="87"/>
      <c r="N38" s="87"/>
      <c r="O38" s="87"/>
      <c r="P38" s="87"/>
      <c r="Q38" s="113"/>
      <c r="R38" s="404"/>
      <c r="S38" s="404"/>
      <c r="T38" s="404"/>
      <c r="U38" s="404"/>
      <c r="V38" s="88">
        <f>'Подробный перечень'!$V$139</f>
        <v>0</v>
      </c>
      <c r="W38" s="87">
        <f>'Подробный перечень'!$W$139</f>
        <v>0</v>
      </c>
      <c r="X38" s="64"/>
      <c r="Y38" s="63"/>
    </row>
    <row r="39" spans="1:25" ht="17.399999999999999" customHeight="1">
      <c r="A39" s="14" t="s">
        <v>52</v>
      </c>
      <c r="B39" s="63" t="s">
        <v>461</v>
      </c>
      <c r="C39" s="63">
        <v>176</v>
      </c>
      <c r="D39" s="63" t="s">
        <v>16</v>
      </c>
      <c r="E39" s="63">
        <v>6100004040</v>
      </c>
      <c r="F39" s="63">
        <v>414</v>
      </c>
      <c r="G39" s="29" t="e">
        <f t="shared" si="4"/>
        <v>#REF!</v>
      </c>
      <c r="H39" s="29" t="e">
        <f>#REF!</f>
        <v>#REF!</v>
      </c>
      <c r="I39" s="29" t="e">
        <f>#REF!</f>
        <v>#REF!</v>
      </c>
      <c r="J39" s="29" t="e">
        <f>#REF!</f>
        <v>#REF!</v>
      </c>
      <c r="K39" s="29" t="e">
        <f>#REF!</f>
        <v>#REF!</v>
      </c>
      <c r="L39" s="87"/>
      <c r="M39" s="87"/>
      <c r="N39" s="87"/>
      <c r="O39" s="87"/>
      <c r="P39" s="87"/>
      <c r="Q39" s="113">
        <f>'Подробный перечень'!$Q$147</f>
        <v>0</v>
      </c>
      <c r="R39" s="113"/>
      <c r="S39" s="113"/>
      <c r="T39" s="113"/>
      <c r="U39" s="113">
        <f>'Подробный перечень'!$U$147</f>
        <v>0</v>
      </c>
      <c r="V39" s="87"/>
      <c r="W39" s="87"/>
      <c r="X39" s="29"/>
      <c r="Y39" s="63"/>
    </row>
    <row r="40" spans="1:25" ht="17.399999999999999" customHeight="1">
      <c r="A40" s="14" t="s">
        <v>53</v>
      </c>
      <c r="B40" s="63" t="s">
        <v>461</v>
      </c>
      <c r="C40" s="63">
        <v>176</v>
      </c>
      <c r="D40" s="63" t="s">
        <v>16</v>
      </c>
      <c r="E40" s="63">
        <v>6100004040</v>
      </c>
      <c r="F40" s="63">
        <v>414</v>
      </c>
      <c r="G40" s="29" t="e">
        <f t="shared" si="4"/>
        <v>#REF!</v>
      </c>
      <c r="H40" s="29" t="e">
        <f>#REF!</f>
        <v>#REF!</v>
      </c>
      <c r="I40" s="29" t="e">
        <f>#REF!</f>
        <v>#REF!</v>
      </c>
      <c r="J40" s="29" t="e">
        <f>#REF!</f>
        <v>#REF!</v>
      </c>
      <c r="K40" s="29" t="e">
        <f>#REF!</f>
        <v>#REF!</v>
      </c>
      <c r="L40" s="87">
        <f>'Подробный перечень'!L158</f>
        <v>199495</v>
      </c>
      <c r="M40" s="87">
        <f>'Подробный перечень'!M158</f>
        <v>50000</v>
      </c>
      <c r="N40" s="87">
        <f>'Подробный перечень'!N158</f>
        <v>10600</v>
      </c>
      <c r="O40" s="87">
        <f>'Подробный перечень'!O158</f>
        <v>12000</v>
      </c>
      <c r="P40" s="87">
        <f>'Подробный перечень'!P158</f>
        <v>126894.99999999999</v>
      </c>
      <c r="Q40" s="113">
        <f>'Подробный перечень'!$Q$158</f>
        <v>111891.6</v>
      </c>
      <c r="R40" s="113"/>
      <c r="S40" s="113">
        <f>'Подробный перечень'!$S$158</f>
        <v>66291.5</v>
      </c>
      <c r="T40" s="113">
        <f>'Подробный перечень'!$T$158</f>
        <v>36660.5</v>
      </c>
      <c r="U40" s="113">
        <f>'Подробный перечень'!$U$158</f>
        <v>8939.5999999999985</v>
      </c>
      <c r="V40" s="87">
        <f>'Подробный перечень'!V158</f>
        <v>0</v>
      </c>
      <c r="W40" s="87"/>
      <c r="X40" s="64"/>
      <c r="Y40" s="63"/>
    </row>
    <row r="41" spans="1:25" ht="17.399999999999999" customHeight="1">
      <c r="A41" s="14" t="s">
        <v>54</v>
      </c>
      <c r="B41" s="63" t="s">
        <v>461</v>
      </c>
      <c r="C41" s="63">
        <v>176</v>
      </c>
      <c r="D41" s="63" t="s">
        <v>16</v>
      </c>
      <c r="E41" s="63">
        <v>6100004040</v>
      </c>
      <c r="F41" s="63">
        <v>414</v>
      </c>
      <c r="G41" s="29">
        <f t="shared" si="4"/>
        <v>0</v>
      </c>
      <c r="H41" s="29"/>
      <c r="I41" s="29"/>
      <c r="J41" s="29"/>
      <c r="K41" s="29"/>
      <c r="L41" s="87"/>
      <c r="M41" s="87"/>
      <c r="N41" s="87"/>
      <c r="O41" s="87"/>
      <c r="P41" s="87"/>
      <c r="Q41" s="113"/>
      <c r="R41" s="404"/>
      <c r="S41" s="404"/>
      <c r="T41" s="404"/>
      <c r="U41" s="404"/>
      <c r="V41" s="88"/>
      <c r="W41" s="87"/>
      <c r="X41" s="64"/>
      <c r="Y41" s="63"/>
    </row>
    <row r="42" spans="1:25" ht="17.399999999999999" customHeight="1">
      <c r="A42" s="14" t="s">
        <v>55</v>
      </c>
      <c r="B42" s="63" t="s">
        <v>461</v>
      </c>
      <c r="C42" s="63">
        <v>176</v>
      </c>
      <c r="D42" s="63" t="s">
        <v>16</v>
      </c>
      <c r="E42" s="63">
        <v>6100004040</v>
      </c>
      <c r="F42" s="63">
        <v>414</v>
      </c>
      <c r="G42" s="29" t="e">
        <f t="shared" si="4"/>
        <v>#REF!</v>
      </c>
      <c r="H42" s="29" t="e">
        <f>#REF!</f>
        <v>#REF!</v>
      </c>
      <c r="I42" s="29" t="e">
        <f>#REF!</f>
        <v>#REF!</v>
      </c>
      <c r="J42" s="29" t="e">
        <f>#REF!</f>
        <v>#REF!</v>
      </c>
      <c r="K42" s="29" t="e">
        <f>#REF!</f>
        <v>#REF!</v>
      </c>
      <c r="L42" s="87"/>
      <c r="M42" s="87"/>
      <c r="N42" s="87"/>
      <c r="O42" s="87"/>
      <c r="P42" s="87"/>
      <c r="Q42" s="113">
        <f>'Подробный перечень'!$Q$170</f>
        <v>0</v>
      </c>
      <c r="R42" s="113"/>
      <c r="S42" s="113"/>
      <c r="T42" s="113"/>
      <c r="U42" s="113"/>
      <c r="V42" s="87">
        <f>'Подробный перечень'!$V$170</f>
        <v>0</v>
      </c>
      <c r="W42" s="87">
        <f>'Подробный перечень'!$W$170</f>
        <v>0</v>
      </c>
      <c r="X42" s="64"/>
      <c r="Y42" s="63"/>
    </row>
    <row r="43" spans="1:25" ht="17.399999999999999" customHeight="1">
      <c r="A43" s="14" t="s">
        <v>56</v>
      </c>
      <c r="B43" s="63" t="s">
        <v>461</v>
      </c>
      <c r="C43" s="63">
        <v>176</v>
      </c>
      <c r="D43" s="63" t="s">
        <v>16</v>
      </c>
      <c r="E43" s="63">
        <v>6100004040</v>
      </c>
      <c r="F43" s="63">
        <v>414</v>
      </c>
      <c r="G43" s="29" t="e">
        <f t="shared" si="4"/>
        <v>#REF!</v>
      </c>
      <c r="H43" s="29" t="e">
        <f>#REF!</f>
        <v>#REF!</v>
      </c>
      <c r="I43" s="29" t="e">
        <f>#REF!</f>
        <v>#REF!</v>
      </c>
      <c r="J43" s="29" t="e">
        <f>#REF!</f>
        <v>#REF!</v>
      </c>
      <c r="K43" s="29" t="e">
        <f>#REF!</f>
        <v>#REF!</v>
      </c>
      <c r="L43" s="87"/>
      <c r="M43" s="87"/>
      <c r="N43" s="87"/>
      <c r="O43" s="87"/>
      <c r="P43" s="87"/>
      <c r="Q43" s="113">
        <f>'Подробный перечень'!$Q$190</f>
        <v>36965.86</v>
      </c>
      <c r="R43" s="113"/>
      <c r="S43" s="113">
        <f>'Подробный перечень'!$S$190</f>
        <v>7904.6600000000008</v>
      </c>
      <c r="T43" s="113">
        <f>'Подробный перечень'!$T$190</f>
        <v>16600</v>
      </c>
      <c r="U43" s="113">
        <f>'Подробный перечень'!$U$190</f>
        <v>12461.2</v>
      </c>
      <c r="V43" s="87"/>
      <c r="W43" s="87">
        <f>'Подробный перечень'!$W$190</f>
        <v>0</v>
      </c>
      <c r="X43" s="64"/>
      <c r="Y43" s="63"/>
    </row>
    <row r="44" spans="1:25" ht="17.399999999999999" customHeight="1">
      <c r="A44" s="14" t="s">
        <v>57</v>
      </c>
      <c r="B44" s="63" t="s">
        <v>461</v>
      </c>
      <c r="C44" s="63">
        <v>176</v>
      </c>
      <c r="D44" s="63" t="s">
        <v>16</v>
      </c>
      <c r="E44" s="63">
        <v>6100004040</v>
      </c>
      <c r="F44" s="63">
        <v>414</v>
      </c>
      <c r="G44" s="29" t="e">
        <f t="shared" si="4"/>
        <v>#REF!</v>
      </c>
      <c r="H44" s="29" t="e">
        <f>#REF!</f>
        <v>#REF!</v>
      </c>
      <c r="I44" s="29" t="e">
        <f>#REF!</f>
        <v>#REF!</v>
      </c>
      <c r="J44" s="29" t="e">
        <f>#REF!</f>
        <v>#REF!</v>
      </c>
      <c r="K44" s="29" t="e">
        <f>#REF!</f>
        <v>#REF!</v>
      </c>
      <c r="L44" s="87">
        <f>'Подробный перечень'!L201</f>
        <v>332506.5</v>
      </c>
      <c r="M44" s="87">
        <f>'Подробный перечень'!M201</f>
        <v>25950</v>
      </c>
      <c r="N44" s="87">
        <f>'Подробный перечень'!N201</f>
        <v>49450.1</v>
      </c>
      <c r="O44" s="87">
        <f>'Подробный перечень'!O201</f>
        <v>63774.399999999994</v>
      </c>
      <c r="P44" s="87">
        <f>'Подробный перечень'!P201</f>
        <v>193332</v>
      </c>
      <c r="Q44" s="113">
        <f>'Подробный перечень'!$Q$201</f>
        <v>12779.800000000001</v>
      </c>
      <c r="R44" s="113"/>
      <c r="S44" s="113">
        <f>'Подробный перечень'!$S$201</f>
        <v>12779.800000000001</v>
      </c>
      <c r="T44" s="113"/>
      <c r="U44" s="113"/>
      <c r="V44" s="87">
        <f>'Подробный перечень'!$V$203</f>
        <v>0</v>
      </c>
      <c r="W44" s="87"/>
      <c r="X44" s="64"/>
      <c r="Y44" s="63"/>
    </row>
    <row r="45" spans="1:25" ht="17.399999999999999" customHeight="1">
      <c r="A45" s="14" t="s">
        <v>58</v>
      </c>
      <c r="B45" s="63" t="s">
        <v>461</v>
      </c>
      <c r="C45" s="63">
        <v>176</v>
      </c>
      <c r="D45" s="63" t="s">
        <v>16</v>
      </c>
      <c r="E45" s="63">
        <v>6100004040</v>
      </c>
      <c r="F45" s="63">
        <v>414</v>
      </c>
      <c r="G45" s="29" t="e">
        <f t="shared" si="4"/>
        <v>#REF!</v>
      </c>
      <c r="H45" s="29" t="e">
        <f>#REF!</f>
        <v>#REF!</v>
      </c>
      <c r="I45" s="29" t="e">
        <f>#REF!</f>
        <v>#REF!</v>
      </c>
      <c r="J45" s="29" t="e">
        <f>#REF!</f>
        <v>#REF!</v>
      </c>
      <c r="K45" s="29" t="e">
        <f>#REF!</f>
        <v>#REF!</v>
      </c>
      <c r="L45" s="87"/>
      <c r="M45" s="87"/>
      <c r="N45" s="87"/>
      <c r="O45" s="87"/>
      <c r="P45" s="87"/>
      <c r="Q45" s="113">
        <f>'Подробный перечень'!Q223</f>
        <v>0</v>
      </c>
      <c r="R45" s="113"/>
      <c r="S45" s="113"/>
      <c r="T45" s="113"/>
      <c r="U45" s="113"/>
      <c r="V45" s="87">
        <f>'Подробный перечень'!V223</f>
        <v>0</v>
      </c>
      <c r="W45" s="87"/>
      <c r="X45" s="64"/>
      <c r="Y45" s="63"/>
    </row>
    <row r="46" spans="1:25" ht="17.399999999999999" customHeight="1">
      <c r="A46" s="14" t="s">
        <v>59</v>
      </c>
      <c r="B46" s="63" t="s">
        <v>461</v>
      </c>
      <c r="C46" s="63">
        <v>176</v>
      </c>
      <c r="D46" s="63" t="s">
        <v>16</v>
      </c>
      <c r="E46" s="63">
        <v>6100004040</v>
      </c>
      <c r="F46" s="63">
        <v>414</v>
      </c>
      <c r="G46" s="29" t="e">
        <f t="shared" si="4"/>
        <v>#REF!</v>
      </c>
      <c r="H46" s="29" t="e">
        <f>#REF!</f>
        <v>#REF!</v>
      </c>
      <c r="I46" s="29" t="e">
        <f>#REF!</f>
        <v>#REF!</v>
      </c>
      <c r="J46" s="29" t="e">
        <f>#REF!</f>
        <v>#REF!</v>
      </c>
      <c r="K46" s="29" t="e">
        <f>#REF!</f>
        <v>#REF!</v>
      </c>
      <c r="L46" s="87"/>
      <c r="M46" s="87"/>
      <c r="N46" s="87"/>
      <c r="O46" s="87"/>
      <c r="P46" s="87"/>
      <c r="Q46" s="113">
        <f>'Подробный перечень'!$Q$234</f>
        <v>0</v>
      </c>
      <c r="R46" s="113"/>
      <c r="S46" s="113"/>
      <c r="T46" s="113"/>
      <c r="U46" s="113"/>
      <c r="V46" s="87">
        <f>'Подробный перечень'!V234</f>
        <v>0</v>
      </c>
      <c r="W46" s="87"/>
      <c r="X46" s="64"/>
      <c r="Y46" s="63"/>
    </row>
    <row r="47" spans="1:25" ht="17.399999999999999" customHeight="1">
      <c r="A47" s="14" t="s">
        <v>60</v>
      </c>
      <c r="B47" s="63" t="s">
        <v>461</v>
      </c>
      <c r="C47" s="63">
        <v>176</v>
      </c>
      <c r="D47" s="63" t="s">
        <v>16</v>
      </c>
      <c r="E47" s="63">
        <v>6100004040</v>
      </c>
      <c r="F47" s="63">
        <v>414</v>
      </c>
      <c r="G47" s="29" t="e">
        <f t="shared" si="4"/>
        <v>#REF!</v>
      </c>
      <c r="H47" s="10" t="e">
        <f>#REF!</f>
        <v>#REF!</v>
      </c>
      <c r="I47" s="10" t="e">
        <f>#REF!</f>
        <v>#REF!</v>
      </c>
      <c r="J47" s="10" t="e">
        <f>#REF!</f>
        <v>#REF!</v>
      </c>
      <c r="K47" s="10" t="e">
        <f>#REF!</f>
        <v>#REF!</v>
      </c>
      <c r="L47" s="89"/>
      <c r="M47" s="89"/>
      <c r="N47" s="89"/>
      <c r="O47" s="89"/>
      <c r="P47" s="89"/>
      <c r="Q47" s="108">
        <f>'Подробный перечень'!Q246</f>
        <v>0</v>
      </c>
      <c r="R47" s="108"/>
      <c r="S47" s="108"/>
      <c r="T47" s="108"/>
      <c r="U47" s="108"/>
      <c r="V47" s="89">
        <f>'Подробный перечень'!$V$246</f>
        <v>100000</v>
      </c>
      <c r="W47" s="87">
        <f>'Подробный перечень'!$W$246</f>
        <v>200000</v>
      </c>
      <c r="X47" s="63"/>
      <c r="Y47" s="63"/>
    </row>
    <row r="48" spans="1:25" ht="17.399999999999999" customHeight="1">
      <c r="A48" s="484" t="s">
        <v>61</v>
      </c>
      <c r="B48" s="63" t="s">
        <v>462</v>
      </c>
      <c r="C48" s="63">
        <v>176</v>
      </c>
      <c r="D48" s="63" t="s">
        <v>16</v>
      </c>
      <c r="E48" s="63" t="s">
        <v>330</v>
      </c>
      <c r="F48" s="63">
        <v>414</v>
      </c>
      <c r="G48" s="29" t="e">
        <f t="shared" si="4"/>
        <v>#REF!</v>
      </c>
      <c r="H48" s="10" t="e">
        <f>#REF!</f>
        <v>#REF!</v>
      </c>
      <c r="I48" s="10" t="e">
        <f>#REF!</f>
        <v>#REF!</v>
      </c>
      <c r="J48" s="10" t="e">
        <f>#REF!</f>
        <v>#REF!</v>
      </c>
      <c r="K48" s="10" t="e">
        <f>#REF!</f>
        <v>#REF!</v>
      </c>
      <c r="L48" s="89">
        <f>'Подробный перечень'!L254</f>
        <v>370473.1</v>
      </c>
      <c r="M48" s="89">
        <f>'Подробный перечень'!M254</f>
        <v>11325</v>
      </c>
      <c r="N48" s="89">
        <f>'Подробный перечень'!N254</f>
        <v>60071.199999999997</v>
      </c>
      <c r="O48" s="89">
        <f>'Подробный перечень'!O254</f>
        <v>78817.2</v>
      </c>
      <c r="P48" s="89">
        <f>'Подробный перечень'!P254</f>
        <v>220259.7</v>
      </c>
      <c r="Q48" s="89">
        <f>'Подробный перечень'!$Q$254</f>
        <v>894230.39999999991</v>
      </c>
      <c r="R48" s="108">
        <f>'Подробный перечень'!$R$254</f>
        <v>23768.053</v>
      </c>
      <c r="S48" s="108">
        <f>'Подробный перечень'!$S$254</f>
        <v>85079.6</v>
      </c>
      <c r="T48" s="108">
        <f>'Подробный перечень'!$T$254</f>
        <v>475330.74699999997</v>
      </c>
      <c r="U48" s="108">
        <f>'Подробный перечень'!$U$254</f>
        <v>310052</v>
      </c>
      <c r="V48" s="89">
        <f>'Подробный перечень'!$V$254</f>
        <v>821771.9</v>
      </c>
      <c r="W48" s="87">
        <f>'Подробный перечень'!$W$254</f>
        <v>670000</v>
      </c>
      <c r="X48" s="63"/>
      <c r="Y48" s="51"/>
    </row>
    <row r="49" spans="1:25" ht="17.399999999999999" customHeight="1">
      <c r="A49" s="485"/>
      <c r="B49" s="436" t="s">
        <v>461</v>
      </c>
      <c r="C49" s="436">
        <v>176</v>
      </c>
      <c r="D49" s="436" t="s">
        <v>16</v>
      </c>
      <c r="E49" s="436">
        <v>6100004040</v>
      </c>
      <c r="F49" s="436">
        <v>414</v>
      </c>
      <c r="G49" s="29"/>
      <c r="H49" s="10"/>
      <c r="I49" s="10"/>
      <c r="J49" s="10"/>
      <c r="K49" s="10"/>
      <c r="L49" s="89"/>
      <c r="M49" s="89"/>
      <c r="N49" s="89"/>
      <c r="O49" s="89"/>
      <c r="P49" s="89"/>
      <c r="Q49" s="108">
        <f>SUM(R49:U49)</f>
        <v>652907.79999999993</v>
      </c>
      <c r="R49" s="108">
        <f>'Подробный перечень'!$R$255</f>
        <v>23768.053</v>
      </c>
      <c r="S49" s="108">
        <f>'Подробный перечень'!$S$255</f>
        <v>85079.6</v>
      </c>
      <c r="T49" s="108">
        <f>'Подробный перечень'!$T$255</f>
        <v>396938.24699999997</v>
      </c>
      <c r="U49" s="108">
        <f>'Подробный перечень'!$U$255</f>
        <v>147121.9</v>
      </c>
      <c r="V49" s="89">
        <f>'Подробный перечень'!$V$255</f>
        <v>641681.9</v>
      </c>
      <c r="W49" s="87">
        <v>670000</v>
      </c>
      <c r="X49" s="436"/>
      <c r="Y49" s="51"/>
    </row>
    <row r="50" spans="1:25" ht="25.95" customHeight="1">
      <c r="A50" s="485"/>
      <c r="B50" s="446" t="s">
        <v>681</v>
      </c>
      <c r="C50" s="446">
        <v>176</v>
      </c>
      <c r="D50" s="446" t="s">
        <v>16</v>
      </c>
      <c r="E50" s="446">
        <v>6100053904</v>
      </c>
      <c r="F50" s="446">
        <v>414</v>
      </c>
      <c r="G50" s="29"/>
      <c r="H50" s="10"/>
      <c r="I50" s="10"/>
      <c r="J50" s="10"/>
      <c r="K50" s="10"/>
      <c r="L50" s="89"/>
      <c r="M50" s="89"/>
      <c r="N50" s="89"/>
      <c r="O50" s="89"/>
      <c r="P50" s="89"/>
      <c r="Q50" s="108">
        <v>5792.5</v>
      </c>
      <c r="R50" s="108"/>
      <c r="S50" s="108"/>
      <c r="T50" s="108">
        <v>5792.5</v>
      </c>
      <c r="U50" s="108"/>
      <c r="V50" s="89"/>
      <c r="W50" s="87"/>
      <c r="X50" s="446"/>
      <c r="Y50" s="51"/>
    </row>
    <row r="51" spans="1:25" ht="22.95" customHeight="1">
      <c r="A51" s="486"/>
      <c r="B51" s="436" t="s">
        <v>601</v>
      </c>
      <c r="C51" s="436">
        <v>176</v>
      </c>
      <c r="D51" s="436" t="s">
        <v>16</v>
      </c>
      <c r="E51" s="436">
        <v>6100053902</v>
      </c>
      <c r="F51" s="436">
        <v>414</v>
      </c>
      <c r="G51" s="29"/>
      <c r="H51" s="10"/>
      <c r="I51" s="10"/>
      <c r="J51" s="10"/>
      <c r="K51" s="10"/>
      <c r="L51" s="89"/>
      <c r="M51" s="89"/>
      <c r="N51" s="89"/>
      <c r="O51" s="89"/>
      <c r="P51" s="89"/>
      <c r="Q51" s="108">
        <f>T51+U51</f>
        <v>235530.1</v>
      </c>
      <c r="R51" s="108"/>
      <c r="S51" s="108"/>
      <c r="T51" s="108">
        <f>'Подробный перечень'!$T$258</f>
        <v>72600</v>
      </c>
      <c r="U51" s="108">
        <f>'Подробный перечень'!$U$258</f>
        <v>162930.1</v>
      </c>
      <c r="V51" s="89">
        <f>'Подробный перечень'!$V$258</f>
        <v>180090</v>
      </c>
      <c r="W51" s="87"/>
      <c r="X51" s="436"/>
      <c r="Y51" s="51"/>
    </row>
    <row r="52" spans="1:25" ht="17.399999999999999" customHeight="1">
      <c r="A52" s="14" t="s">
        <v>62</v>
      </c>
      <c r="B52" s="63" t="s">
        <v>461</v>
      </c>
      <c r="C52" s="63">
        <v>176</v>
      </c>
      <c r="D52" s="63" t="s">
        <v>16</v>
      </c>
      <c r="E52" s="63">
        <v>6100004040</v>
      </c>
      <c r="F52" s="63">
        <v>414</v>
      </c>
      <c r="G52" s="29" t="e">
        <f t="shared" si="4"/>
        <v>#REF!</v>
      </c>
      <c r="H52" s="10" t="e">
        <f>#REF!</f>
        <v>#REF!</v>
      </c>
      <c r="I52" s="10" t="e">
        <f>#REF!</f>
        <v>#REF!</v>
      </c>
      <c r="J52" s="10" t="e">
        <f>#REF!</f>
        <v>#REF!</v>
      </c>
      <c r="K52" s="10" t="e">
        <f>#REF!</f>
        <v>#REF!</v>
      </c>
      <c r="L52" s="89">
        <f>'Подробный перечень'!L315</f>
        <v>34492.699999999997</v>
      </c>
      <c r="M52" s="89"/>
      <c r="N52" s="89"/>
      <c r="O52" s="89"/>
      <c r="P52" s="89">
        <f>'Подробный перечень'!P315</f>
        <v>34492.699999999997</v>
      </c>
      <c r="Q52" s="108"/>
      <c r="R52" s="108"/>
      <c r="S52" s="108"/>
      <c r="T52" s="108"/>
      <c r="U52" s="108"/>
      <c r="V52" s="89">
        <f>'Подробный перечень'!$V$315</f>
        <v>0</v>
      </c>
      <c r="W52" s="87"/>
      <c r="X52" s="63"/>
      <c r="Y52" s="51"/>
    </row>
    <row r="53" spans="1:25" ht="17.399999999999999" customHeight="1">
      <c r="A53" s="14" t="s">
        <v>63</v>
      </c>
      <c r="B53" s="63" t="s">
        <v>461</v>
      </c>
      <c r="C53" s="63">
        <v>176</v>
      </c>
      <c r="D53" s="63" t="s">
        <v>16</v>
      </c>
      <c r="E53" s="63">
        <v>6100004040</v>
      </c>
      <c r="F53" s="63">
        <v>414</v>
      </c>
      <c r="G53" s="29" t="e">
        <f t="shared" si="4"/>
        <v>#REF!</v>
      </c>
      <c r="H53" s="10" t="e">
        <f>#REF!</f>
        <v>#REF!</v>
      </c>
      <c r="I53" s="10" t="e">
        <f>#REF!</f>
        <v>#REF!</v>
      </c>
      <c r="J53" s="10" t="e">
        <f>#REF!</f>
        <v>#REF!</v>
      </c>
      <c r="K53" s="10" t="e">
        <f>#REF!</f>
        <v>#REF!</v>
      </c>
      <c r="L53" s="89"/>
      <c r="M53" s="89"/>
      <c r="N53" s="89"/>
      <c r="O53" s="89"/>
      <c r="P53" s="89"/>
      <c r="Q53" s="108">
        <f>'Подробный перечень'!$Q$327</f>
        <v>0</v>
      </c>
      <c r="R53" s="108"/>
      <c r="S53" s="108"/>
      <c r="T53" s="108"/>
      <c r="U53" s="108"/>
      <c r="V53" s="89">
        <f>'Подробный перечень'!$V$327</f>
        <v>0</v>
      </c>
      <c r="W53" s="87">
        <f>'Подробный перечень'!$W$327</f>
        <v>0</v>
      </c>
      <c r="X53" s="63"/>
      <c r="Y53" s="51"/>
    </row>
    <row r="54" spans="1:25" ht="17.399999999999999" customHeight="1">
      <c r="A54" s="14" t="s">
        <v>64</v>
      </c>
      <c r="B54" s="63" t="s">
        <v>461</v>
      </c>
      <c r="C54" s="63">
        <v>176</v>
      </c>
      <c r="D54" s="63" t="s">
        <v>16</v>
      </c>
      <c r="E54" s="63">
        <v>6100004040</v>
      </c>
      <c r="F54" s="63">
        <v>414</v>
      </c>
      <c r="G54" s="29" t="e">
        <f t="shared" si="4"/>
        <v>#REF!</v>
      </c>
      <c r="H54" s="10" t="e">
        <f>#REF!</f>
        <v>#REF!</v>
      </c>
      <c r="I54" s="10" t="e">
        <f>#REF!</f>
        <v>#REF!</v>
      </c>
      <c r="J54" s="10" t="e">
        <f>#REF!</f>
        <v>#REF!</v>
      </c>
      <c r="K54" s="10" t="e">
        <f>#REF!</f>
        <v>#REF!</v>
      </c>
      <c r="L54" s="89">
        <f>'Подробный перечень'!L335</f>
        <v>30009.7</v>
      </c>
      <c r="M54" s="89"/>
      <c r="N54" s="89"/>
      <c r="O54" s="89">
        <f>'Подробный перечень'!O335</f>
        <v>3000</v>
      </c>
      <c r="P54" s="89">
        <f>'Подробный перечень'!P335</f>
        <v>27009.7</v>
      </c>
      <c r="Q54" s="108"/>
      <c r="R54" s="108"/>
      <c r="S54" s="108"/>
      <c r="T54" s="108"/>
      <c r="U54" s="108"/>
      <c r="V54" s="89">
        <f>'Подробный перечень'!$V$335</f>
        <v>10000</v>
      </c>
      <c r="W54" s="87"/>
      <c r="X54" s="63"/>
      <c r="Y54" s="51"/>
    </row>
    <row r="55" spans="1:25" ht="17.399999999999999" customHeight="1">
      <c r="A55" s="14" t="s">
        <v>65</v>
      </c>
      <c r="B55" s="63" t="s">
        <v>461</v>
      </c>
      <c r="C55" s="63">
        <v>176</v>
      </c>
      <c r="D55" s="63" t="s">
        <v>16</v>
      </c>
      <c r="E55" s="63">
        <v>6100004040</v>
      </c>
      <c r="F55" s="63">
        <v>414</v>
      </c>
      <c r="G55" s="29" t="e">
        <f t="shared" si="4"/>
        <v>#REF!</v>
      </c>
      <c r="H55" s="10" t="e">
        <f>#REF!</f>
        <v>#REF!</v>
      </c>
      <c r="I55" s="10" t="e">
        <f>#REF!</f>
        <v>#REF!</v>
      </c>
      <c r="J55" s="10" t="e">
        <f>#REF!</f>
        <v>#REF!</v>
      </c>
      <c r="K55" s="10" t="e">
        <f>#REF!</f>
        <v>#REF!</v>
      </c>
      <c r="L55" s="89">
        <f>'Подробный перечень'!L351</f>
        <v>145946.70000000001</v>
      </c>
      <c r="M55" s="89"/>
      <c r="N55" s="89"/>
      <c r="O55" s="89">
        <f>'Подробный перечень'!O351</f>
        <v>48010.9</v>
      </c>
      <c r="P55" s="89">
        <f>'Подробный перечень'!P351</f>
        <v>97935.8</v>
      </c>
      <c r="Q55" s="108">
        <f>'Подробный перечень'!$Q$351</f>
        <v>64211.100000000006</v>
      </c>
      <c r="R55" s="108"/>
      <c r="S55" s="108"/>
      <c r="T55" s="108">
        <f>'Подробный перечень'!$T$351</f>
        <v>44690.402000000009</v>
      </c>
      <c r="U55" s="108">
        <f>'Подробный перечень'!$U$351</f>
        <v>19520.698</v>
      </c>
      <c r="V55" s="89">
        <f>'Подробный перечень'!$V$351</f>
        <v>92000</v>
      </c>
      <c r="W55" s="87">
        <f>'Подробный перечень'!$W$351</f>
        <v>0</v>
      </c>
      <c r="X55" s="63"/>
      <c r="Y55" s="51"/>
    </row>
    <row r="56" spans="1:25" ht="17.399999999999999" customHeight="1">
      <c r="A56" s="14" t="s">
        <v>66</v>
      </c>
      <c r="B56" s="63" t="s">
        <v>461</v>
      </c>
      <c r="C56" s="63">
        <v>176</v>
      </c>
      <c r="D56" s="63" t="s">
        <v>16</v>
      </c>
      <c r="E56" s="63">
        <v>6100004040</v>
      </c>
      <c r="F56" s="63">
        <v>414</v>
      </c>
      <c r="G56" s="29">
        <f t="shared" si="4"/>
        <v>0</v>
      </c>
      <c r="H56" s="10">
        <v>0</v>
      </c>
      <c r="I56" s="10">
        <v>0</v>
      </c>
      <c r="J56" s="10">
        <v>0</v>
      </c>
      <c r="K56" s="10">
        <v>0</v>
      </c>
      <c r="L56" s="89"/>
      <c r="M56" s="89"/>
      <c r="N56" s="89"/>
      <c r="O56" s="89"/>
      <c r="P56" s="89"/>
      <c r="Q56" s="108"/>
      <c r="R56" s="108"/>
      <c r="S56" s="108"/>
      <c r="T56" s="108"/>
      <c r="U56" s="108"/>
      <c r="V56" s="89"/>
      <c r="W56" s="87"/>
      <c r="X56" s="63"/>
      <c r="Y56" s="51"/>
    </row>
    <row r="57" spans="1:25" ht="17.399999999999999" customHeight="1">
      <c r="A57" s="14" t="s">
        <v>67</v>
      </c>
      <c r="B57" s="63" t="s">
        <v>461</v>
      </c>
      <c r="C57" s="63">
        <v>176</v>
      </c>
      <c r="D57" s="63" t="s">
        <v>16</v>
      </c>
      <c r="E57" s="63">
        <v>6100004040</v>
      </c>
      <c r="F57" s="63">
        <v>414</v>
      </c>
      <c r="G57" s="29" t="e">
        <f t="shared" si="4"/>
        <v>#REF!</v>
      </c>
      <c r="H57" s="10" t="e">
        <f>#REF!</f>
        <v>#REF!</v>
      </c>
      <c r="I57" s="10" t="e">
        <f>#REF!</f>
        <v>#REF!</v>
      </c>
      <c r="J57" s="10" t="e">
        <f>#REF!</f>
        <v>#REF!</v>
      </c>
      <c r="K57" s="10" t="e">
        <f>#REF!</f>
        <v>#REF!</v>
      </c>
      <c r="L57" s="89"/>
      <c r="M57" s="89"/>
      <c r="N57" s="89"/>
      <c r="O57" s="89"/>
      <c r="P57" s="89"/>
      <c r="Q57" s="108"/>
      <c r="R57" s="108"/>
      <c r="S57" s="108"/>
      <c r="T57" s="108"/>
      <c r="U57" s="108"/>
      <c r="V57" s="89"/>
      <c r="W57" s="87"/>
      <c r="X57" s="63"/>
      <c r="Y57" s="51"/>
    </row>
    <row r="58" spans="1:25" ht="17.399999999999999" customHeight="1">
      <c r="A58" s="484" t="s">
        <v>68</v>
      </c>
      <c r="B58" s="63" t="s">
        <v>462</v>
      </c>
      <c r="C58" s="63">
        <v>176</v>
      </c>
      <c r="D58" s="63" t="s">
        <v>16</v>
      </c>
      <c r="E58" s="63" t="s">
        <v>330</v>
      </c>
      <c r="F58" s="63">
        <v>414</v>
      </c>
      <c r="G58" s="29" t="e">
        <f t="shared" si="4"/>
        <v>#REF!</v>
      </c>
      <c r="H58" s="10" t="e">
        <f>#REF!</f>
        <v>#REF!</v>
      </c>
      <c r="I58" s="10" t="e">
        <f>#REF!</f>
        <v>#REF!</v>
      </c>
      <c r="J58" s="10" t="e">
        <f>#REF!</f>
        <v>#REF!</v>
      </c>
      <c r="K58" s="10" t="e">
        <f>#REF!</f>
        <v>#REF!</v>
      </c>
      <c r="L58" s="89"/>
      <c r="M58" s="89"/>
      <c r="N58" s="89"/>
      <c r="O58" s="89"/>
      <c r="P58" s="89"/>
      <c r="Q58" s="108">
        <f>'Подробный перечень'!$Q$371</f>
        <v>342247.32</v>
      </c>
      <c r="R58" s="108"/>
      <c r="S58" s="108"/>
      <c r="T58" s="108">
        <f>'Подробный перечень'!$T$371</f>
        <v>190000</v>
      </c>
      <c r="U58" s="108">
        <f>'Подробный перечень'!$U$371</f>
        <v>152247.32</v>
      </c>
      <c r="V58" s="89"/>
      <c r="W58" s="87"/>
      <c r="X58" s="63"/>
      <c r="Y58" s="51"/>
    </row>
    <row r="59" spans="1:25" ht="17.399999999999999" customHeight="1">
      <c r="A59" s="485"/>
      <c r="B59" s="436" t="s">
        <v>461</v>
      </c>
      <c r="C59" s="436">
        <v>176</v>
      </c>
      <c r="D59" s="436" t="s">
        <v>16</v>
      </c>
      <c r="E59" s="436" t="s">
        <v>672</v>
      </c>
      <c r="F59" s="436">
        <v>414</v>
      </c>
      <c r="G59" s="29"/>
      <c r="H59" s="10"/>
      <c r="I59" s="10"/>
      <c r="J59" s="10"/>
      <c r="K59" s="10"/>
      <c r="L59" s="89"/>
      <c r="M59" s="89"/>
      <c r="N59" s="89"/>
      <c r="O59" s="89"/>
      <c r="P59" s="89"/>
      <c r="Q59" s="108">
        <f>T59+U59</f>
        <v>171844.7</v>
      </c>
      <c r="R59" s="108"/>
      <c r="S59" s="108"/>
      <c r="T59" s="108">
        <f>'Подробный перечень'!$T$372</f>
        <v>100000</v>
      </c>
      <c r="U59" s="108">
        <f>'Подробный перечень'!$U$372</f>
        <v>71844.7</v>
      </c>
      <c r="V59" s="89"/>
      <c r="W59" s="87"/>
      <c r="X59" s="436"/>
      <c r="Y59" s="51"/>
    </row>
    <row r="60" spans="1:25" ht="17.399999999999999" customHeight="1">
      <c r="A60" s="486"/>
      <c r="B60" s="436" t="s">
        <v>664</v>
      </c>
      <c r="C60" s="436">
        <v>176</v>
      </c>
      <c r="D60" s="436" t="s">
        <v>16</v>
      </c>
      <c r="E60" s="436" t="s">
        <v>672</v>
      </c>
      <c r="F60" s="436">
        <v>414</v>
      </c>
      <c r="G60" s="29"/>
      <c r="H60" s="10"/>
      <c r="I60" s="10"/>
      <c r="J60" s="10"/>
      <c r="K60" s="10"/>
      <c r="L60" s="89"/>
      <c r="M60" s="89"/>
      <c r="N60" s="89"/>
      <c r="O60" s="89"/>
      <c r="P60" s="89"/>
      <c r="Q60" s="108">
        <f>T60+U60</f>
        <v>170402.62</v>
      </c>
      <c r="R60" s="108"/>
      <c r="S60" s="108"/>
      <c r="T60" s="108">
        <f>'Подробный перечень'!$T$373</f>
        <v>90000</v>
      </c>
      <c r="U60" s="108">
        <f>'Подробный перечень'!$U$373</f>
        <v>80402.62</v>
      </c>
      <c r="V60" s="89"/>
      <c r="W60" s="87"/>
      <c r="X60" s="436"/>
      <c r="Y60" s="51"/>
    </row>
    <row r="61" spans="1:25" ht="17.399999999999999" customHeight="1">
      <c r="A61" s="14" t="s">
        <v>69</v>
      </c>
      <c r="B61" s="63" t="s">
        <v>461</v>
      </c>
      <c r="C61" s="63">
        <v>176</v>
      </c>
      <c r="D61" s="63" t="s">
        <v>16</v>
      </c>
      <c r="E61" s="63">
        <v>6100004040</v>
      </c>
      <c r="F61" s="63">
        <v>414</v>
      </c>
      <c r="G61" s="29" t="e">
        <f t="shared" si="4"/>
        <v>#REF!</v>
      </c>
      <c r="H61" s="10" t="e">
        <f>#REF!</f>
        <v>#REF!</v>
      </c>
      <c r="I61" s="10" t="e">
        <f>#REF!</f>
        <v>#REF!</v>
      </c>
      <c r="J61" s="10" t="e">
        <f>#REF!</f>
        <v>#REF!</v>
      </c>
      <c r="K61" s="10" t="e">
        <f>#REF!</f>
        <v>#REF!</v>
      </c>
      <c r="L61" s="89"/>
      <c r="M61" s="89"/>
      <c r="N61" s="89"/>
      <c r="O61" s="89"/>
      <c r="P61" s="89"/>
      <c r="Q61" s="108">
        <f>'Подробный перечень'!Q379</f>
        <v>0</v>
      </c>
      <c r="R61" s="108"/>
      <c r="S61" s="108"/>
      <c r="T61" s="108"/>
      <c r="U61" s="108"/>
      <c r="V61" s="89">
        <f>'Подробный перечень'!$V$379</f>
        <v>0</v>
      </c>
      <c r="W61" s="87"/>
      <c r="X61" s="63"/>
      <c r="Y61" s="51"/>
    </row>
    <row r="62" spans="1:25" ht="17.399999999999999" customHeight="1">
      <c r="A62" s="14" t="s">
        <v>70</v>
      </c>
      <c r="B62" s="63" t="s">
        <v>461</v>
      </c>
      <c r="C62" s="63">
        <v>176</v>
      </c>
      <c r="D62" s="63" t="s">
        <v>16</v>
      </c>
      <c r="E62" s="63">
        <v>6100004040</v>
      </c>
      <c r="F62" s="63">
        <v>414</v>
      </c>
      <c r="G62" s="29">
        <f t="shared" si="4"/>
        <v>0</v>
      </c>
      <c r="H62" s="10">
        <v>0</v>
      </c>
      <c r="I62" s="10">
        <v>0</v>
      </c>
      <c r="J62" s="10">
        <v>0</v>
      </c>
      <c r="K62" s="10">
        <v>0</v>
      </c>
      <c r="L62" s="89"/>
      <c r="M62" s="89"/>
      <c r="N62" s="89"/>
      <c r="O62" s="89"/>
      <c r="P62" s="89"/>
      <c r="Q62" s="108"/>
      <c r="R62" s="108"/>
      <c r="S62" s="108"/>
      <c r="T62" s="108"/>
      <c r="U62" s="108"/>
      <c r="V62" s="89"/>
      <c r="W62" s="87"/>
      <c r="X62" s="63"/>
      <c r="Y62" s="51"/>
    </row>
    <row r="63" spans="1:25" ht="17.399999999999999" customHeight="1">
      <c r="A63" s="14" t="s">
        <v>71</v>
      </c>
      <c r="B63" s="63" t="s">
        <v>461</v>
      </c>
      <c r="C63" s="63">
        <v>176</v>
      </c>
      <c r="D63" s="63" t="s">
        <v>16</v>
      </c>
      <c r="E63" s="63">
        <v>6100004040</v>
      </c>
      <c r="F63" s="63">
        <v>414</v>
      </c>
      <c r="G63" s="29" t="e">
        <f t="shared" si="4"/>
        <v>#REF!</v>
      </c>
      <c r="H63" s="10" t="e">
        <f>#REF!</f>
        <v>#REF!</v>
      </c>
      <c r="I63" s="10" t="e">
        <f>#REF!</f>
        <v>#REF!</v>
      </c>
      <c r="J63" s="10" t="e">
        <f>#REF!</f>
        <v>#REF!</v>
      </c>
      <c r="K63" s="10" t="e">
        <f>#REF!</f>
        <v>#REF!</v>
      </c>
      <c r="L63" s="89">
        <f>'Подробный перечень'!L391</f>
        <v>70843.399999999994</v>
      </c>
      <c r="M63" s="89"/>
      <c r="N63" s="89"/>
      <c r="O63" s="89">
        <f>'Подробный перечень'!O391</f>
        <v>12043.4</v>
      </c>
      <c r="P63" s="89">
        <f>'Подробный перечень'!P391</f>
        <v>58800</v>
      </c>
      <c r="Q63" s="108">
        <f>'Подробный перечень'!$Q$391</f>
        <v>68432.000000000029</v>
      </c>
      <c r="R63" s="108"/>
      <c r="S63" s="108"/>
      <c r="T63" s="108">
        <f>'Подробный перечень'!$T$391</f>
        <v>45875.602000000021</v>
      </c>
      <c r="U63" s="108">
        <f>'Подробный перечень'!$U$391</f>
        <v>22556.398000000001</v>
      </c>
      <c r="V63" s="89">
        <f>'Подробный перечень'!$V$391</f>
        <v>0</v>
      </c>
      <c r="W63" s="87">
        <f>'Подробный перечень'!$W$391</f>
        <v>0</v>
      </c>
      <c r="X63" s="63"/>
      <c r="Y63" s="51"/>
    </row>
    <row r="64" spans="1:25" ht="17.399999999999999" customHeight="1">
      <c r="A64" s="14" t="s">
        <v>72</v>
      </c>
      <c r="B64" s="63" t="s">
        <v>461</v>
      </c>
      <c r="C64" s="63">
        <v>176</v>
      </c>
      <c r="D64" s="63" t="s">
        <v>16</v>
      </c>
      <c r="E64" s="63">
        <v>6100004040</v>
      </c>
      <c r="F64" s="63">
        <v>414</v>
      </c>
      <c r="G64" s="29" t="e">
        <f t="shared" si="4"/>
        <v>#REF!</v>
      </c>
      <c r="H64" s="10" t="e">
        <f>#REF!</f>
        <v>#REF!</v>
      </c>
      <c r="I64" s="10" t="e">
        <f>#REF!</f>
        <v>#REF!</v>
      </c>
      <c r="J64" s="10" t="e">
        <f>#REF!</f>
        <v>#REF!</v>
      </c>
      <c r="K64" s="10" t="e">
        <f>#REF!</f>
        <v>#REF!</v>
      </c>
      <c r="L64" s="89">
        <f>'Подробный перечень'!L407</f>
        <v>336</v>
      </c>
      <c r="M64" s="89"/>
      <c r="N64" s="89"/>
      <c r="O64" s="89"/>
      <c r="P64" s="89">
        <f>'Подробный перечень'!P407</f>
        <v>336</v>
      </c>
      <c r="Q64" s="108">
        <f>'Подробный перечень'!$Q$407</f>
        <v>0</v>
      </c>
      <c r="R64" s="108"/>
      <c r="S64" s="108"/>
      <c r="T64" s="108"/>
      <c r="U64" s="108"/>
      <c r="V64" s="89">
        <f>'Подробный перечень'!V407</f>
        <v>0</v>
      </c>
      <c r="W64" s="87"/>
      <c r="X64" s="63"/>
      <c r="Y64" s="51"/>
    </row>
    <row r="65" spans="1:25" ht="17.399999999999999" customHeight="1">
      <c r="A65" s="69" t="s">
        <v>33</v>
      </c>
      <c r="B65" s="63" t="s">
        <v>461</v>
      </c>
      <c r="C65" s="63">
        <v>176</v>
      </c>
      <c r="D65" s="63" t="s">
        <v>16</v>
      </c>
      <c r="E65" s="63">
        <v>6100004040</v>
      </c>
      <c r="F65" s="63">
        <v>414</v>
      </c>
      <c r="G65" s="29" t="e">
        <f t="shared" si="4"/>
        <v>#REF!</v>
      </c>
      <c r="H65" s="10" t="e">
        <f>#REF!</f>
        <v>#REF!</v>
      </c>
      <c r="I65" s="10" t="e">
        <f>#REF!</f>
        <v>#REF!</v>
      </c>
      <c r="J65" s="10" t="e">
        <f>#REF!</f>
        <v>#REF!</v>
      </c>
      <c r="K65" s="10" t="e">
        <f>#REF!</f>
        <v>#REF!</v>
      </c>
      <c r="L65" s="89">
        <f>'Подробный перечень'!L426</f>
        <v>21664.120000000003</v>
      </c>
      <c r="M65" s="89">
        <f>'Подробный перечень'!M426</f>
        <v>339.3</v>
      </c>
      <c r="N65" s="89">
        <f>'Подробный перечень'!N426</f>
        <v>5471.42</v>
      </c>
      <c r="O65" s="89">
        <f>'Подробный перечень'!O426</f>
        <v>328.3</v>
      </c>
      <c r="P65" s="89">
        <f>'Подробный перечень'!P426</f>
        <v>15525.1</v>
      </c>
      <c r="Q65" s="108">
        <f>'Подробный перечень'!$Q$427</f>
        <v>50630</v>
      </c>
      <c r="R65" s="108"/>
      <c r="S65" s="108"/>
      <c r="T65" s="108">
        <f>'Подробный перечень'!$T$426</f>
        <v>10040.799999999999</v>
      </c>
      <c r="U65" s="108">
        <f>'Подробный перечень'!$U$427</f>
        <v>40589.199999999997</v>
      </c>
      <c r="V65" s="89">
        <f>'Подробный перечень'!$V$426</f>
        <v>16444.5</v>
      </c>
      <c r="W65" s="87">
        <f>'Подробный перечень'!$W$426</f>
        <v>42620.5</v>
      </c>
      <c r="X65" s="63"/>
      <c r="Y65" s="51"/>
    </row>
    <row r="66" spans="1:25" ht="30.6" customHeight="1">
      <c r="A66" s="488" t="s">
        <v>337</v>
      </c>
      <c r="B66" s="83" t="s">
        <v>695</v>
      </c>
      <c r="C66" s="63"/>
      <c r="D66" s="63"/>
      <c r="E66" s="63"/>
      <c r="F66" s="63"/>
      <c r="G66" s="29"/>
      <c r="H66" s="10"/>
      <c r="I66" s="10"/>
      <c r="J66" s="10"/>
      <c r="K66" s="10"/>
      <c r="L66" s="90"/>
      <c r="M66" s="90"/>
      <c r="N66" s="90"/>
      <c r="O66" s="90"/>
      <c r="P66" s="90"/>
      <c r="Q66" s="90">
        <v>1</v>
      </c>
      <c r="R66" s="90"/>
      <c r="S66" s="90"/>
      <c r="T66" s="90"/>
      <c r="U66" s="90">
        <v>1</v>
      </c>
      <c r="V66" s="90"/>
      <c r="W66" s="90"/>
      <c r="X66" s="492" t="s">
        <v>687</v>
      </c>
      <c r="Y66" s="495" t="s">
        <v>697</v>
      </c>
    </row>
    <row r="67" spans="1:25" ht="40.5" customHeight="1">
      <c r="A67" s="488"/>
      <c r="B67" s="12" t="s">
        <v>25</v>
      </c>
      <c r="C67" s="63"/>
      <c r="D67" s="63"/>
      <c r="E67" s="63"/>
      <c r="F67" s="63"/>
      <c r="G67" s="29"/>
      <c r="H67" s="10"/>
      <c r="I67" s="10"/>
      <c r="J67" s="10"/>
      <c r="K67" s="10"/>
      <c r="L67" s="89"/>
      <c r="M67" s="89"/>
      <c r="N67" s="89"/>
      <c r="O67" s="89"/>
      <c r="P67" s="89"/>
      <c r="Q67" s="108">
        <f>Q68/Q66</f>
        <v>74574</v>
      </c>
      <c r="R67" s="108"/>
      <c r="S67" s="108"/>
      <c r="T67" s="108"/>
      <c r="U67" s="108">
        <f>U68/U66</f>
        <v>74574</v>
      </c>
      <c r="V67" s="89"/>
      <c r="W67" s="89"/>
      <c r="X67" s="493"/>
      <c r="Y67" s="496"/>
    </row>
    <row r="68" spans="1:25" ht="37.5" customHeight="1">
      <c r="A68" s="488"/>
      <c r="B68" s="12" t="s">
        <v>26</v>
      </c>
      <c r="C68" s="12">
        <v>176</v>
      </c>
      <c r="D68" s="12" t="s">
        <v>16</v>
      </c>
      <c r="E68" s="12">
        <v>6100004040</v>
      </c>
      <c r="F68" s="12">
        <v>414</v>
      </c>
      <c r="G68" s="29"/>
      <c r="H68" s="10"/>
      <c r="I68" s="10"/>
      <c r="J68" s="10"/>
      <c r="K68" s="10"/>
      <c r="L68" s="91"/>
      <c r="M68" s="91"/>
      <c r="N68" s="91"/>
      <c r="O68" s="91"/>
      <c r="P68" s="91"/>
      <c r="Q68" s="114">
        <f>Q69</f>
        <v>74574</v>
      </c>
      <c r="R68" s="114"/>
      <c r="S68" s="114"/>
      <c r="T68" s="114"/>
      <c r="U68" s="114">
        <f>U69</f>
        <v>74574</v>
      </c>
      <c r="V68" s="91">
        <f>SUM(V69:V78)</f>
        <v>0</v>
      </c>
      <c r="W68" s="91">
        <f>SUM(W69:W78)</f>
        <v>0</v>
      </c>
      <c r="X68" s="493"/>
      <c r="Y68" s="496"/>
    </row>
    <row r="69" spans="1:25" ht="31.5" customHeight="1">
      <c r="A69" s="488"/>
      <c r="B69" s="12" t="s">
        <v>11</v>
      </c>
      <c r="C69" s="12">
        <v>176</v>
      </c>
      <c r="D69" s="12" t="s">
        <v>16</v>
      </c>
      <c r="E69" s="12">
        <v>6100004040</v>
      </c>
      <c r="F69" s="12">
        <v>414</v>
      </c>
      <c r="G69" s="29"/>
      <c r="H69" s="10"/>
      <c r="I69" s="10"/>
      <c r="J69" s="10"/>
      <c r="K69" s="10"/>
      <c r="L69" s="92"/>
      <c r="M69" s="92"/>
      <c r="N69" s="92"/>
      <c r="O69" s="92"/>
      <c r="P69" s="92"/>
      <c r="Q69" s="92">
        <f>U69</f>
        <v>74574</v>
      </c>
      <c r="R69" s="92"/>
      <c r="S69" s="92"/>
      <c r="T69" s="92"/>
      <c r="U69" s="92">
        <f>'Подробный перечень'!$U$431</f>
        <v>74574</v>
      </c>
      <c r="V69" s="92">
        <f>'Подробный перечень'!V435</f>
        <v>0</v>
      </c>
      <c r="W69" s="92">
        <f>'Подробный перечень'!W435</f>
        <v>0</v>
      </c>
      <c r="X69" s="493"/>
      <c r="Y69" s="496"/>
    </row>
    <row r="70" spans="1:25" ht="30.75" hidden="1" customHeight="1">
      <c r="A70" s="488"/>
      <c r="B70" s="12" t="s">
        <v>615</v>
      </c>
      <c r="C70" s="12">
        <v>176</v>
      </c>
      <c r="D70" s="12" t="s">
        <v>16</v>
      </c>
      <c r="E70" s="12" t="s">
        <v>329</v>
      </c>
      <c r="F70" s="12">
        <v>414</v>
      </c>
      <c r="G70" s="29"/>
      <c r="H70" s="10"/>
      <c r="I70" s="10"/>
      <c r="J70" s="10"/>
      <c r="K70" s="10"/>
      <c r="L70" s="92"/>
      <c r="M70" s="92"/>
      <c r="N70" s="92"/>
      <c r="O70" s="92"/>
      <c r="P70" s="92"/>
      <c r="Q70" s="92">
        <f>'Подробный перечень'!Q436</f>
        <v>0</v>
      </c>
      <c r="R70" s="92"/>
      <c r="S70" s="92"/>
      <c r="T70" s="92"/>
      <c r="U70" s="92"/>
      <c r="V70" s="92">
        <f>'Подробный перечень'!V436</f>
        <v>0</v>
      </c>
      <c r="W70" s="92">
        <f>'Подробный перечень'!W436</f>
        <v>0</v>
      </c>
      <c r="X70" s="493"/>
      <c r="Y70" s="496"/>
    </row>
    <row r="71" spans="1:25" ht="30.75" hidden="1" customHeight="1">
      <c r="A71" s="488"/>
      <c r="B71" s="12" t="s">
        <v>665</v>
      </c>
      <c r="C71" s="12"/>
      <c r="D71" s="12"/>
      <c r="E71" s="12"/>
      <c r="F71" s="12"/>
      <c r="G71" s="29"/>
      <c r="H71" s="10"/>
      <c r="I71" s="10"/>
      <c r="J71" s="10"/>
      <c r="K71" s="10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493"/>
      <c r="Y71" s="496"/>
    </row>
    <row r="72" spans="1:25" ht="30.75" customHeight="1">
      <c r="A72" s="488" t="s">
        <v>696</v>
      </c>
      <c r="B72" s="83" t="s">
        <v>695</v>
      </c>
      <c r="C72" s="12"/>
      <c r="D72" s="12"/>
      <c r="E72" s="12"/>
      <c r="F72" s="12"/>
      <c r="G72" s="29"/>
      <c r="H72" s="10"/>
      <c r="I72" s="10"/>
      <c r="J72" s="10"/>
      <c r="K72" s="10"/>
      <c r="L72" s="92"/>
      <c r="M72" s="92"/>
      <c r="N72" s="92"/>
      <c r="O72" s="92"/>
      <c r="P72" s="92"/>
      <c r="Q72" s="92">
        <v>1</v>
      </c>
      <c r="R72" s="92"/>
      <c r="S72" s="92"/>
      <c r="T72" s="92"/>
      <c r="U72" s="92">
        <v>1</v>
      </c>
      <c r="V72" s="92"/>
      <c r="W72" s="92"/>
      <c r="X72" s="493"/>
      <c r="Y72" s="496"/>
    </row>
    <row r="73" spans="1:25" ht="30.75" customHeight="1">
      <c r="A73" s="488"/>
      <c r="B73" s="12" t="s">
        <v>25</v>
      </c>
      <c r="C73" s="12">
        <v>176</v>
      </c>
      <c r="D73" s="12" t="s">
        <v>16</v>
      </c>
      <c r="E73" s="12">
        <v>6100004040</v>
      </c>
      <c r="F73" s="12">
        <v>414</v>
      </c>
      <c r="G73" s="29"/>
      <c r="H73" s="10"/>
      <c r="I73" s="10"/>
      <c r="J73" s="10"/>
      <c r="K73" s="10"/>
      <c r="L73" s="92"/>
      <c r="M73" s="92"/>
      <c r="N73" s="92"/>
      <c r="O73" s="92"/>
      <c r="P73" s="92"/>
      <c r="Q73" s="92">
        <f>Q74/Q72</f>
        <v>74574</v>
      </c>
      <c r="R73" s="92"/>
      <c r="S73" s="92"/>
      <c r="T73" s="92"/>
      <c r="U73" s="92">
        <f>U74/U72</f>
        <v>74574</v>
      </c>
      <c r="V73" s="92"/>
      <c r="W73" s="92"/>
      <c r="X73" s="493"/>
      <c r="Y73" s="496"/>
    </row>
    <row r="74" spans="1:25" ht="30.75" customHeight="1">
      <c r="A74" s="488"/>
      <c r="B74" s="12" t="s">
        <v>26</v>
      </c>
      <c r="C74" s="12">
        <v>176</v>
      </c>
      <c r="D74" s="12" t="s">
        <v>16</v>
      </c>
      <c r="E74" s="12">
        <v>6100004040</v>
      </c>
      <c r="F74" s="12">
        <v>414</v>
      </c>
      <c r="G74" s="29"/>
      <c r="H74" s="10"/>
      <c r="I74" s="10"/>
      <c r="J74" s="10"/>
      <c r="K74" s="10"/>
      <c r="L74" s="92"/>
      <c r="M74" s="92"/>
      <c r="N74" s="92"/>
      <c r="O74" s="92"/>
      <c r="P74" s="92"/>
      <c r="Q74" s="92">
        <f>U74</f>
        <v>74574</v>
      </c>
      <c r="R74" s="92"/>
      <c r="S74" s="92"/>
      <c r="T74" s="92"/>
      <c r="U74" s="92">
        <f>U75</f>
        <v>74574</v>
      </c>
      <c r="V74" s="92"/>
      <c r="W74" s="92"/>
      <c r="X74" s="493"/>
      <c r="Y74" s="496"/>
    </row>
    <row r="75" spans="1:25" ht="30.75" customHeight="1">
      <c r="A75" s="488"/>
      <c r="B75" s="12" t="s">
        <v>11</v>
      </c>
      <c r="C75" s="12">
        <v>176</v>
      </c>
      <c r="D75" s="12" t="s">
        <v>16</v>
      </c>
      <c r="E75" s="12">
        <v>6100004040</v>
      </c>
      <c r="F75" s="12">
        <v>414</v>
      </c>
      <c r="G75" s="29"/>
      <c r="H75" s="10"/>
      <c r="I75" s="10"/>
      <c r="J75" s="10"/>
      <c r="K75" s="10"/>
      <c r="L75" s="92"/>
      <c r="M75" s="92"/>
      <c r="N75" s="92"/>
      <c r="O75" s="92"/>
      <c r="P75" s="92"/>
      <c r="Q75" s="92">
        <f>U75</f>
        <v>74574</v>
      </c>
      <c r="R75" s="92"/>
      <c r="S75" s="92"/>
      <c r="T75" s="92"/>
      <c r="U75" s="92">
        <f>71100+3474</f>
        <v>74574</v>
      </c>
      <c r="V75" s="92"/>
      <c r="W75" s="92"/>
      <c r="X75" s="493"/>
      <c r="Y75" s="496"/>
    </row>
    <row r="76" spans="1:25" ht="30.75" hidden="1" customHeight="1">
      <c r="A76" s="488"/>
      <c r="B76" s="12" t="s">
        <v>615</v>
      </c>
      <c r="C76" s="12"/>
      <c r="D76" s="12"/>
      <c r="E76" s="12"/>
      <c r="F76" s="12"/>
      <c r="G76" s="29"/>
      <c r="H76" s="10"/>
      <c r="I76" s="10"/>
      <c r="J76" s="10"/>
      <c r="K76" s="10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493"/>
      <c r="Y76" s="496"/>
    </row>
    <row r="77" spans="1:25" ht="30.75" hidden="1" customHeight="1">
      <c r="A77" s="488"/>
      <c r="B77" s="12" t="s">
        <v>665</v>
      </c>
      <c r="C77" s="12"/>
      <c r="D77" s="12"/>
      <c r="E77" s="12"/>
      <c r="F77" s="12"/>
      <c r="G77" s="29"/>
      <c r="H77" s="10"/>
      <c r="I77" s="10"/>
      <c r="J77" s="10"/>
      <c r="K77" s="10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>
        <v>0</v>
      </c>
      <c r="W77" s="92">
        <v>0</v>
      </c>
      <c r="X77" s="494"/>
      <c r="Y77" s="497"/>
    </row>
    <row r="78" spans="1:25" s="53" customFormat="1" ht="33" hidden="1" customHeight="1">
      <c r="A78" s="462" t="s">
        <v>33</v>
      </c>
      <c r="B78" s="12" t="s">
        <v>665</v>
      </c>
      <c r="C78" s="459"/>
      <c r="D78" s="459"/>
      <c r="E78" s="459"/>
      <c r="F78" s="459"/>
      <c r="G78" s="31"/>
      <c r="H78" s="31"/>
      <c r="I78" s="31"/>
      <c r="J78" s="31"/>
      <c r="K78" s="31"/>
      <c r="L78" s="92"/>
      <c r="M78" s="92"/>
      <c r="N78" s="92"/>
      <c r="O78" s="92"/>
      <c r="P78" s="92"/>
      <c r="Q78" s="92">
        <f>'Подробный перечень'!Q437</f>
        <v>0</v>
      </c>
      <c r="R78" s="92"/>
      <c r="S78" s="92"/>
      <c r="T78" s="92"/>
      <c r="U78" s="92"/>
      <c r="V78" s="92">
        <f>'Подробный перечень'!V437</f>
        <v>0</v>
      </c>
      <c r="W78" s="92">
        <f>'Подробный перечень'!W437</f>
        <v>0</v>
      </c>
      <c r="X78" s="463"/>
      <c r="Y78" s="464"/>
    </row>
    <row r="79" spans="1:25" ht="30" customHeight="1">
      <c r="A79" s="498" t="s">
        <v>225</v>
      </c>
      <c r="B79" s="460" t="s">
        <v>26</v>
      </c>
      <c r="C79" s="460">
        <v>176</v>
      </c>
      <c r="D79" s="460" t="s">
        <v>16</v>
      </c>
      <c r="E79" s="460" t="s">
        <v>673</v>
      </c>
      <c r="F79" s="460">
        <v>414</v>
      </c>
      <c r="G79" s="36" t="e">
        <f>G18+G53</f>
        <v>#REF!</v>
      </c>
      <c r="H79" s="36" t="e">
        <f>H18+H53</f>
        <v>#REF!</v>
      </c>
      <c r="I79" s="36" t="e">
        <f>I18+I53</f>
        <v>#REF!</v>
      </c>
      <c r="J79" s="36" t="e">
        <f>J18+J53</f>
        <v>#REF!</v>
      </c>
      <c r="K79" s="36" t="e">
        <f>K18+K53</f>
        <v>#REF!</v>
      </c>
      <c r="L79" s="98">
        <f>L82+L84+L86+L87</f>
        <v>1321746.32</v>
      </c>
      <c r="M79" s="98">
        <f t="shared" ref="M79:P79" si="5">M82+M84+M86+M87</f>
        <v>87614.3</v>
      </c>
      <c r="N79" s="98">
        <f t="shared" si="5"/>
        <v>125592.71999999999</v>
      </c>
      <c r="O79" s="98">
        <f t="shared" si="5"/>
        <v>241343.5</v>
      </c>
      <c r="P79" s="98">
        <f t="shared" si="5"/>
        <v>867195.79999999993</v>
      </c>
      <c r="Q79" s="461">
        <f>SUM(Q81:Q85)</f>
        <v>1878215.6600000001</v>
      </c>
      <c r="R79" s="461">
        <f t="shared" ref="R79:U79" si="6">SUM(R81:R85)</f>
        <v>23768.053</v>
      </c>
      <c r="S79" s="461">
        <f t="shared" si="6"/>
        <v>172055.56</v>
      </c>
      <c r="T79" s="461">
        <f t="shared" si="6"/>
        <v>975481.23100000003</v>
      </c>
      <c r="U79" s="461">
        <f t="shared" si="6"/>
        <v>706910.81599999999</v>
      </c>
      <c r="V79" s="461">
        <f t="shared" ref="V79:W79" si="7">V82+V84+V86+V87+V83</f>
        <v>1190216.3999999999</v>
      </c>
      <c r="W79" s="461">
        <f t="shared" si="7"/>
        <v>1092620.5</v>
      </c>
      <c r="X79" s="463"/>
      <c r="Y79" s="464"/>
    </row>
    <row r="80" spans="1:25" ht="23.25" customHeight="1">
      <c r="A80" s="499"/>
      <c r="B80" s="12" t="s">
        <v>10</v>
      </c>
      <c r="C80" s="12"/>
      <c r="D80" s="12"/>
      <c r="E80" s="12"/>
      <c r="F80" s="12"/>
      <c r="G80" s="7">
        <f>G19</f>
        <v>0</v>
      </c>
      <c r="H80" s="7"/>
      <c r="I80" s="7"/>
      <c r="J80" s="7"/>
      <c r="K80" s="7"/>
      <c r="L80" s="91"/>
      <c r="M80" s="91"/>
      <c r="N80" s="91"/>
      <c r="O80" s="91"/>
      <c r="P80" s="91"/>
      <c r="Q80" s="114"/>
      <c r="R80" s="114"/>
      <c r="S80" s="114"/>
      <c r="T80" s="114"/>
      <c r="U80" s="114"/>
      <c r="V80" s="91"/>
      <c r="W80" s="91"/>
      <c r="X80" s="32"/>
      <c r="Y80" s="464"/>
    </row>
    <row r="81" spans="1:26" ht="23.25" customHeight="1">
      <c r="A81" s="499"/>
      <c r="B81" s="12" t="s">
        <v>11</v>
      </c>
      <c r="C81" s="12">
        <v>176</v>
      </c>
      <c r="D81" s="12" t="s">
        <v>16</v>
      </c>
      <c r="E81" s="12" t="s">
        <v>672</v>
      </c>
      <c r="F81" s="12">
        <v>414</v>
      </c>
      <c r="G81" s="7"/>
      <c r="H81" s="7"/>
      <c r="I81" s="7"/>
      <c r="J81" s="7"/>
      <c r="K81" s="7"/>
      <c r="L81" s="91"/>
      <c r="M81" s="91"/>
      <c r="N81" s="91"/>
      <c r="O81" s="91"/>
      <c r="P81" s="91"/>
      <c r="Q81" s="114">
        <f>Q21</f>
        <v>206616.7</v>
      </c>
      <c r="R81" s="114">
        <f t="shared" ref="R81:W81" si="8">R21</f>
        <v>0</v>
      </c>
      <c r="S81" s="114">
        <f t="shared" si="8"/>
        <v>0</v>
      </c>
      <c r="T81" s="114">
        <f t="shared" si="8"/>
        <v>134772</v>
      </c>
      <c r="U81" s="114">
        <f t="shared" si="8"/>
        <v>71844.7</v>
      </c>
      <c r="V81" s="114">
        <f t="shared" si="8"/>
        <v>0</v>
      </c>
      <c r="W81" s="114">
        <f t="shared" si="8"/>
        <v>0</v>
      </c>
      <c r="X81" s="32"/>
      <c r="Y81" s="32"/>
    </row>
    <row r="82" spans="1:26" ht="30" customHeight="1">
      <c r="A82" s="499"/>
      <c r="B82" s="12" t="s">
        <v>11</v>
      </c>
      <c r="C82" s="12">
        <v>176</v>
      </c>
      <c r="D82" s="12" t="s">
        <v>16</v>
      </c>
      <c r="E82" s="12">
        <v>6100004040</v>
      </c>
      <c r="F82" s="12">
        <v>414</v>
      </c>
      <c r="G82" s="7" t="e">
        <f>G21</f>
        <v>#REF!</v>
      </c>
      <c r="H82" s="7" t="e">
        <f>H21</f>
        <v>#REF!</v>
      </c>
      <c r="I82" s="7" t="e">
        <f>I21</f>
        <v>#REF!</v>
      </c>
      <c r="J82" s="7" t="e">
        <f>J21</f>
        <v>#REF!</v>
      </c>
      <c r="K82" s="7" t="e">
        <f>K21</f>
        <v>#REF!</v>
      </c>
      <c r="L82" s="91">
        <f>L21+L69</f>
        <v>696311.52</v>
      </c>
      <c r="M82" s="91">
        <f>M21+M69</f>
        <v>87614.3</v>
      </c>
      <c r="N82" s="91">
        <f>N21+N69</f>
        <v>125592.71999999999</v>
      </c>
      <c r="O82" s="91">
        <f>O21+O69</f>
        <v>111995</v>
      </c>
      <c r="P82" s="91">
        <f>P21+P69</f>
        <v>371109.5</v>
      </c>
      <c r="Q82" s="114">
        <f>Q20+Q75</f>
        <v>1226491.26</v>
      </c>
      <c r="R82" s="114">
        <f t="shared" ref="R82:U82" si="9">R20+R75</f>
        <v>23768.053</v>
      </c>
      <c r="S82" s="114">
        <f t="shared" si="9"/>
        <v>172055.56</v>
      </c>
      <c r="T82" s="114">
        <f t="shared" si="9"/>
        <v>638934.25100000005</v>
      </c>
      <c r="U82" s="114">
        <f t="shared" si="9"/>
        <v>391733.39600000001</v>
      </c>
      <c r="V82" s="114">
        <f t="shared" ref="V82:W82" si="10">V20</f>
        <v>1010126.4</v>
      </c>
      <c r="W82" s="114">
        <f t="shared" si="10"/>
        <v>1092620.5</v>
      </c>
      <c r="X82" s="32"/>
      <c r="Y82" s="32"/>
    </row>
    <row r="83" spans="1:26" ht="30" customHeight="1">
      <c r="A83" s="499"/>
      <c r="B83" s="12" t="s">
        <v>476</v>
      </c>
      <c r="C83" s="12">
        <v>176</v>
      </c>
      <c r="D83" s="12" t="s">
        <v>16</v>
      </c>
      <c r="E83" s="12">
        <v>6100053902</v>
      </c>
      <c r="F83" s="12">
        <v>414</v>
      </c>
      <c r="G83" s="7"/>
      <c r="H83" s="7"/>
      <c r="I83" s="7"/>
      <c r="J83" s="7"/>
      <c r="K83" s="7"/>
      <c r="L83" s="91"/>
      <c r="M83" s="91"/>
      <c r="N83" s="91"/>
      <c r="O83" s="91"/>
      <c r="P83" s="91"/>
      <c r="Q83" s="114">
        <f t="shared" ref="Q83:V83" si="11">Q24</f>
        <v>235530.1</v>
      </c>
      <c r="R83" s="114">
        <f t="shared" si="11"/>
        <v>0</v>
      </c>
      <c r="S83" s="114">
        <f t="shared" si="11"/>
        <v>0</v>
      </c>
      <c r="T83" s="114">
        <f t="shared" si="11"/>
        <v>72600</v>
      </c>
      <c r="U83" s="114">
        <f t="shared" si="11"/>
        <v>162930.1</v>
      </c>
      <c r="V83" s="91">
        <f t="shared" si="11"/>
        <v>180090</v>
      </c>
      <c r="W83" s="91"/>
      <c r="X83" s="32"/>
      <c r="Y83" s="32"/>
    </row>
    <row r="84" spans="1:26" ht="32.25" customHeight="1">
      <c r="A84" s="499"/>
      <c r="B84" s="12" t="s">
        <v>35</v>
      </c>
      <c r="C84" s="12">
        <v>176</v>
      </c>
      <c r="D84" s="12" t="s">
        <v>16</v>
      </c>
      <c r="E84" s="12" t="s">
        <v>672</v>
      </c>
      <c r="F84" s="12">
        <v>414</v>
      </c>
      <c r="G84" s="7" t="e">
        <f>G22</f>
        <v>#REF!</v>
      </c>
      <c r="H84" s="7" t="e">
        <f>H22</f>
        <v>#REF!</v>
      </c>
      <c r="I84" s="7" t="e">
        <f>I22</f>
        <v>#REF!</v>
      </c>
      <c r="J84" s="7" t="e">
        <f>J22</f>
        <v>#REF!</v>
      </c>
      <c r="K84" s="7" t="e">
        <f>K22</f>
        <v>#REF!</v>
      </c>
      <c r="L84" s="91">
        <f>L22+L70</f>
        <v>625434.80000000005</v>
      </c>
      <c r="M84" s="91"/>
      <c r="N84" s="91"/>
      <c r="O84" s="91">
        <f t="shared" ref="O84:W84" si="12">O22+O70</f>
        <v>129348.5</v>
      </c>
      <c r="P84" s="91">
        <f t="shared" si="12"/>
        <v>496086.29999999993</v>
      </c>
      <c r="Q84" s="114">
        <f t="shared" si="12"/>
        <v>203785.09999999998</v>
      </c>
      <c r="R84" s="114">
        <f t="shared" si="12"/>
        <v>0</v>
      </c>
      <c r="S84" s="114">
        <f t="shared" si="12"/>
        <v>0</v>
      </c>
      <c r="T84" s="114">
        <f t="shared" si="12"/>
        <v>123382.48</v>
      </c>
      <c r="U84" s="114">
        <f t="shared" si="12"/>
        <v>80402.62</v>
      </c>
      <c r="V84" s="91">
        <f t="shared" si="12"/>
        <v>0</v>
      </c>
      <c r="W84" s="91">
        <f t="shared" si="12"/>
        <v>0</v>
      </c>
      <c r="X84" s="32"/>
      <c r="Y84" s="32"/>
    </row>
    <row r="85" spans="1:26" ht="32.25" customHeight="1">
      <c r="A85" s="499"/>
      <c r="B85" s="12" t="s">
        <v>680</v>
      </c>
      <c r="C85" s="12">
        <v>176</v>
      </c>
      <c r="D85" s="12" t="s">
        <v>16</v>
      </c>
      <c r="E85" s="12">
        <v>6100053904</v>
      </c>
      <c r="F85" s="12">
        <v>414</v>
      </c>
      <c r="G85" s="7"/>
      <c r="H85" s="7"/>
      <c r="I85" s="7"/>
      <c r="J85" s="7"/>
      <c r="K85" s="7"/>
      <c r="L85" s="91"/>
      <c r="M85" s="91"/>
      <c r="N85" s="91"/>
      <c r="O85" s="91"/>
      <c r="P85" s="91"/>
      <c r="Q85" s="114">
        <f>Q23</f>
        <v>5792.5</v>
      </c>
      <c r="R85" s="114">
        <f>R23</f>
        <v>0</v>
      </c>
      <c r="S85" s="114">
        <f>S23</f>
        <v>0</v>
      </c>
      <c r="T85" s="114">
        <f>T23</f>
        <v>5792.5</v>
      </c>
      <c r="U85" s="114">
        <f>U23</f>
        <v>0</v>
      </c>
      <c r="V85" s="91"/>
      <c r="W85" s="91"/>
      <c r="X85" s="32"/>
      <c r="Y85" s="32"/>
    </row>
    <row r="86" spans="1:26" ht="32.25" customHeight="1">
      <c r="A86" s="499"/>
      <c r="B86" s="12" t="s">
        <v>614</v>
      </c>
      <c r="C86" s="12"/>
      <c r="D86" s="12"/>
      <c r="E86" s="12"/>
      <c r="F86" s="12"/>
      <c r="G86" s="7">
        <f>G25</f>
        <v>0</v>
      </c>
      <c r="H86" s="7">
        <v>0</v>
      </c>
      <c r="I86" s="7">
        <v>0</v>
      </c>
      <c r="J86" s="7">
        <v>0</v>
      </c>
      <c r="K86" s="7">
        <v>0</v>
      </c>
      <c r="L86" s="91"/>
      <c r="M86" s="91"/>
      <c r="N86" s="91"/>
      <c r="O86" s="91"/>
      <c r="P86" s="91"/>
      <c r="Q86" s="114"/>
      <c r="R86" s="114"/>
      <c r="S86" s="114"/>
      <c r="T86" s="114"/>
      <c r="U86" s="114"/>
      <c r="V86" s="91"/>
      <c r="W86" s="91"/>
      <c r="X86" s="32"/>
      <c r="Y86" s="32"/>
    </row>
    <row r="87" spans="1:26" ht="33.75" customHeight="1">
      <c r="A87" s="500"/>
      <c r="B87" s="12" t="s">
        <v>665</v>
      </c>
      <c r="C87" s="12"/>
      <c r="D87" s="12"/>
      <c r="E87" s="12"/>
      <c r="F87" s="12"/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91"/>
      <c r="M87" s="91"/>
      <c r="N87" s="91"/>
      <c r="O87" s="91"/>
      <c r="P87" s="91"/>
      <c r="Q87" s="114">
        <f>Q78+Q26</f>
        <v>0</v>
      </c>
      <c r="R87" s="114"/>
      <c r="S87" s="114"/>
      <c r="T87" s="114"/>
      <c r="U87" s="114"/>
      <c r="V87" s="91">
        <f>V78+V26</f>
        <v>0</v>
      </c>
      <c r="W87" s="91"/>
      <c r="X87" s="32"/>
      <c r="Y87" s="32"/>
    </row>
    <row r="88" spans="1:26" hidden="1">
      <c r="A88" s="3"/>
      <c r="B88" s="63"/>
      <c r="C88" s="63"/>
      <c r="D88" s="63"/>
      <c r="E88" s="63"/>
      <c r="F88" s="63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115"/>
      <c r="R88" s="115"/>
      <c r="S88" s="115"/>
      <c r="T88" s="115"/>
      <c r="U88" s="115"/>
      <c r="V88" s="31"/>
      <c r="W88" s="31"/>
      <c r="X88" s="63"/>
      <c r="Y88" s="63"/>
    </row>
    <row r="89" spans="1:26" ht="27.75" customHeight="1">
      <c r="A89" s="483" t="s">
        <v>453</v>
      </c>
      <c r="B89" s="483"/>
      <c r="C89" s="483"/>
      <c r="D89" s="483"/>
      <c r="E89" s="483"/>
      <c r="F89" s="483"/>
      <c r="G89" s="483"/>
      <c r="H89" s="483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100"/>
    </row>
    <row r="90" spans="1:26" ht="32.25" customHeight="1">
      <c r="A90" s="503" t="s">
        <v>226</v>
      </c>
      <c r="B90" s="12" t="s">
        <v>334</v>
      </c>
      <c r="C90" s="12"/>
      <c r="D90" s="12"/>
      <c r="E90" s="12"/>
      <c r="F90" s="12"/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60"/>
      <c r="M90" s="60"/>
      <c r="N90" s="60"/>
      <c r="O90" s="60"/>
      <c r="P90" s="60"/>
      <c r="Q90" s="112"/>
      <c r="R90" s="112"/>
      <c r="S90" s="112"/>
      <c r="T90" s="112"/>
      <c r="U90" s="112"/>
      <c r="V90" s="60"/>
      <c r="W90" s="60"/>
      <c r="X90" s="492" t="s">
        <v>27</v>
      </c>
      <c r="Y90" s="489" t="s">
        <v>221</v>
      </c>
    </row>
    <row r="91" spans="1:26" ht="42" customHeight="1">
      <c r="A91" s="504"/>
      <c r="B91" s="12" t="s">
        <v>25</v>
      </c>
      <c r="C91" s="12"/>
      <c r="D91" s="12"/>
      <c r="E91" s="12"/>
      <c r="F91" s="12"/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60"/>
      <c r="M91" s="60"/>
      <c r="N91" s="60"/>
      <c r="O91" s="60"/>
      <c r="P91" s="60"/>
      <c r="Q91" s="112"/>
      <c r="R91" s="112"/>
      <c r="S91" s="112"/>
      <c r="T91" s="112"/>
      <c r="U91" s="112"/>
      <c r="V91" s="60"/>
      <c r="W91" s="60"/>
      <c r="X91" s="493"/>
      <c r="Y91" s="490"/>
    </row>
    <row r="92" spans="1:26" ht="30.75" customHeight="1">
      <c r="A92" s="504"/>
      <c r="B92" s="12" t="s">
        <v>26</v>
      </c>
      <c r="C92" s="12">
        <v>176</v>
      </c>
      <c r="D92" s="12" t="s">
        <v>16</v>
      </c>
      <c r="E92" s="12" t="s">
        <v>673</v>
      </c>
      <c r="F92" s="12" t="s">
        <v>29</v>
      </c>
      <c r="G92" s="13" t="e">
        <f>G94+G95</f>
        <v>#REF!</v>
      </c>
      <c r="H92" s="13" t="e">
        <f t="shared" ref="H92:P92" si="13">H94</f>
        <v>#REF!</v>
      </c>
      <c r="I92" s="13" t="e">
        <f t="shared" si="13"/>
        <v>#REF!</v>
      </c>
      <c r="J92" s="13" t="e">
        <f t="shared" si="13"/>
        <v>#REF!</v>
      </c>
      <c r="K92" s="13" t="e">
        <f t="shared" si="13"/>
        <v>#REF!</v>
      </c>
      <c r="L92" s="60">
        <f t="shared" si="13"/>
        <v>4454692.5</v>
      </c>
      <c r="M92" s="60">
        <f t="shared" si="13"/>
        <v>1352969.6400529724</v>
      </c>
      <c r="N92" s="60">
        <f t="shared" si="13"/>
        <v>1292083.1418098353</v>
      </c>
      <c r="O92" s="60">
        <f t="shared" si="13"/>
        <v>939470.57503846125</v>
      </c>
      <c r="P92" s="60">
        <f t="shared" si="13"/>
        <v>870169.11934749829</v>
      </c>
      <c r="Q92" s="60">
        <f>SUM(Q94:Q95)</f>
        <v>4806773.9389999993</v>
      </c>
      <c r="R92" s="60">
        <f t="shared" ref="R92:U92" si="14">SUM(R94:R95)</f>
        <v>589091.29300000006</v>
      </c>
      <c r="S92" s="60">
        <f t="shared" si="14"/>
        <v>929553.60999999987</v>
      </c>
      <c r="T92" s="60">
        <f t="shared" si="14"/>
        <v>2170163.61</v>
      </c>
      <c r="U92" s="60">
        <f t="shared" si="14"/>
        <v>1117965.4259999997</v>
      </c>
      <c r="V92" s="60">
        <f>SUM(V94:V95)</f>
        <v>4615968.8</v>
      </c>
      <c r="W92" s="60">
        <f t="shared" ref="W92" si="15">SUM(W94:W95)</f>
        <v>4777604.8999999994</v>
      </c>
      <c r="X92" s="493"/>
      <c r="Y92" s="490"/>
    </row>
    <row r="93" spans="1:26" ht="19.5" customHeight="1">
      <c r="A93" s="504"/>
      <c r="B93" s="12" t="s">
        <v>10</v>
      </c>
      <c r="C93" s="12"/>
      <c r="D93" s="12"/>
      <c r="E93" s="12"/>
      <c r="F93" s="12"/>
      <c r="G93" s="13"/>
      <c r="H93" s="13"/>
      <c r="I93" s="13"/>
      <c r="J93" s="13"/>
      <c r="K93" s="13"/>
      <c r="L93" s="60"/>
      <c r="M93" s="60"/>
      <c r="N93" s="60"/>
      <c r="O93" s="60"/>
      <c r="P93" s="60"/>
      <c r="Q93" s="60"/>
      <c r="R93" s="112"/>
      <c r="S93" s="112"/>
      <c r="T93" s="112"/>
      <c r="U93" s="112"/>
      <c r="V93" s="60"/>
      <c r="W93" s="60"/>
      <c r="X93" s="493"/>
      <c r="Y93" s="490"/>
    </row>
    <row r="94" spans="1:26" ht="33.75" customHeight="1">
      <c r="A94" s="504"/>
      <c r="B94" s="12" t="s">
        <v>11</v>
      </c>
      <c r="C94" s="12">
        <v>176</v>
      </c>
      <c r="D94" s="12" t="s">
        <v>16</v>
      </c>
      <c r="E94" s="12">
        <v>6100004040</v>
      </c>
      <c r="F94" s="12" t="s">
        <v>29</v>
      </c>
      <c r="G94" s="13" t="e">
        <f>G103+G145+G195+G238+G246+G254+G262+G270</f>
        <v>#REF!</v>
      </c>
      <c r="H94" s="13" t="e">
        <f t="shared" ref="H94:W94" si="16">H103+H147+H195+H238+H246+H254+H262+H270</f>
        <v>#REF!</v>
      </c>
      <c r="I94" s="13" t="e">
        <f t="shared" si="16"/>
        <v>#REF!</v>
      </c>
      <c r="J94" s="13" t="e">
        <f t="shared" si="16"/>
        <v>#REF!</v>
      </c>
      <c r="K94" s="13" t="e">
        <f t="shared" si="16"/>
        <v>#REF!</v>
      </c>
      <c r="L94" s="60">
        <f t="shared" si="16"/>
        <v>4454692.5</v>
      </c>
      <c r="M94" s="60">
        <f t="shared" si="16"/>
        <v>1352969.6400529724</v>
      </c>
      <c r="N94" s="60">
        <f t="shared" si="16"/>
        <v>1292083.1418098353</v>
      </c>
      <c r="O94" s="60">
        <f t="shared" si="16"/>
        <v>939470.57503846125</v>
      </c>
      <c r="P94" s="60">
        <f t="shared" si="16"/>
        <v>870169.11934749829</v>
      </c>
      <c r="Q94" s="60">
        <f t="shared" si="16"/>
        <v>4686663.9389999993</v>
      </c>
      <c r="R94" s="112">
        <f t="shared" si="16"/>
        <v>589091.29300000006</v>
      </c>
      <c r="S94" s="112">
        <f t="shared" si="16"/>
        <v>929553.60999999987</v>
      </c>
      <c r="T94" s="112">
        <f t="shared" si="16"/>
        <v>2128523.61</v>
      </c>
      <c r="U94" s="112">
        <f t="shared" si="16"/>
        <v>1039495.4259999997</v>
      </c>
      <c r="V94" s="60">
        <f t="shared" si="16"/>
        <v>4421058.8</v>
      </c>
      <c r="W94" s="60">
        <f t="shared" si="16"/>
        <v>4777604.8999999994</v>
      </c>
      <c r="X94" s="493"/>
      <c r="Y94" s="490"/>
    </row>
    <row r="95" spans="1:26" ht="35.25" customHeight="1">
      <c r="A95" s="504"/>
      <c r="B95" s="12" t="s">
        <v>476</v>
      </c>
      <c r="C95" s="12">
        <v>176</v>
      </c>
      <c r="D95" s="12" t="s">
        <v>16</v>
      </c>
      <c r="E95" s="12">
        <v>6100053902</v>
      </c>
      <c r="F95" s="12" t="s">
        <v>29</v>
      </c>
      <c r="G95" s="13">
        <f>G104+G196</f>
        <v>457365.1</v>
      </c>
      <c r="H95" s="13">
        <v>0</v>
      </c>
      <c r="I95" s="13" t="e">
        <f>I104+I196</f>
        <v>#REF!</v>
      </c>
      <c r="J95" s="13" t="e">
        <f>J104+J196</f>
        <v>#REF!</v>
      </c>
      <c r="K95" s="13">
        <f>K104+K196</f>
        <v>0</v>
      </c>
      <c r="L95" s="93">
        <v>0</v>
      </c>
      <c r="M95" s="93"/>
      <c r="N95" s="93"/>
      <c r="O95" s="93"/>
      <c r="P95" s="93"/>
      <c r="Q95" s="112">
        <f t="shared" ref="Q95:W95" si="17">Q104+Q148+Q196</f>
        <v>120110</v>
      </c>
      <c r="R95" s="112">
        <f t="shared" si="17"/>
        <v>0</v>
      </c>
      <c r="S95" s="112">
        <f t="shared" si="17"/>
        <v>0</v>
      </c>
      <c r="T95" s="112">
        <f t="shared" si="17"/>
        <v>41640</v>
      </c>
      <c r="U95" s="112">
        <f t="shared" si="17"/>
        <v>78470</v>
      </c>
      <c r="V95" s="112">
        <f t="shared" si="17"/>
        <v>194910</v>
      </c>
      <c r="W95" s="112">
        <f t="shared" si="17"/>
        <v>0</v>
      </c>
      <c r="X95" s="38"/>
      <c r="Y95" s="490"/>
    </row>
    <row r="96" spans="1:26" ht="33.75" customHeight="1">
      <c r="A96" s="504"/>
      <c r="B96" s="12" t="s">
        <v>614</v>
      </c>
      <c r="C96" s="12"/>
      <c r="D96" s="12"/>
      <c r="E96" s="12"/>
      <c r="F96" s="12"/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93">
        <v>0</v>
      </c>
      <c r="M96" s="93"/>
      <c r="N96" s="93"/>
      <c r="O96" s="93"/>
      <c r="P96" s="93"/>
      <c r="Q96" s="116">
        <v>0</v>
      </c>
      <c r="R96" s="116"/>
      <c r="S96" s="116"/>
      <c r="T96" s="116"/>
      <c r="U96" s="116"/>
      <c r="V96" s="93">
        <v>0</v>
      </c>
      <c r="W96" s="93"/>
      <c r="X96" s="38"/>
      <c r="Y96" s="490"/>
    </row>
    <row r="97" spans="1:29" ht="30" customHeight="1">
      <c r="A97" s="506"/>
      <c r="B97" s="12" t="s">
        <v>665</v>
      </c>
      <c r="C97" s="12"/>
      <c r="D97" s="12"/>
      <c r="E97" s="12"/>
      <c r="F97" s="12"/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93">
        <v>0</v>
      </c>
      <c r="M97" s="93"/>
      <c r="N97" s="93"/>
      <c r="O97" s="93"/>
      <c r="P97" s="93"/>
      <c r="Q97" s="116">
        <v>0</v>
      </c>
      <c r="R97" s="116"/>
      <c r="S97" s="116"/>
      <c r="T97" s="116"/>
      <c r="U97" s="116"/>
      <c r="V97" s="93">
        <v>0</v>
      </c>
      <c r="W97" s="93"/>
      <c r="X97" s="49"/>
      <c r="Y97" s="49"/>
    </row>
    <row r="98" spans="1:29" hidden="1">
      <c r="A98" s="19" t="s">
        <v>31</v>
      </c>
      <c r="B98" s="20"/>
      <c r="C98" s="63"/>
      <c r="D98" s="63"/>
      <c r="E98" s="63"/>
      <c r="F98" s="63"/>
      <c r="G98" s="31"/>
      <c r="H98" s="31"/>
      <c r="I98" s="31"/>
      <c r="J98" s="31"/>
      <c r="K98" s="31"/>
      <c r="L98" s="87"/>
      <c r="M98" s="87"/>
      <c r="N98" s="87"/>
      <c r="O98" s="87"/>
      <c r="P98" s="87"/>
      <c r="Q98" s="113"/>
      <c r="R98" s="113"/>
      <c r="S98" s="113"/>
      <c r="T98" s="113"/>
      <c r="U98" s="113"/>
      <c r="V98" s="87"/>
      <c r="W98" s="87"/>
      <c r="X98" s="63"/>
      <c r="Y98" s="63"/>
    </row>
    <row r="99" spans="1:29" ht="26.25" customHeight="1">
      <c r="A99" s="507" t="s">
        <v>227</v>
      </c>
      <c r="B99" s="21" t="s">
        <v>91</v>
      </c>
      <c r="C99" s="12"/>
      <c r="D99" s="12"/>
      <c r="E99" s="12"/>
      <c r="F99" s="12"/>
      <c r="G99" s="33" t="e">
        <f>K99</f>
        <v>#REF!</v>
      </c>
      <c r="H99" s="33"/>
      <c r="I99" s="33"/>
      <c r="J99" s="33"/>
      <c r="K99" s="33" t="e">
        <f>#REF!</f>
        <v>#REF!</v>
      </c>
      <c r="L99" s="60">
        <f>'Подробный перечень'!L438</f>
        <v>17.094999999999999</v>
      </c>
      <c r="M99" s="60"/>
      <c r="N99" s="60"/>
      <c r="O99" s="60"/>
      <c r="P99" s="60"/>
      <c r="Q99" s="112">
        <f>'Подробный перечень'!Q438</f>
        <v>5.6729999999999992</v>
      </c>
      <c r="R99" s="112"/>
      <c r="S99" s="112"/>
      <c r="T99" s="112"/>
      <c r="U99" s="112"/>
      <c r="V99" s="60">
        <f>'Подробный перечень'!V438</f>
        <v>12.732000000000001</v>
      </c>
      <c r="W99" s="60">
        <f>'Подробный перечень'!W438</f>
        <v>9.4280000000000008</v>
      </c>
      <c r="X99" s="492" t="s">
        <v>27</v>
      </c>
      <c r="Y99" s="489" t="s">
        <v>319</v>
      </c>
    </row>
    <row r="100" spans="1:29" ht="39" customHeight="1">
      <c r="A100" s="508"/>
      <c r="B100" s="21" t="s">
        <v>223</v>
      </c>
      <c r="C100" s="12"/>
      <c r="D100" s="12"/>
      <c r="E100" s="12"/>
      <c r="F100" s="12"/>
      <c r="G100" s="13" t="e">
        <f>G101/29.3</f>
        <v>#REF!</v>
      </c>
      <c r="H100" s="13"/>
      <c r="I100" s="13"/>
      <c r="J100" s="13"/>
      <c r="K100" s="13" t="e">
        <f>G100</f>
        <v>#REF!</v>
      </c>
      <c r="L100" s="60">
        <f>L101/22.9</f>
        <v>15116.781659388649</v>
      </c>
      <c r="M100" s="60"/>
      <c r="N100" s="60"/>
      <c r="O100" s="60"/>
      <c r="P100" s="60"/>
      <c r="Q100" s="112">
        <f>Q101/Q99</f>
        <v>62351.066455138389</v>
      </c>
      <c r="R100" s="112"/>
      <c r="S100" s="112"/>
      <c r="T100" s="112"/>
      <c r="U100" s="112"/>
      <c r="V100" s="112">
        <f t="shared" ref="V100:W100" si="18">V101/V99</f>
        <v>42611.867734841348</v>
      </c>
      <c r="W100" s="112">
        <f t="shared" si="18"/>
        <v>34484.736953754771</v>
      </c>
      <c r="X100" s="493"/>
      <c r="Y100" s="490"/>
    </row>
    <row r="101" spans="1:29" ht="29.25" customHeight="1">
      <c r="A101" s="508"/>
      <c r="B101" s="21" t="s">
        <v>26</v>
      </c>
      <c r="C101" s="12">
        <v>176</v>
      </c>
      <c r="D101" s="12" t="s">
        <v>16</v>
      </c>
      <c r="E101" s="12" t="s">
        <v>673</v>
      </c>
      <c r="F101" s="12">
        <v>243</v>
      </c>
      <c r="G101" s="13" t="e">
        <f>G103+G104</f>
        <v>#REF!</v>
      </c>
      <c r="H101" s="13" t="e">
        <f t="shared" ref="H101:U101" si="19">H103+H104</f>
        <v>#REF!</v>
      </c>
      <c r="I101" s="13" t="e">
        <f t="shared" si="19"/>
        <v>#REF!</v>
      </c>
      <c r="J101" s="13" t="e">
        <f t="shared" si="19"/>
        <v>#REF!</v>
      </c>
      <c r="K101" s="13" t="e">
        <f t="shared" si="19"/>
        <v>#REF!</v>
      </c>
      <c r="L101" s="60">
        <f t="shared" si="19"/>
        <v>346174.30000000005</v>
      </c>
      <c r="M101" s="60">
        <f t="shared" si="19"/>
        <v>183503.90000000002</v>
      </c>
      <c r="N101" s="60">
        <f t="shared" si="19"/>
        <v>8872</v>
      </c>
      <c r="O101" s="60">
        <f t="shared" si="19"/>
        <v>116629.4</v>
      </c>
      <c r="P101" s="60">
        <f t="shared" si="19"/>
        <v>37169</v>
      </c>
      <c r="Q101" s="112">
        <f t="shared" si="19"/>
        <v>353717.60000000003</v>
      </c>
      <c r="R101" s="112">
        <f t="shared" si="19"/>
        <v>22445.7</v>
      </c>
      <c r="S101" s="112">
        <f t="shared" si="19"/>
        <v>21188.2</v>
      </c>
      <c r="T101" s="112">
        <f t="shared" si="19"/>
        <v>169408.3</v>
      </c>
      <c r="U101" s="112">
        <f t="shared" si="19"/>
        <v>140675.40000000002</v>
      </c>
      <c r="V101" s="60">
        <f>V103+V104</f>
        <v>542534.30000000005</v>
      </c>
      <c r="W101" s="60">
        <f>W103+W104</f>
        <v>325122.09999999998</v>
      </c>
      <c r="X101" s="493"/>
      <c r="Y101" s="490"/>
    </row>
    <row r="102" spans="1:29">
      <c r="A102" s="508"/>
      <c r="B102" s="12" t="s">
        <v>10</v>
      </c>
      <c r="C102" s="12"/>
      <c r="D102" s="12"/>
      <c r="E102" s="12"/>
      <c r="F102" s="12"/>
      <c r="G102" s="13"/>
      <c r="H102" s="13"/>
      <c r="I102" s="13"/>
      <c r="J102" s="13"/>
      <c r="K102" s="13"/>
      <c r="L102" s="60"/>
      <c r="M102" s="60"/>
      <c r="N102" s="60"/>
      <c r="O102" s="60"/>
      <c r="P102" s="60"/>
      <c r="Q102" s="112"/>
      <c r="R102" s="112"/>
      <c r="S102" s="112"/>
      <c r="T102" s="112"/>
      <c r="U102" s="112"/>
      <c r="V102" s="60"/>
      <c r="W102" s="60"/>
      <c r="X102" s="38"/>
      <c r="Y102" s="490"/>
    </row>
    <row r="103" spans="1:29" ht="28.5" customHeight="1">
      <c r="A103" s="508"/>
      <c r="B103" s="12" t="s">
        <v>11</v>
      </c>
      <c r="C103" s="12">
        <v>176</v>
      </c>
      <c r="D103" s="12" t="s">
        <v>16</v>
      </c>
      <c r="E103" s="12">
        <v>6100004040</v>
      </c>
      <c r="F103" s="12">
        <v>243</v>
      </c>
      <c r="G103" s="13" t="e">
        <f>G108+G109+G110+G111+G112+G113+G114+G115+G116+G117+G118+G119+G120+G121+G122+G123+G124+G125+G126+G129+G130+G131+G132+G133+G135+G136+G137+G138+G139+G140+G141+G142-G104</f>
        <v>#REF!</v>
      </c>
      <c r="H103" s="13" t="e">
        <f>SUM(H108:H142)</f>
        <v>#REF!</v>
      </c>
      <c r="I103" s="13" t="e">
        <f>SUM(I108:I142)-I104</f>
        <v>#REF!</v>
      </c>
      <c r="J103" s="13" t="e">
        <f>SUM(J108:J142)-J104</f>
        <v>#REF!</v>
      </c>
      <c r="K103" s="13" t="e">
        <f>#REF!</f>
        <v>#REF!</v>
      </c>
      <c r="L103" s="60">
        <f>'Подробный перечень'!$L$442</f>
        <v>346174.30000000005</v>
      </c>
      <c r="M103" s="60">
        <f>SUM(M108:M142)</f>
        <v>183503.90000000002</v>
      </c>
      <c r="N103" s="60">
        <f>SUM(N108:N142)</f>
        <v>8872</v>
      </c>
      <c r="O103" s="60">
        <f>SUM(O108:O142)</f>
        <v>116629.4</v>
      </c>
      <c r="P103" s="60">
        <f>SUM(P108:P142)</f>
        <v>37169</v>
      </c>
      <c r="Q103" s="112">
        <f>'Подробный перечень'!$Q$442</f>
        <v>353717.60000000003</v>
      </c>
      <c r="R103" s="112">
        <f>SUM(R108:R142)</f>
        <v>22445.7</v>
      </c>
      <c r="S103" s="112">
        <f>SUM(S108:S142)</f>
        <v>21188.2</v>
      </c>
      <c r="T103" s="112">
        <f>T113+T114+T116+T117+T119+T120+T121+T123+T129+T130+T131+T138+T141</f>
        <v>169408.3</v>
      </c>
      <c r="U103" s="112">
        <f>U114+U116+U117+U120+U122+U133+U140+U141+U119</f>
        <v>140675.40000000002</v>
      </c>
      <c r="V103" s="60">
        <f>'Подробный перечень'!$V$442</f>
        <v>420684.30000000005</v>
      </c>
      <c r="W103" s="60">
        <f>'Подробный перечень'!$W$442</f>
        <v>325122.09999999998</v>
      </c>
      <c r="X103" s="38"/>
      <c r="Y103" s="490"/>
    </row>
    <row r="104" spans="1:29" ht="30" customHeight="1">
      <c r="A104" s="508"/>
      <c r="B104" s="12" t="s">
        <v>476</v>
      </c>
      <c r="C104" s="12">
        <v>176</v>
      </c>
      <c r="D104" s="12" t="s">
        <v>16</v>
      </c>
      <c r="E104" s="12">
        <v>6100053902</v>
      </c>
      <c r="F104" s="12">
        <v>243</v>
      </c>
      <c r="G104" s="13">
        <v>45736.5</v>
      </c>
      <c r="H104" s="13"/>
      <c r="I104" s="13" t="e">
        <f>#REF!</f>
        <v>#REF!</v>
      </c>
      <c r="J104" s="13" t="e">
        <f>#REF!</f>
        <v>#REF!</v>
      </c>
      <c r="K104" s="13"/>
      <c r="L104" s="60"/>
      <c r="M104" s="60"/>
      <c r="N104" s="60"/>
      <c r="O104" s="60"/>
      <c r="P104" s="60"/>
      <c r="Q104" s="112">
        <f>'Подробный перечень'!$Q$443</f>
        <v>0</v>
      </c>
      <c r="R104" s="112"/>
      <c r="S104" s="112"/>
      <c r="T104" s="112"/>
      <c r="U104" s="112"/>
      <c r="V104" s="60">
        <f>'Подробный перечень'!$V$443</f>
        <v>121850</v>
      </c>
      <c r="W104" s="60">
        <f>'Подробный перечень'!$W$443</f>
        <v>0</v>
      </c>
      <c r="X104" s="38"/>
      <c r="Y104" s="490"/>
      <c r="Z104" s="455">
        <f>Q103</f>
        <v>353717.60000000003</v>
      </c>
      <c r="AA104" s="100">
        <f>V101</f>
        <v>542534.30000000005</v>
      </c>
      <c r="AC104" s="100">
        <f>W101</f>
        <v>325122.09999999998</v>
      </c>
    </row>
    <row r="105" spans="1:29" ht="32.25" customHeight="1">
      <c r="A105" s="508"/>
      <c r="B105" s="12" t="s">
        <v>12</v>
      </c>
      <c r="C105" s="12"/>
      <c r="D105" s="12"/>
      <c r="E105" s="12"/>
      <c r="F105" s="12"/>
      <c r="G105" s="13"/>
      <c r="H105" s="13"/>
      <c r="I105" s="13"/>
      <c r="J105" s="13"/>
      <c r="K105" s="13"/>
      <c r="L105" s="60"/>
      <c r="M105" s="60"/>
      <c r="N105" s="60"/>
      <c r="O105" s="60"/>
      <c r="P105" s="60"/>
      <c r="Q105" s="112"/>
      <c r="R105" s="112"/>
      <c r="S105" s="112"/>
      <c r="T105" s="112"/>
      <c r="U105" s="112"/>
      <c r="V105" s="60"/>
      <c r="W105" s="60"/>
      <c r="X105" s="38"/>
      <c r="Y105" s="490"/>
      <c r="Z105" s="455">
        <f>Q145</f>
        <v>506462.09999999992</v>
      </c>
      <c r="AA105" s="100">
        <f>V145</f>
        <v>254007</v>
      </c>
      <c r="AC105" s="100">
        <f>W145</f>
        <v>298398.50000000006</v>
      </c>
    </row>
    <row r="106" spans="1:29" ht="31.95" customHeight="1">
      <c r="A106" s="509"/>
      <c r="B106" s="12" t="s">
        <v>665</v>
      </c>
      <c r="C106" s="12"/>
      <c r="D106" s="12"/>
      <c r="E106" s="12"/>
      <c r="F106" s="12"/>
      <c r="G106" s="13"/>
      <c r="H106" s="13"/>
      <c r="I106" s="13"/>
      <c r="J106" s="13"/>
      <c r="K106" s="13"/>
      <c r="L106" s="60"/>
      <c r="M106" s="60"/>
      <c r="N106" s="60"/>
      <c r="O106" s="60"/>
      <c r="P106" s="60"/>
      <c r="Q106" s="112"/>
      <c r="R106" s="112"/>
      <c r="S106" s="112"/>
      <c r="T106" s="112"/>
      <c r="U106" s="112"/>
      <c r="V106" s="60"/>
      <c r="W106" s="60"/>
      <c r="X106" s="49"/>
      <c r="Y106" s="491"/>
      <c r="Z106" s="455">
        <f>Z104+Z105</f>
        <v>860179.7</v>
      </c>
      <c r="AA106" s="100">
        <f t="shared" ref="AA106:AC106" si="20">AA104+AA105</f>
        <v>796541.3</v>
      </c>
      <c r="AB106" s="100">
        <f t="shared" si="20"/>
        <v>0</v>
      </c>
      <c r="AC106" s="100">
        <f t="shared" si="20"/>
        <v>623520.60000000009</v>
      </c>
    </row>
    <row r="107" spans="1:29" ht="13.2" customHeight="1">
      <c r="A107" s="30" t="s">
        <v>42</v>
      </c>
      <c r="B107" s="12"/>
      <c r="C107" s="12"/>
      <c r="D107" s="12"/>
      <c r="E107" s="12"/>
      <c r="F107" s="12"/>
      <c r="G107" s="13"/>
      <c r="H107" s="13"/>
      <c r="I107" s="13"/>
      <c r="J107" s="13"/>
      <c r="K107" s="13"/>
      <c r="L107" s="60"/>
      <c r="M107" s="60"/>
      <c r="N107" s="60"/>
      <c r="O107" s="60"/>
      <c r="P107" s="60"/>
      <c r="Q107" s="112"/>
      <c r="R107" s="120"/>
      <c r="S107" s="120"/>
      <c r="T107" s="120"/>
      <c r="U107" s="120"/>
      <c r="V107" s="86"/>
      <c r="W107" s="86"/>
      <c r="X107" s="61"/>
      <c r="Y107" s="61"/>
      <c r="Z107" s="456"/>
    </row>
    <row r="108" spans="1:29" ht="15.6" customHeight="1">
      <c r="A108" s="14" t="s">
        <v>43</v>
      </c>
      <c r="B108" s="63" t="s">
        <v>461</v>
      </c>
      <c r="C108" s="63">
        <v>176</v>
      </c>
      <c r="D108" s="63" t="s">
        <v>16</v>
      </c>
      <c r="E108" s="63">
        <v>6100004040</v>
      </c>
      <c r="F108" s="63">
        <v>243</v>
      </c>
      <c r="G108" s="47" t="e">
        <f>SUM(H108:K108)</f>
        <v>#REF!</v>
      </c>
      <c r="H108" s="29" t="e">
        <f>#REF!</f>
        <v>#REF!</v>
      </c>
      <c r="I108" s="29" t="e">
        <f>#REF!</f>
        <v>#REF!</v>
      </c>
      <c r="J108" s="29" t="e">
        <f>#REF!</f>
        <v>#REF!</v>
      </c>
      <c r="K108" s="29" t="e">
        <f>#REF!</f>
        <v>#REF!</v>
      </c>
      <c r="L108" s="87"/>
      <c r="M108" s="87"/>
      <c r="N108" s="87"/>
      <c r="O108" s="87"/>
      <c r="P108" s="87"/>
      <c r="Q108" s="113"/>
      <c r="R108" s="113"/>
      <c r="S108" s="113"/>
      <c r="T108" s="113"/>
      <c r="U108" s="113"/>
      <c r="V108" s="87"/>
      <c r="W108" s="88"/>
      <c r="X108" s="61"/>
      <c r="Y108" s="61"/>
      <c r="Z108" s="455">
        <f>Z106+Q309</f>
        <v>3828522.1123894732</v>
      </c>
      <c r="AA108" s="100">
        <f>AA106+V309</f>
        <v>2892987.0894736843</v>
      </c>
      <c r="AC108" s="100">
        <f>AC106+W309</f>
        <v>2333218.3894736837</v>
      </c>
    </row>
    <row r="109" spans="1:29" ht="15.6" customHeight="1">
      <c r="A109" s="14" t="s">
        <v>44</v>
      </c>
      <c r="B109" s="171" t="s">
        <v>461</v>
      </c>
      <c r="C109" s="63">
        <v>176</v>
      </c>
      <c r="D109" s="63" t="s">
        <v>16</v>
      </c>
      <c r="E109" s="63">
        <v>6100004040</v>
      </c>
      <c r="F109" s="63">
        <v>243</v>
      </c>
      <c r="G109" s="47" t="e">
        <f t="shared" ref="G109:G141" si="21">SUM(H109:K109)</f>
        <v>#REF!</v>
      </c>
      <c r="H109" s="29" t="e">
        <f>#REF!</f>
        <v>#REF!</v>
      </c>
      <c r="I109" s="29" t="e">
        <f>#REF!</f>
        <v>#REF!</v>
      </c>
      <c r="J109" s="29" t="e">
        <f>#REF!</f>
        <v>#REF!</v>
      </c>
      <c r="K109" s="29" t="e">
        <f>#REF!</f>
        <v>#REF!</v>
      </c>
      <c r="L109" s="87">
        <f>'Подробный перечень'!L459</f>
        <v>40874.1</v>
      </c>
      <c r="M109" s="87">
        <f>'Подробный перечень'!M459</f>
        <v>40874.1</v>
      </c>
      <c r="N109" s="87"/>
      <c r="O109" s="87"/>
      <c r="P109" s="87"/>
      <c r="Q109" s="113"/>
      <c r="R109" s="113"/>
      <c r="S109" s="113"/>
      <c r="T109" s="113"/>
      <c r="U109" s="113"/>
      <c r="V109" s="87">
        <f>'Подробный перечень'!$V$455</f>
        <v>0</v>
      </c>
      <c r="W109" s="88">
        <f>'Подробный перечень'!$W$455</f>
        <v>33031.199999999997</v>
      </c>
      <c r="X109" s="61"/>
      <c r="Y109" s="61"/>
      <c r="Z109" s="465"/>
    </row>
    <row r="110" spans="1:29" ht="15.6" customHeight="1">
      <c r="A110" s="14" t="s">
        <v>45</v>
      </c>
      <c r="B110" s="171" t="s">
        <v>461</v>
      </c>
      <c r="C110" s="63">
        <v>176</v>
      </c>
      <c r="D110" s="63" t="s">
        <v>16</v>
      </c>
      <c r="E110" s="63">
        <v>6100004040</v>
      </c>
      <c r="F110" s="63">
        <v>243</v>
      </c>
      <c r="G110" s="47" t="e">
        <f t="shared" si="21"/>
        <v>#REF!</v>
      </c>
      <c r="H110" s="29" t="e">
        <f>#REF!</f>
        <v>#REF!</v>
      </c>
      <c r="I110" s="29" t="e">
        <f>#REF!</f>
        <v>#REF!</v>
      </c>
      <c r="J110" s="29" t="e">
        <f>#REF!</f>
        <v>#REF!</v>
      </c>
      <c r="K110" s="29" t="e">
        <f>#REF!</f>
        <v>#REF!</v>
      </c>
      <c r="L110" s="87">
        <f>'Подробный перечень'!L465</f>
        <v>28017.5</v>
      </c>
      <c r="M110" s="87">
        <f>'Подробный перечень'!M465</f>
        <v>19145.5</v>
      </c>
      <c r="N110" s="87">
        <f>'Подробный перечень'!N465</f>
        <v>8872</v>
      </c>
      <c r="O110" s="87"/>
      <c r="P110" s="87"/>
      <c r="Q110" s="113">
        <f>'Подробный перечень'!$Q$465</f>
        <v>0</v>
      </c>
      <c r="R110" s="113"/>
      <c r="S110" s="113"/>
      <c r="T110" s="113"/>
      <c r="U110" s="113"/>
      <c r="V110" s="87">
        <f>'Подробный перечень'!$V$465</f>
        <v>4362.6000000000004</v>
      </c>
      <c r="W110" s="88"/>
      <c r="X110" s="61"/>
      <c r="Y110" s="61"/>
      <c r="Z110" s="455"/>
    </row>
    <row r="111" spans="1:29" ht="15.6" customHeight="1">
      <c r="A111" s="14" t="s">
        <v>46</v>
      </c>
      <c r="B111" s="171" t="s">
        <v>461</v>
      </c>
      <c r="C111" s="63">
        <v>176</v>
      </c>
      <c r="D111" s="63" t="s">
        <v>16</v>
      </c>
      <c r="E111" s="63">
        <v>6100004040</v>
      </c>
      <c r="F111" s="63">
        <v>243</v>
      </c>
      <c r="G111" s="47" t="e">
        <f t="shared" si="21"/>
        <v>#REF!</v>
      </c>
      <c r="H111" s="29" t="e">
        <f>#REF!</f>
        <v>#REF!</v>
      </c>
      <c r="I111" s="29" t="e">
        <f>#REF!</f>
        <v>#REF!</v>
      </c>
      <c r="J111" s="29" t="e">
        <f>#REF!</f>
        <v>#REF!</v>
      </c>
      <c r="K111" s="29" t="e">
        <f>#REF!</f>
        <v>#REF!</v>
      </c>
      <c r="L111" s="87">
        <f>'Подробный перечень'!L473</f>
        <v>19623</v>
      </c>
      <c r="M111" s="87">
        <f>'Подробный перечень'!M473</f>
        <v>19623</v>
      </c>
      <c r="N111" s="87"/>
      <c r="O111" s="87"/>
      <c r="P111" s="87"/>
      <c r="Q111" s="113"/>
      <c r="R111" s="113"/>
      <c r="S111" s="113"/>
      <c r="T111" s="113"/>
      <c r="U111" s="113"/>
      <c r="V111" s="87"/>
      <c r="W111" s="88"/>
      <c r="X111" s="61"/>
      <c r="Y111" s="61"/>
      <c r="Z111" s="100"/>
    </row>
    <row r="112" spans="1:29" ht="15.6" customHeight="1">
      <c r="A112" s="14" t="s">
        <v>47</v>
      </c>
      <c r="B112" s="171" t="s">
        <v>461</v>
      </c>
      <c r="C112" s="63">
        <v>176</v>
      </c>
      <c r="D112" s="63" t="s">
        <v>16</v>
      </c>
      <c r="E112" s="63">
        <v>6100004040</v>
      </c>
      <c r="F112" s="63">
        <v>243</v>
      </c>
      <c r="G112" s="47" t="e">
        <f t="shared" si="21"/>
        <v>#REF!</v>
      </c>
      <c r="H112" s="29" t="e">
        <f>#REF!</f>
        <v>#REF!</v>
      </c>
      <c r="I112" s="29" t="e">
        <f>#REF!</f>
        <v>#REF!</v>
      </c>
      <c r="J112" s="29" t="e">
        <f>#REF!</f>
        <v>#REF!</v>
      </c>
      <c r="K112" s="29" t="e">
        <f>#REF!</f>
        <v>#REF!</v>
      </c>
      <c r="L112" s="87"/>
      <c r="M112" s="87"/>
      <c r="N112" s="87"/>
      <c r="O112" s="87"/>
      <c r="P112" s="87"/>
      <c r="Q112" s="113"/>
      <c r="R112" s="113"/>
      <c r="S112" s="113"/>
      <c r="T112" s="113"/>
      <c r="U112" s="113"/>
      <c r="V112" s="87">
        <f>'Подробный перечень'!$V$483</f>
        <v>0</v>
      </c>
      <c r="W112" s="88">
        <f>'Подробный перечень'!$W$483</f>
        <v>35962.199999999997</v>
      </c>
      <c r="X112" s="61"/>
      <c r="Y112" s="61"/>
      <c r="Z112" s="100"/>
    </row>
    <row r="113" spans="1:30" ht="15.6" customHeight="1">
      <c r="A113" s="14" t="s">
        <v>48</v>
      </c>
      <c r="B113" s="171" t="s">
        <v>461</v>
      </c>
      <c r="C113" s="63">
        <v>176</v>
      </c>
      <c r="D113" s="63" t="s">
        <v>16</v>
      </c>
      <c r="E113" s="63">
        <v>6100004040</v>
      </c>
      <c r="F113" s="63">
        <v>243</v>
      </c>
      <c r="G113" s="47" t="e">
        <f t="shared" si="21"/>
        <v>#REF!</v>
      </c>
      <c r="H113" s="29" t="e">
        <f>#REF!</f>
        <v>#REF!</v>
      </c>
      <c r="I113" s="29" t="e">
        <f>#REF!</f>
        <v>#REF!</v>
      </c>
      <c r="J113" s="29" t="e">
        <f>#REF!</f>
        <v>#REF!</v>
      </c>
      <c r="K113" s="29" t="e">
        <f>#REF!</f>
        <v>#REF!</v>
      </c>
      <c r="L113" s="87">
        <f>'Подробный перечень'!L489</f>
        <v>3956.3</v>
      </c>
      <c r="M113" s="87">
        <f>'Подробный перечень'!M489</f>
        <v>3956.3</v>
      </c>
      <c r="N113" s="87"/>
      <c r="O113" s="87"/>
      <c r="P113" s="87"/>
      <c r="Q113" s="113">
        <f>'Подробный перечень'!Q489</f>
        <v>11811.6</v>
      </c>
      <c r="R113" s="113"/>
      <c r="S113" s="113"/>
      <c r="T113" s="113">
        <f>'Подробный перечень'!$T$489</f>
        <v>11811.6</v>
      </c>
      <c r="U113" s="113"/>
      <c r="V113" s="87">
        <f>'Подробный перечень'!$V$489</f>
        <v>7326.6</v>
      </c>
      <c r="W113" s="88">
        <f>'Подробный перечень'!$W$489</f>
        <v>85491</v>
      </c>
      <c r="X113" s="61"/>
      <c r="Y113" s="61"/>
      <c r="Z113" s="100"/>
    </row>
    <row r="114" spans="1:30" ht="15.6" customHeight="1">
      <c r="A114" s="14" t="s">
        <v>49</v>
      </c>
      <c r="B114" s="171" t="s">
        <v>461</v>
      </c>
      <c r="C114" s="63">
        <v>176</v>
      </c>
      <c r="D114" s="63" t="s">
        <v>16</v>
      </c>
      <c r="E114" s="63">
        <v>6100004040</v>
      </c>
      <c r="F114" s="63">
        <v>243</v>
      </c>
      <c r="G114" s="47" t="e">
        <f t="shared" si="21"/>
        <v>#REF!</v>
      </c>
      <c r="H114" s="29" t="e">
        <f>#REF!</f>
        <v>#REF!</v>
      </c>
      <c r="I114" s="29" t="e">
        <f>#REF!</f>
        <v>#REF!</v>
      </c>
      <c r="J114" s="29" t="e">
        <f>#REF!</f>
        <v>#REF!</v>
      </c>
      <c r="K114" s="29" t="e">
        <f>#REF!</f>
        <v>#REF!</v>
      </c>
      <c r="L114" s="87"/>
      <c r="M114" s="87"/>
      <c r="N114" s="87"/>
      <c r="O114" s="87"/>
      <c r="P114" s="87"/>
      <c r="Q114" s="113">
        <f>'Подробный перечень'!$Q$497</f>
        <v>42978.9</v>
      </c>
      <c r="R114" s="113"/>
      <c r="S114" s="113"/>
      <c r="T114" s="113">
        <f>'Подробный перечень'!$T$497</f>
        <v>800</v>
      </c>
      <c r="U114" s="113">
        <f>'Подробный перечень'!$U$497</f>
        <v>42178.9</v>
      </c>
      <c r="V114" s="87">
        <f>'Подробный перечень'!$V$497</f>
        <v>67056.600000000006</v>
      </c>
      <c r="W114" s="88">
        <f>'Подробный перечень'!$W$497</f>
        <v>29148.5</v>
      </c>
      <c r="X114" s="61"/>
      <c r="Y114" s="61"/>
      <c r="Z114" s="100"/>
      <c r="AD114" s="100"/>
    </row>
    <row r="115" spans="1:30" ht="16.95" customHeight="1">
      <c r="A115" s="14" t="s">
        <v>50</v>
      </c>
      <c r="B115" s="171" t="s">
        <v>461</v>
      </c>
      <c r="C115" s="63">
        <v>176</v>
      </c>
      <c r="D115" s="63" t="s">
        <v>16</v>
      </c>
      <c r="E115" s="63">
        <v>6100004040</v>
      </c>
      <c r="F115" s="63">
        <v>243</v>
      </c>
      <c r="G115" s="47" t="e">
        <f t="shared" si="21"/>
        <v>#REF!</v>
      </c>
      <c r="H115" s="29" t="e">
        <f>#REF!</f>
        <v>#REF!</v>
      </c>
      <c r="I115" s="29" t="e">
        <f>#REF!</f>
        <v>#REF!</v>
      </c>
      <c r="J115" s="29" t="e">
        <f>#REF!</f>
        <v>#REF!</v>
      </c>
      <c r="K115" s="29" t="e">
        <f>#REF!</f>
        <v>#REF!</v>
      </c>
      <c r="L115" s="87"/>
      <c r="M115" s="87"/>
      <c r="N115" s="87"/>
      <c r="O115" s="87"/>
      <c r="P115" s="87"/>
      <c r="Q115" s="113">
        <f>'Подробный перечень'!$Q$507</f>
        <v>0</v>
      </c>
      <c r="R115" s="113"/>
      <c r="S115" s="113"/>
      <c r="T115" s="113"/>
      <c r="U115" s="113"/>
      <c r="V115" s="87">
        <f>'Подробный перечень'!$V$507</f>
        <v>4077</v>
      </c>
      <c r="W115" s="88"/>
      <c r="X115" s="61"/>
      <c r="Y115" s="61"/>
    </row>
    <row r="116" spans="1:30" ht="15.6" customHeight="1">
      <c r="A116" s="14" t="s">
        <v>51</v>
      </c>
      <c r="B116" s="171" t="s">
        <v>461</v>
      </c>
      <c r="C116" s="63">
        <v>176</v>
      </c>
      <c r="D116" s="63" t="s">
        <v>16</v>
      </c>
      <c r="E116" s="63">
        <v>6100004040</v>
      </c>
      <c r="F116" s="63">
        <v>243</v>
      </c>
      <c r="G116" s="47" t="e">
        <f t="shared" si="21"/>
        <v>#REF!</v>
      </c>
      <c r="H116" s="29" t="e">
        <f>#REF!</f>
        <v>#REF!</v>
      </c>
      <c r="I116" s="29" t="e">
        <f>#REF!</f>
        <v>#REF!</v>
      </c>
      <c r="J116" s="29" t="e">
        <f>#REF!</f>
        <v>#REF!</v>
      </c>
      <c r="K116" s="29" t="e">
        <f>#REF!</f>
        <v>#REF!</v>
      </c>
      <c r="L116" s="87"/>
      <c r="M116" s="87"/>
      <c r="N116" s="87"/>
      <c r="O116" s="87"/>
      <c r="P116" s="87"/>
      <c r="Q116" s="113">
        <f>'Подробный перечень'!$Q$521</f>
        <v>67748.600000000006</v>
      </c>
      <c r="R116" s="113"/>
      <c r="S116" s="113"/>
      <c r="T116" s="113">
        <f>'Подробный перечень'!$T$521</f>
        <v>60932.9</v>
      </c>
      <c r="U116" s="113">
        <f>'Подробный перечень'!$U$521</f>
        <v>6815.7000000000007</v>
      </c>
      <c r="V116" s="87">
        <f>'Подробный перечень'!$V$521</f>
        <v>10704.1</v>
      </c>
      <c r="W116" s="88">
        <f>'Подробный перечень'!$W$521</f>
        <v>0</v>
      </c>
      <c r="X116" s="61"/>
      <c r="Y116" s="61"/>
      <c r="AD116" s="100"/>
    </row>
    <row r="117" spans="1:30" ht="15.6" customHeight="1">
      <c r="A117" s="14" t="s">
        <v>52</v>
      </c>
      <c r="B117" s="171" t="s">
        <v>461</v>
      </c>
      <c r="C117" s="63">
        <v>176</v>
      </c>
      <c r="D117" s="63" t="s">
        <v>16</v>
      </c>
      <c r="E117" s="63">
        <v>6100004040</v>
      </c>
      <c r="F117" s="63">
        <v>243</v>
      </c>
      <c r="G117" s="47" t="e">
        <f t="shared" si="21"/>
        <v>#REF!</v>
      </c>
      <c r="H117" s="29" t="e">
        <f>#REF!</f>
        <v>#REF!</v>
      </c>
      <c r="I117" s="29" t="e">
        <f>#REF!</f>
        <v>#REF!</v>
      </c>
      <c r="J117" s="29" t="e">
        <f>#REF!</f>
        <v>#REF!</v>
      </c>
      <c r="K117" s="29" t="e">
        <f>#REF!</f>
        <v>#REF!</v>
      </c>
      <c r="L117" s="87"/>
      <c r="M117" s="87"/>
      <c r="N117" s="87"/>
      <c r="O117" s="87"/>
      <c r="P117" s="87"/>
      <c r="Q117" s="113">
        <f>'Подробный перечень'!$Q$533</f>
        <v>44592</v>
      </c>
      <c r="R117" s="113"/>
      <c r="S117" s="113">
        <f>'Подробный перечень'!$S$533</f>
        <v>4275</v>
      </c>
      <c r="T117" s="113">
        <f>'Подробный перечень'!$T$533</f>
        <v>29653.1</v>
      </c>
      <c r="U117" s="113">
        <f>'Подробный перечень'!$U$533</f>
        <v>10663.9</v>
      </c>
      <c r="V117" s="87">
        <f>'Подробный перечень'!$V$533</f>
        <v>104130.3</v>
      </c>
      <c r="W117" s="88">
        <f>'Подробный перечень'!$W$533</f>
        <v>38152.199999999997</v>
      </c>
      <c r="X117" s="61"/>
      <c r="Y117" s="61"/>
      <c r="AD117" s="100"/>
    </row>
    <row r="118" spans="1:30" ht="15.6" customHeight="1">
      <c r="A118" s="14" t="s">
        <v>53</v>
      </c>
      <c r="B118" s="171" t="s">
        <v>461</v>
      </c>
      <c r="C118" s="63">
        <v>176</v>
      </c>
      <c r="D118" s="63" t="s">
        <v>16</v>
      </c>
      <c r="E118" s="63">
        <v>6100004040</v>
      </c>
      <c r="F118" s="63">
        <v>243</v>
      </c>
      <c r="G118" s="47" t="e">
        <f t="shared" si="21"/>
        <v>#REF!</v>
      </c>
      <c r="H118" s="29" t="e">
        <f>#REF!</f>
        <v>#REF!</v>
      </c>
      <c r="I118" s="29" t="e">
        <f>#REF!</f>
        <v>#REF!</v>
      </c>
      <c r="J118" s="29" t="e">
        <f>#REF!</f>
        <v>#REF!</v>
      </c>
      <c r="K118" s="29" t="e">
        <f>#REF!</f>
        <v>#REF!</v>
      </c>
      <c r="L118" s="87"/>
      <c r="M118" s="87"/>
      <c r="N118" s="87"/>
      <c r="O118" s="87"/>
      <c r="P118" s="87"/>
      <c r="Q118" s="113"/>
      <c r="R118" s="113"/>
      <c r="S118" s="113"/>
      <c r="T118" s="113"/>
      <c r="U118" s="113"/>
      <c r="V118" s="87">
        <f>'Подробный перечень'!$V$547</f>
        <v>3237.3</v>
      </c>
      <c r="W118" s="88"/>
      <c r="X118" s="61"/>
      <c r="Y118" s="61"/>
    </row>
    <row r="119" spans="1:30" ht="15.6" customHeight="1">
      <c r="A119" s="14" t="s">
        <v>54</v>
      </c>
      <c r="B119" s="171" t="s">
        <v>461</v>
      </c>
      <c r="C119" s="63">
        <v>176</v>
      </c>
      <c r="D119" s="63" t="s">
        <v>16</v>
      </c>
      <c r="E119" s="63">
        <v>6100004040</v>
      </c>
      <c r="F119" s="63">
        <v>243</v>
      </c>
      <c r="G119" s="47" t="e">
        <f t="shared" si="21"/>
        <v>#REF!</v>
      </c>
      <c r="H119" s="29" t="e">
        <f>#REF!</f>
        <v>#REF!</v>
      </c>
      <c r="I119" s="29" t="e">
        <f>#REF!</f>
        <v>#REF!</v>
      </c>
      <c r="J119" s="29" t="e">
        <f>#REF!</f>
        <v>#REF!</v>
      </c>
      <c r="K119" s="29" t="e">
        <f>#REF!</f>
        <v>#REF!</v>
      </c>
      <c r="L119" s="87"/>
      <c r="M119" s="87"/>
      <c r="N119" s="87"/>
      <c r="O119" s="87"/>
      <c r="P119" s="87"/>
      <c r="Q119" s="113">
        <f>'Подробный перечень'!$Q$551</f>
        <v>49253.599999999999</v>
      </c>
      <c r="R119" s="113">
        <f>'Подробный перечень'!$R$551</f>
        <v>19324.2</v>
      </c>
      <c r="S119" s="113">
        <f>'Подробный перечень'!$S$551</f>
        <v>15325.8</v>
      </c>
      <c r="T119" s="113">
        <f>'Подробный перечень'!$T$551</f>
        <v>10350</v>
      </c>
      <c r="U119" s="113">
        <f>'Подробный перечень'!$U$551</f>
        <v>4253.6000000000004</v>
      </c>
      <c r="V119" s="87">
        <f>'Подробный перечень'!$V$551</f>
        <v>5329.3</v>
      </c>
      <c r="W119" s="88">
        <f>'Подробный перечень'!$W$551</f>
        <v>16000</v>
      </c>
      <c r="X119" s="61"/>
      <c r="Y119" s="61"/>
      <c r="Z119" s="100"/>
    </row>
    <row r="120" spans="1:30" ht="15.6" customHeight="1">
      <c r="A120" s="14" t="s">
        <v>55</v>
      </c>
      <c r="B120" s="171" t="s">
        <v>461</v>
      </c>
      <c r="C120" s="63">
        <v>176</v>
      </c>
      <c r="D120" s="63" t="s">
        <v>16</v>
      </c>
      <c r="E120" s="63">
        <v>6100004040</v>
      </c>
      <c r="F120" s="63">
        <v>243</v>
      </c>
      <c r="G120" s="47" t="e">
        <f t="shared" si="21"/>
        <v>#REF!</v>
      </c>
      <c r="H120" s="29" t="e">
        <f>#REF!</f>
        <v>#REF!</v>
      </c>
      <c r="I120" s="29" t="e">
        <f>#REF!</f>
        <v>#REF!</v>
      </c>
      <c r="J120" s="29" t="e">
        <f>#REF!</f>
        <v>#REF!</v>
      </c>
      <c r="K120" s="29" t="e">
        <f>#REF!</f>
        <v>#REF!</v>
      </c>
      <c r="L120" s="87">
        <f>'Подробный перечень'!L557</f>
        <v>5366</v>
      </c>
      <c r="M120" s="87"/>
      <c r="N120" s="87"/>
      <c r="O120" s="87"/>
      <c r="P120" s="87">
        <f>'Подробный перечень'!P557</f>
        <v>5366</v>
      </c>
      <c r="Q120" s="113">
        <f>'Подробный перечень'!$Q$557</f>
        <v>12262.900000000001</v>
      </c>
      <c r="R120" s="113"/>
      <c r="S120" s="113"/>
      <c r="T120" s="113">
        <f>'Подробный перечень'!$T$561</f>
        <v>7366.8</v>
      </c>
      <c r="U120" s="113">
        <f>'Подробный перечень'!U557</f>
        <v>4896.1000000000004</v>
      </c>
      <c r="V120" s="87">
        <f>'Подробный перечень'!$V$557</f>
        <v>0</v>
      </c>
      <c r="W120" s="88">
        <f>'Подробный перечень'!$W$557</f>
        <v>0</v>
      </c>
      <c r="X120" s="61"/>
      <c r="Y120" s="61"/>
    </row>
    <row r="121" spans="1:30" ht="15.6" customHeight="1">
      <c r="A121" s="14" t="s">
        <v>56</v>
      </c>
      <c r="B121" s="171" t="s">
        <v>461</v>
      </c>
      <c r="C121" s="63">
        <v>176</v>
      </c>
      <c r="D121" s="63" t="s">
        <v>16</v>
      </c>
      <c r="E121" s="63">
        <v>6100004040</v>
      </c>
      <c r="F121" s="63">
        <v>243</v>
      </c>
      <c r="G121" s="47" t="e">
        <f t="shared" si="21"/>
        <v>#REF!</v>
      </c>
      <c r="H121" s="29" t="e">
        <f>#REF!</f>
        <v>#REF!</v>
      </c>
      <c r="I121" s="29" t="e">
        <f>#REF!</f>
        <v>#REF!</v>
      </c>
      <c r="J121" s="29" t="e">
        <f>#REF!</f>
        <v>#REF!</v>
      </c>
      <c r="K121" s="29" t="e">
        <f>#REF!</f>
        <v>#REF!</v>
      </c>
      <c r="L121" s="87">
        <f>'Подробный перечень'!L563</f>
        <v>2368.4</v>
      </c>
      <c r="M121" s="87">
        <f>'Подробный перечень'!M563</f>
        <v>2368.4</v>
      </c>
      <c r="N121" s="87"/>
      <c r="O121" s="87"/>
      <c r="P121" s="87"/>
      <c r="Q121" s="113">
        <f>'Подробный перечень'!$Q$563</f>
        <v>6629.2</v>
      </c>
      <c r="R121" s="113"/>
      <c r="S121" s="113"/>
      <c r="T121" s="113">
        <f>'Подробный перечень'!$T$563</f>
        <v>6629.2</v>
      </c>
      <c r="U121" s="113"/>
      <c r="V121" s="87"/>
      <c r="W121" s="88"/>
      <c r="X121" s="61"/>
      <c r="Y121" s="61"/>
    </row>
    <row r="122" spans="1:30" ht="15.6" customHeight="1">
      <c r="A122" s="14" t="s">
        <v>57</v>
      </c>
      <c r="B122" s="171" t="s">
        <v>461</v>
      </c>
      <c r="C122" s="63">
        <v>176</v>
      </c>
      <c r="D122" s="63" t="s">
        <v>16</v>
      </c>
      <c r="E122" s="63">
        <v>6100004040</v>
      </c>
      <c r="F122" s="63">
        <v>243</v>
      </c>
      <c r="G122" s="47" t="e">
        <f t="shared" si="21"/>
        <v>#REF!</v>
      </c>
      <c r="H122" s="29" t="e">
        <f>#REF!</f>
        <v>#REF!</v>
      </c>
      <c r="I122" s="29" t="e">
        <f>#REF!</f>
        <v>#REF!</v>
      </c>
      <c r="J122" s="29" t="e">
        <f>#REF!</f>
        <v>#REF!</v>
      </c>
      <c r="K122" s="29" t="e">
        <f>#REF!</f>
        <v>#REF!</v>
      </c>
      <c r="L122" s="87">
        <f>'Подробный перечень'!L573</f>
        <v>3936.2000000000003</v>
      </c>
      <c r="M122" s="87">
        <f>'Подробный перечень'!M573</f>
        <v>3936.2000000000003</v>
      </c>
      <c r="N122" s="87"/>
      <c r="O122" s="87"/>
      <c r="P122" s="87"/>
      <c r="Q122" s="113">
        <f>'Подробный перечень'!Q573</f>
        <v>29242.799999999999</v>
      </c>
      <c r="R122" s="113"/>
      <c r="S122" s="113"/>
      <c r="T122" s="113"/>
      <c r="U122" s="113">
        <f>'Подробный перечень'!U573</f>
        <v>29242.799999999999</v>
      </c>
      <c r="V122" s="87"/>
      <c r="W122" s="88"/>
      <c r="X122" s="61"/>
      <c r="Y122" s="61"/>
    </row>
    <row r="123" spans="1:30" ht="15.6" customHeight="1">
      <c r="A123" s="14" t="s">
        <v>58</v>
      </c>
      <c r="B123" s="171" t="s">
        <v>461</v>
      </c>
      <c r="C123" s="63">
        <v>176</v>
      </c>
      <c r="D123" s="63" t="s">
        <v>16</v>
      </c>
      <c r="E123" s="63">
        <v>6100004040</v>
      </c>
      <c r="F123" s="63">
        <v>243</v>
      </c>
      <c r="G123" s="47" t="e">
        <f t="shared" si="21"/>
        <v>#REF!</v>
      </c>
      <c r="H123" s="29" t="e">
        <f>#REF!</f>
        <v>#REF!</v>
      </c>
      <c r="I123" s="29" t="e">
        <f>#REF!</f>
        <v>#REF!</v>
      </c>
      <c r="J123" s="29" t="e">
        <f>#REF!</f>
        <v>#REF!</v>
      </c>
      <c r="K123" s="29" t="e">
        <f>#REF!</f>
        <v>#REF!</v>
      </c>
      <c r="L123" s="87">
        <f>'Подробный перечень'!L579</f>
        <v>6197.1</v>
      </c>
      <c r="M123" s="87">
        <f>'Подробный перечень'!M579</f>
        <v>5079.1000000000004</v>
      </c>
      <c r="N123" s="87"/>
      <c r="O123" s="87"/>
      <c r="P123" s="87">
        <f>'Подробный перечень'!P579</f>
        <v>1118</v>
      </c>
      <c r="Q123" s="113">
        <f>'Подробный перечень'!$Q$579</f>
        <v>7488.5</v>
      </c>
      <c r="R123" s="113"/>
      <c r="S123" s="113"/>
      <c r="T123" s="113">
        <f>'Подробный перечень'!$T$579</f>
        <v>7488.5</v>
      </c>
      <c r="U123" s="113"/>
      <c r="V123" s="87">
        <f>'Подробный перечень'!$V$579</f>
        <v>9586.4</v>
      </c>
      <c r="W123" s="88"/>
      <c r="X123" s="61"/>
      <c r="Y123" s="61"/>
    </row>
    <row r="124" spans="1:30" ht="11.4" customHeight="1">
      <c r="A124" s="14" t="s">
        <v>59</v>
      </c>
      <c r="B124" s="171" t="s">
        <v>461</v>
      </c>
      <c r="C124" s="63">
        <v>176</v>
      </c>
      <c r="D124" s="63" t="s">
        <v>16</v>
      </c>
      <c r="E124" s="63">
        <v>6100004040</v>
      </c>
      <c r="F124" s="63">
        <v>243</v>
      </c>
      <c r="G124" s="47" t="e">
        <f t="shared" si="21"/>
        <v>#REF!</v>
      </c>
      <c r="H124" s="29" t="e">
        <f>#REF!</f>
        <v>#REF!</v>
      </c>
      <c r="I124" s="29" t="e">
        <f>#REF!</f>
        <v>#REF!</v>
      </c>
      <c r="J124" s="29" t="e">
        <f>#REF!</f>
        <v>#REF!</v>
      </c>
      <c r="K124" s="29" t="e">
        <f>#REF!</f>
        <v>#REF!</v>
      </c>
      <c r="L124" s="87"/>
      <c r="M124" s="87"/>
      <c r="N124" s="87"/>
      <c r="O124" s="87"/>
      <c r="P124" s="87"/>
      <c r="Q124" s="113">
        <f>'Подробный перечень'!$Q$587</f>
        <v>0</v>
      </c>
      <c r="R124" s="113"/>
      <c r="S124" s="113"/>
      <c r="T124" s="113"/>
      <c r="U124" s="113"/>
      <c r="V124" s="87">
        <f>'Подробный перечень'!$V$587</f>
        <v>28000</v>
      </c>
      <c r="W124" s="88">
        <f>'Подробный перечень'!$W$587</f>
        <v>54096</v>
      </c>
      <c r="X124" s="61"/>
      <c r="Y124" s="61"/>
    </row>
    <row r="125" spans="1:30" ht="15.6" customHeight="1">
      <c r="A125" s="14" t="s">
        <v>60</v>
      </c>
      <c r="B125" s="171" t="s">
        <v>461</v>
      </c>
      <c r="C125" s="63">
        <v>176</v>
      </c>
      <c r="D125" s="63" t="s">
        <v>16</v>
      </c>
      <c r="E125" s="63">
        <v>6100004040</v>
      </c>
      <c r="F125" s="63">
        <v>243</v>
      </c>
      <c r="G125" s="47" t="e">
        <f t="shared" si="21"/>
        <v>#REF!</v>
      </c>
      <c r="H125" s="29" t="e">
        <f>#REF!</f>
        <v>#REF!</v>
      </c>
      <c r="I125" s="29" t="e">
        <f>#REF!</f>
        <v>#REF!</v>
      </c>
      <c r="J125" s="29" t="e">
        <f>#REF!</f>
        <v>#REF!</v>
      </c>
      <c r="K125" s="29" t="e">
        <f>#REF!</f>
        <v>#REF!</v>
      </c>
      <c r="L125" s="87">
        <f>'Подробный перечень'!L601</f>
        <v>18951.599999999999</v>
      </c>
      <c r="M125" s="87">
        <f>'Подробный перечень'!M601</f>
        <v>18951.599999999999</v>
      </c>
      <c r="N125" s="87"/>
      <c r="O125" s="87"/>
      <c r="P125" s="87"/>
      <c r="Q125" s="113"/>
      <c r="R125" s="113"/>
      <c r="S125" s="113"/>
      <c r="T125" s="113"/>
      <c r="U125" s="113"/>
      <c r="V125" s="87">
        <f>'Подробный перечень'!$V$601</f>
        <v>5714.6</v>
      </c>
      <c r="W125" s="88">
        <f>'Подробный перечень'!$W$601</f>
        <v>0</v>
      </c>
      <c r="X125" s="61"/>
      <c r="Y125" s="61"/>
    </row>
    <row r="126" spans="1:30" ht="15.6" customHeight="1">
      <c r="A126" s="484" t="s">
        <v>61</v>
      </c>
      <c r="B126" s="171" t="s">
        <v>462</v>
      </c>
      <c r="C126" s="63">
        <v>176</v>
      </c>
      <c r="D126" s="63" t="s">
        <v>16</v>
      </c>
      <c r="E126" s="63" t="s">
        <v>330</v>
      </c>
      <c r="F126" s="63">
        <v>243</v>
      </c>
      <c r="G126" s="47" t="e">
        <f t="shared" si="21"/>
        <v>#REF!</v>
      </c>
      <c r="H126" s="29" t="e">
        <f>#REF!</f>
        <v>#REF!</v>
      </c>
      <c r="I126" s="29" t="e">
        <f>#REF!</f>
        <v>#REF!</v>
      </c>
      <c r="J126" s="29" t="e">
        <f>#REF!</f>
        <v>#REF!</v>
      </c>
      <c r="K126" s="29" t="e">
        <f>#REF!</f>
        <v>#REF!</v>
      </c>
      <c r="L126" s="87"/>
      <c r="M126" s="87"/>
      <c r="N126" s="87"/>
      <c r="O126" s="87"/>
      <c r="P126" s="87"/>
      <c r="Q126" s="113">
        <f>Q127+Q128</f>
        <v>0</v>
      </c>
      <c r="R126" s="113"/>
      <c r="S126" s="113"/>
      <c r="T126" s="113"/>
      <c r="U126" s="113"/>
      <c r="V126" s="87">
        <f>V127+V128</f>
        <v>257868.6</v>
      </c>
      <c r="W126" s="88">
        <f>'Подробный перечень'!$W$609</f>
        <v>0</v>
      </c>
      <c r="X126" s="61"/>
      <c r="Y126" s="61"/>
    </row>
    <row r="127" spans="1:30" ht="15.6" customHeight="1">
      <c r="A127" s="485"/>
      <c r="B127" s="171" t="s">
        <v>461</v>
      </c>
      <c r="C127" s="171">
        <v>176</v>
      </c>
      <c r="D127" s="171" t="s">
        <v>16</v>
      </c>
      <c r="E127" s="171">
        <v>6100004040</v>
      </c>
      <c r="F127" s="171">
        <v>243</v>
      </c>
      <c r="G127" s="47"/>
      <c r="H127" s="29"/>
      <c r="I127" s="29"/>
      <c r="J127" s="29"/>
      <c r="K127" s="29"/>
      <c r="L127" s="87"/>
      <c r="M127" s="87"/>
      <c r="N127" s="87"/>
      <c r="O127" s="87"/>
      <c r="P127" s="87"/>
      <c r="Q127" s="113">
        <f>'Подробный перечень'!$Q$608</f>
        <v>0</v>
      </c>
      <c r="R127" s="113"/>
      <c r="S127" s="113"/>
      <c r="T127" s="113"/>
      <c r="U127" s="113"/>
      <c r="V127" s="87">
        <f>'Подробный перечень'!$V$608</f>
        <v>136018.6</v>
      </c>
      <c r="W127" s="88"/>
      <c r="X127" s="172"/>
      <c r="Y127" s="172"/>
      <c r="Z127" s="100"/>
    </row>
    <row r="128" spans="1:30" ht="26.4" customHeight="1">
      <c r="A128" s="486"/>
      <c r="B128" s="171" t="s">
        <v>601</v>
      </c>
      <c r="C128" s="171">
        <v>176</v>
      </c>
      <c r="D128" s="171" t="s">
        <v>16</v>
      </c>
      <c r="E128" s="171">
        <v>6100053902</v>
      </c>
      <c r="F128" s="171">
        <v>243</v>
      </c>
      <c r="G128" s="47"/>
      <c r="H128" s="29"/>
      <c r="I128" s="29"/>
      <c r="J128" s="29"/>
      <c r="K128" s="29"/>
      <c r="L128" s="87"/>
      <c r="M128" s="87"/>
      <c r="N128" s="87"/>
      <c r="O128" s="87"/>
      <c r="P128" s="87"/>
      <c r="Q128" s="113">
        <f>'Подробный перечень'!$Q$609</f>
        <v>0</v>
      </c>
      <c r="R128" s="113"/>
      <c r="S128" s="113"/>
      <c r="T128" s="113"/>
      <c r="U128" s="113"/>
      <c r="V128" s="87">
        <f>'Подробный перечень'!$V$609</f>
        <v>121850</v>
      </c>
      <c r="W128" s="88"/>
      <c r="X128" s="172"/>
      <c r="Y128" s="172"/>
    </row>
    <row r="129" spans="1:30" ht="15.6" customHeight="1">
      <c r="A129" s="14" t="s">
        <v>62</v>
      </c>
      <c r="B129" s="63" t="s">
        <v>461</v>
      </c>
      <c r="C129" s="63">
        <v>176</v>
      </c>
      <c r="D129" s="63" t="s">
        <v>16</v>
      </c>
      <c r="E129" s="63">
        <v>6100004040</v>
      </c>
      <c r="F129" s="63">
        <v>243</v>
      </c>
      <c r="G129" s="47" t="e">
        <f t="shared" si="21"/>
        <v>#REF!</v>
      </c>
      <c r="H129" s="29" t="e">
        <f>#REF!</f>
        <v>#REF!</v>
      </c>
      <c r="I129" s="29" t="e">
        <f>#REF!</f>
        <v>#REF!</v>
      </c>
      <c r="J129" s="29" t="e">
        <f>#REF!</f>
        <v>#REF!</v>
      </c>
      <c r="K129" s="29" t="e">
        <f>#REF!</f>
        <v>#REF!</v>
      </c>
      <c r="L129" s="87"/>
      <c r="M129" s="87"/>
      <c r="N129" s="87"/>
      <c r="O129" s="87"/>
      <c r="P129" s="87"/>
      <c r="Q129" s="113">
        <f>'Подробный перечень'!$Q$625</f>
        <v>7664</v>
      </c>
      <c r="R129" s="113"/>
      <c r="S129" s="113"/>
      <c r="T129" s="113">
        <f>'Подробный перечень'!$T$625</f>
        <v>7664</v>
      </c>
      <c r="U129" s="113"/>
      <c r="V129" s="87"/>
      <c r="W129" s="88"/>
      <c r="X129" s="61"/>
      <c r="Y129" s="61"/>
    </row>
    <row r="130" spans="1:30" ht="15.6" customHeight="1">
      <c r="A130" s="14" t="s">
        <v>63</v>
      </c>
      <c r="B130" s="63" t="s">
        <v>461</v>
      </c>
      <c r="C130" s="63">
        <v>176</v>
      </c>
      <c r="D130" s="63" t="s">
        <v>16</v>
      </c>
      <c r="E130" s="63">
        <v>6100004040</v>
      </c>
      <c r="F130" s="63">
        <v>243</v>
      </c>
      <c r="G130" s="47" t="e">
        <f t="shared" si="21"/>
        <v>#REF!</v>
      </c>
      <c r="H130" s="29" t="e">
        <f>#REF!</f>
        <v>#REF!</v>
      </c>
      <c r="I130" s="29" t="e">
        <f>#REF!</f>
        <v>#REF!</v>
      </c>
      <c r="J130" s="29" t="e">
        <f>#REF!</f>
        <v>#REF!</v>
      </c>
      <c r="K130" s="29" t="e">
        <f>#REF!</f>
        <v>#REF!</v>
      </c>
      <c r="L130" s="87">
        <f>'Подробный перечень'!L631</f>
        <v>57326.6</v>
      </c>
      <c r="M130" s="87"/>
      <c r="N130" s="87"/>
      <c r="O130" s="87">
        <f>'Подробный перечень'!O631</f>
        <v>57326.6</v>
      </c>
      <c r="P130" s="87"/>
      <c r="Q130" s="113">
        <f>'Подробный перечень'!$Q$631</f>
        <v>7731.6</v>
      </c>
      <c r="R130" s="113"/>
      <c r="S130" s="113"/>
      <c r="T130" s="113">
        <f>'Подробный перечень'!$T$631</f>
        <v>7731.6</v>
      </c>
      <c r="U130" s="113"/>
      <c r="V130" s="87">
        <f>'Подробный перечень'!$V$631</f>
        <v>2889.4</v>
      </c>
      <c r="W130" s="88">
        <f>'Подробный перечень'!$W$631</f>
        <v>12000</v>
      </c>
      <c r="X130" s="61"/>
      <c r="Y130" s="61"/>
      <c r="Z130" s="100"/>
    </row>
    <row r="131" spans="1:30" ht="15.6" customHeight="1">
      <c r="A131" s="14" t="s">
        <v>64</v>
      </c>
      <c r="B131" s="63" t="s">
        <v>461</v>
      </c>
      <c r="C131" s="63">
        <v>176</v>
      </c>
      <c r="D131" s="63" t="s">
        <v>16</v>
      </c>
      <c r="E131" s="63">
        <v>6100004040</v>
      </c>
      <c r="F131" s="63">
        <v>243</v>
      </c>
      <c r="G131" s="47" t="e">
        <f t="shared" si="21"/>
        <v>#REF!</v>
      </c>
      <c r="H131" s="29" t="e">
        <f>#REF!</f>
        <v>#REF!</v>
      </c>
      <c r="I131" s="29" t="e">
        <f>#REF!</f>
        <v>#REF!</v>
      </c>
      <c r="J131" s="29" t="e">
        <f>#REF!</f>
        <v>#REF!</v>
      </c>
      <c r="K131" s="29" t="e">
        <f>#REF!</f>
        <v>#REF!</v>
      </c>
      <c r="L131" s="87">
        <f>'Подробный перечень'!L645</f>
        <v>28500.7</v>
      </c>
      <c r="M131" s="87">
        <f>'Подробный перечень'!M645</f>
        <v>5500.7</v>
      </c>
      <c r="N131" s="87"/>
      <c r="O131" s="87"/>
      <c r="P131" s="87">
        <f>'Подробный перечень'!P645</f>
        <v>23000</v>
      </c>
      <c r="Q131" s="113">
        <f>'Подробный перечень'!$Q$645</f>
        <v>14288.5</v>
      </c>
      <c r="R131" s="113"/>
      <c r="S131" s="113"/>
      <c r="T131" s="113">
        <f>'Подробный перечень'!T645</f>
        <v>14288.5</v>
      </c>
      <c r="U131" s="113"/>
      <c r="V131" s="87">
        <f>'Подробный перечень'!$V$645</f>
        <v>5500</v>
      </c>
      <c r="W131" s="88"/>
      <c r="X131" s="61"/>
      <c r="Y131" s="61"/>
      <c r="AD131" s="100"/>
    </row>
    <row r="132" spans="1:30" ht="15.6" customHeight="1">
      <c r="A132" s="14" t="s">
        <v>65</v>
      </c>
      <c r="B132" s="63" t="s">
        <v>461</v>
      </c>
      <c r="C132" s="63">
        <v>176</v>
      </c>
      <c r="D132" s="63" t="s">
        <v>16</v>
      </c>
      <c r="E132" s="63">
        <v>6100004040</v>
      </c>
      <c r="F132" s="63">
        <v>243</v>
      </c>
      <c r="G132" s="47" t="e">
        <f t="shared" si="21"/>
        <v>#REF!</v>
      </c>
      <c r="H132" s="29" t="e">
        <f>#REF!</f>
        <v>#REF!</v>
      </c>
      <c r="I132" s="29" t="e">
        <f>#REF!</f>
        <v>#REF!</v>
      </c>
      <c r="J132" s="29" t="e">
        <f>#REF!</f>
        <v>#REF!</v>
      </c>
      <c r="K132" s="29" t="e">
        <f>#REF!</f>
        <v>#REF!</v>
      </c>
      <c r="L132" s="87">
        <f>'Подробный перечень'!L655</f>
        <v>5000</v>
      </c>
      <c r="M132" s="87"/>
      <c r="N132" s="87"/>
      <c r="O132" s="87">
        <f>'Подробный перечень'!O655</f>
        <v>5000</v>
      </c>
      <c r="P132" s="87"/>
      <c r="Q132" s="113"/>
      <c r="R132" s="113"/>
      <c r="S132" s="113"/>
      <c r="T132" s="113"/>
      <c r="U132" s="113"/>
      <c r="V132" s="87"/>
      <c r="W132" s="88"/>
      <c r="X132" s="61"/>
      <c r="Y132" s="61"/>
    </row>
    <row r="133" spans="1:30" ht="15.6" customHeight="1">
      <c r="A133" s="484" t="s">
        <v>66</v>
      </c>
      <c r="B133" s="63" t="s">
        <v>462</v>
      </c>
      <c r="C133" s="63">
        <v>176</v>
      </c>
      <c r="D133" s="63" t="s">
        <v>16</v>
      </c>
      <c r="E133" s="63">
        <v>6100004040</v>
      </c>
      <c r="F133" s="63">
        <v>243</v>
      </c>
      <c r="G133" s="47" t="e">
        <f t="shared" si="21"/>
        <v>#REF!</v>
      </c>
      <c r="H133" s="29" t="e">
        <f>#REF!</f>
        <v>#REF!</v>
      </c>
      <c r="I133" s="29" t="e">
        <f>#REF!</f>
        <v>#REF!</v>
      </c>
      <c r="J133" s="29" t="e">
        <f>#REF!</f>
        <v>#REF!</v>
      </c>
      <c r="K133" s="29" t="e">
        <f>#REF!</f>
        <v>#REF!</v>
      </c>
      <c r="L133" s="87">
        <f>'Подробный перечень'!L665</f>
        <v>44860.7</v>
      </c>
      <c r="M133" s="87">
        <f>'Подробный перечень'!M665</f>
        <v>30597.599999999999</v>
      </c>
      <c r="N133" s="87"/>
      <c r="O133" s="87">
        <f>'Подробный перечень'!O665</f>
        <v>14263.1</v>
      </c>
      <c r="P133" s="87"/>
      <c r="Q133" s="113">
        <f>U133</f>
        <v>29850</v>
      </c>
      <c r="R133" s="113"/>
      <c r="S133" s="113"/>
      <c r="T133" s="113"/>
      <c r="U133" s="113">
        <v>29850</v>
      </c>
      <c r="V133" s="87">
        <f>'Подробный перечень'!$V$664</f>
        <v>9600.0999999999985</v>
      </c>
      <c r="W133" s="88">
        <f>'Подробный перечень'!$W$664</f>
        <v>3000</v>
      </c>
      <c r="X133" s="61"/>
      <c r="Y133" s="61"/>
    </row>
    <row r="134" spans="1:30" ht="24.6" hidden="1" customHeight="1">
      <c r="A134" s="486"/>
      <c r="B134" s="171" t="s">
        <v>601</v>
      </c>
      <c r="C134" s="171">
        <v>176</v>
      </c>
      <c r="D134" s="171" t="s">
        <v>16</v>
      </c>
      <c r="E134" s="171">
        <v>6100053902</v>
      </c>
      <c r="F134" s="171">
        <v>243</v>
      </c>
      <c r="G134" s="47"/>
      <c r="H134" s="29"/>
      <c r="I134" s="29"/>
      <c r="J134" s="29"/>
      <c r="K134" s="29"/>
      <c r="L134" s="87"/>
      <c r="M134" s="87"/>
      <c r="N134" s="87"/>
      <c r="O134" s="87"/>
      <c r="P134" s="87"/>
      <c r="Q134" s="113">
        <f>'Подробный перечень'!Q$665</f>
        <v>0</v>
      </c>
      <c r="R134" s="113"/>
      <c r="S134" s="113"/>
      <c r="T134" s="113"/>
      <c r="U134" s="113"/>
      <c r="V134" s="87">
        <f>'Подробный перечень'!V$671</f>
        <v>0</v>
      </c>
      <c r="W134" s="88"/>
      <c r="X134" s="172"/>
      <c r="Y134" s="172"/>
      <c r="Z134" s="100"/>
    </row>
    <row r="135" spans="1:30" ht="15.6" customHeight="1">
      <c r="A135" s="14" t="s">
        <v>67</v>
      </c>
      <c r="B135" s="63" t="s">
        <v>461</v>
      </c>
      <c r="C135" s="63">
        <v>176</v>
      </c>
      <c r="D135" s="63" t="s">
        <v>16</v>
      </c>
      <c r="E135" s="63">
        <v>6100004040</v>
      </c>
      <c r="F135" s="63">
        <v>243</v>
      </c>
      <c r="G135" s="47" t="e">
        <f t="shared" si="21"/>
        <v>#REF!</v>
      </c>
      <c r="H135" s="29" t="e">
        <f>#REF!</f>
        <v>#REF!</v>
      </c>
      <c r="I135" s="29" t="e">
        <f>#REF!</f>
        <v>#REF!</v>
      </c>
      <c r="J135" s="29" t="e">
        <f>#REF!</f>
        <v>#REF!</v>
      </c>
      <c r="K135" s="29" t="e">
        <f>#REF!</f>
        <v>#REF!</v>
      </c>
      <c r="L135" s="87">
        <f>'Подробный перечень'!L675</f>
        <v>14278.7</v>
      </c>
      <c r="M135" s="87">
        <f>'Подробный перечень'!M675</f>
        <v>14278.7</v>
      </c>
      <c r="N135" s="87"/>
      <c r="O135" s="87"/>
      <c r="P135" s="87"/>
      <c r="Q135" s="113">
        <f>'Подробный перечень'!$Q$675</f>
        <v>0</v>
      </c>
      <c r="R135" s="113"/>
      <c r="S135" s="113"/>
      <c r="T135" s="113"/>
      <c r="U135" s="113"/>
      <c r="V135" s="87"/>
      <c r="W135" s="88">
        <f>'Подробный перечень'!$W$675</f>
        <v>0</v>
      </c>
      <c r="X135" s="61"/>
      <c r="Y135" s="61"/>
      <c r="Z135" s="100"/>
    </row>
    <row r="136" spans="1:30" ht="15.6" customHeight="1">
      <c r="A136" s="14" t="s">
        <v>68</v>
      </c>
      <c r="B136" s="63" t="s">
        <v>461</v>
      </c>
      <c r="C136" s="63">
        <v>176</v>
      </c>
      <c r="D136" s="63" t="s">
        <v>16</v>
      </c>
      <c r="E136" s="63">
        <v>6100004040</v>
      </c>
      <c r="F136" s="63">
        <v>243</v>
      </c>
      <c r="G136" s="47" t="e">
        <f t="shared" si="21"/>
        <v>#REF!</v>
      </c>
      <c r="H136" s="29" t="e">
        <f>#REF!</f>
        <v>#REF!</v>
      </c>
      <c r="I136" s="29" t="e">
        <f>#REF!</f>
        <v>#REF!</v>
      </c>
      <c r="J136" s="29" t="e">
        <f>#REF!</f>
        <v>#REF!</v>
      </c>
      <c r="K136" s="29" t="e">
        <f>#REF!</f>
        <v>#REF!</v>
      </c>
      <c r="L136" s="87">
        <f>'Подробный перечень'!L681</f>
        <v>27039.7</v>
      </c>
      <c r="M136" s="87"/>
      <c r="N136" s="87"/>
      <c r="O136" s="87">
        <f>'Подробный перечень'!O681</f>
        <v>27039.7</v>
      </c>
      <c r="P136" s="87"/>
      <c r="Q136" s="113">
        <f>'Подробный перечень'!$Q$681</f>
        <v>0</v>
      </c>
      <c r="R136" s="113"/>
      <c r="S136" s="113"/>
      <c r="T136" s="113"/>
      <c r="U136" s="113"/>
      <c r="V136" s="87">
        <f>'Подробный перечень'!$V$681</f>
        <v>6978.5</v>
      </c>
      <c r="W136" s="88"/>
      <c r="X136" s="61"/>
      <c r="Y136" s="61"/>
      <c r="Z136" s="100"/>
    </row>
    <row r="137" spans="1:30" ht="15.6" customHeight="1">
      <c r="A137" s="14" t="s">
        <v>69</v>
      </c>
      <c r="B137" s="63" t="s">
        <v>461</v>
      </c>
      <c r="C137" s="63">
        <v>176</v>
      </c>
      <c r="D137" s="63" t="s">
        <v>16</v>
      </c>
      <c r="E137" s="63">
        <v>6100004040</v>
      </c>
      <c r="F137" s="63">
        <v>243</v>
      </c>
      <c r="G137" s="47" t="e">
        <f t="shared" si="21"/>
        <v>#REF!</v>
      </c>
      <c r="H137" s="29" t="e">
        <f>#REF!</f>
        <v>#REF!</v>
      </c>
      <c r="I137" s="29" t="e">
        <f>#REF!</f>
        <v>#REF!</v>
      </c>
      <c r="J137" s="29" t="e">
        <f>#REF!</f>
        <v>#REF!</v>
      </c>
      <c r="K137" s="29" t="e">
        <f>#REF!</f>
        <v>#REF!</v>
      </c>
      <c r="L137" s="87">
        <f>'Подробный перечень'!L689</f>
        <v>2679.2</v>
      </c>
      <c r="M137" s="87">
        <f>'Подробный перечень'!M689</f>
        <v>2679.2</v>
      </c>
      <c r="N137" s="87"/>
      <c r="O137" s="87"/>
      <c r="P137" s="87"/>
      <c r="Q137" s="113"/>
      <c r="R137" s="113"/>
      <c r="S137" s="113"/>
      <c r="T137" s="113"/>
      <c r="U137" s="113"/>
      <c r="V137" s="87">
        <f>'Подробный перечень'!$V$689</f>
        <v>3519.5</v>
      </c>
      <c r="W137" s="88"/>
      <c r="X137" s="61"/>
      <c r="Y137" s="61"/>
    </row>
    <row r="138" spans="1:30" ht="15.6" customHeight="1">
      <c r="A138" s="14" t="s">
        <v>70</v>
      </c>
      <c r="B138" s="63" t="s">
        <v>461</v>
      </c>
      <c r="C138" s="63">
        <v>176</v>
      </c>
      <c r="D138" s="63" t="s">
        <v>16</v>
      </c>
      <c r="E138" s="63">
        <v>6100004040</v>
      </c>
      <c r="F138" s="63">
        <v>243</v>
      </c>
      <c r="G138" s="47" t="e">
        <f t="shared" si="21"/>
        <v>#REF!</v>
      </c>
      <c r="H138" s="29" t="e">
        <f>#REF!</f>
        <v>#REF!</v>
      </c>
      <c r="I138" s="29" t="e">
        <f>#REF!</f>
        <v>#REF!</v>
      </c>
      <c r="J138" s="29" t="e">
        <f>#REF!</f>
        <v>#REF!</v>
      </c>
      <c r="K138" s="29" t="e">
        <f>#REF!</f>
        <v>#REF!</v>
      </c>
      <c r="L138" s="87">
        <f>'Подробный перечень'!L697</f>
        <v>4736.2</v>
      </c>
      <c r="M138" s="87">
        <f>'Подробный перечень'!M697</f>
        <v>4736.2</v>
      </c>
      <c r="N138" s="87"/>
      <c r="O138" s="87"/>
      <c r="P138" s="87"/>
      <c r="Q138" s="113">
        <f>'Подробный перечень'!$Q$697</f>
        <v>3214.7999999999993</v>
      </c>
      <c r="R138" s="113"/>
      <c r="S138" s="113"/>
      <c r="T138" s="113">
        <f>'Подробный перечень'!$T$697</f>
        <v>3214.7999999999993</v>
      </c>
      <c r="U138" s="113"/>
      <c r="V138" s="87">
        <f>'Подробный перечень'!$V$697</f>
        <v>4557.5</v>
      </c>
      <c r="W138" s="88">
        <f>'Подробный перечень'!$W$697</f>
        <v>16741</v>
      </c>
      <c r="X138" s="61"/>
      <c r="Y138" s="61"/>
      <c r="Z138" s="100"/>
    </row>
    <row r="139" spans="1:30" ht="15.6" customHeight="1">
      <c r="A139" s="14" t="s">
        <v>71</v>
      </c>
      <c r="B139" s="63" t="s">
        <v>461</v>
      </c>
      <c r="C139" s="63">
        <v>176</v>
      </c>
      <c r="D139" s="63" t="s">
        <v>16</v>
      </c>
      <c r="E139" s="63">
        <v>6100004040</v>
      </c>
      <c r="F139" s="63">
        <v>243</v>
      </c>
      <c r="G139" s="47" t="e">
        <f t="shared" si="21"/>
        <v>#REF!</v>
      </c>
      <c r="H139" s="29" t="e">
        <f>#REF!</f>
        <v>#REF!</v>
      </c>
      <c r="I139" s="29" t="e">
        <f>#REF!</f>
        <v>#REF!</v>
      </c>
      <c r="J139" s="29" t="e">
        <f>#REF!</f>
        <v>#REF!</v>
      </c>
      <c r="K139" s="29" t="e">
        <f>#REF!</f>
        <v>#REF!</v>
      </c>
      <c r="L139" s="87">
        <f>'Подробный перечень'!L707</f>
        <v>13000</v>
      </c>
      <c r="M139" s="87"/>
      <c r="N139" s="87"/>
      <c r="O139" s="87">
        <f>'Подробный перечень'!O707</f>
        <v>13000</v>
      </c>
      <c r="P139" s="87"/>
      <c r="Q139" s="113"/>
      <c r="R139" s="113"/>
      <c r="S139" s="113"/>
      <c r="T139" s="113"/>
      <c r="U139" s="113"/>
      <c r="V139" s="87"/>
      <c r="W139" s="88">
        <f>'Подробный перечень'!W707</f>
        <v>0</v>
      </c>
      <c r="X139" s="61"/>
      <c r="Y139" s="61"/>
    </row>
    <row r="140" spans="1:30" ht="15.6" customHeight="1">
      <c r="A140" s="14" t="s">
        <v>72</v>
      </c>
      <c r="B140" s="63" t="s">
        <v>461</v>
      </c>
      <c r="C140" s="63">
        <v>176</v>
      </c>
      <c r="D140" s="63" t="s">
        <v>16</v>
      </c>
      <c r="E140" s="63">
        <v>6100004040</v>
      </c>
      <c r="F140" s="63">
        <v>243</v>
      </c>
      <c r="G140" s="47" t="e">
        <f t="shared" si="21"/>
        <v>#REF!</v>
      </c>
      <c r="H140" s="29" t="e">
        <f>#REF!</f>
        <v>#REF!</v>
      </c>
      <c r="I140" s="29" t="e">
        <f>#REF!</f>
        <v>#REF!</v>
      </c>
      <c r="J140" s="29" t="e">
        <f>#REF!</f>
        <v>#REF!</v>
      </c>
      <c r="K140" s="29" t="e">
        <f>#REF!</f>
        <v>#REF!</v>
      </c>
      <c r="L140" s="87">
        <f>'Подробный перечень'!L713</f>
        <v>18777.3</v>
      </c>
      <c r="M140" s="87">
        <f>'Подробный перечень'!M713</f>
        <v>11777.3</v>
      </c>
      <c r="N140" s="87"/>
      <c r="O140" s="87"/>
      <c r="P140" s="87">
        <f>'Подробный перечень'!P713</f>
        <v>7000</v>
      </c>
      <c r="Q140" s="113">
        <f>'Подробный перечень'!$Q$713</f>
        <v>12774.399999999998</v>
      </c>
      <c r="R140" s="113"/>
      <c r="S140" s="113"/>
      <c r="T140" s="113"/>
      <c r="U140" s="113">
        <f>'Подробный перечень'!U713</f>
        <v>12774.399999999998</v>
      </c>
      <c r="V140" s="87"/>
      <c r="W140" s="88"/>
      <c r="X140" s="61"/>
      <c r="Y140" s="61"/>
      <c r="Z140" s="100"/>
    </row>
    <row r="141" spans="1:30" ht="24.6" customHeight="1">
      <c r="A141" s="69" t="s">
        <v>33</v>
      </c>
      <c r="B141" s="63" t="s">
        <v>461</v>
      </c>
      <c r="C141" s="63">
        <v>176</v>
      </c>
      <c r="D141" s="63" t="s">
        <v>16</v>
      </c>
      <c r="E141" s="63">
        <v>6100004040</v>
      </c>
      <c r="F141" s="63">
        <v>243</v>
      </c>
      <c r="G141" s="47" t="e">
        <f t="shared" si="21"/>
        <v>#REF!</v>
      </c>
      <c r="H141" s="29" t="e">
        <f>#REF!</f>
        <v>#REF!</v>
      </c>
      <c r="I141" s="29" t="e">
        <f>#REF!</f>
        <v>#REF!</v>
      </c>
      <c r="J141" s="29" t="e">
        <f>#REF!</f>
        <v>#REF!</v>
      </c>
      <c r="K141" s="29" t="e">
        <f>#REF!</f>
        <v>#REF!</v>
      </c>
      <c r="L141" s="87">
        <f>'Подробный перечень'!L718</f>
        <v>685</v>
      </c>
      <c r="M141" s="87"/>
      <c r="N141" s="87"/>
      <c r="O141" s="87"/>
      <c r="P141" s="87">
        <f>'Подробный перечень'!P718</f>
        <v>685</v>
      </c>
      <c r="Q141" s="113">
        <f>'Подробный перечень'!$Q$718</f>
        <v>3064.7</v>
      </c>
      <c r="R141" s="113"/>
      <c r="S141" s="113">
        <v>1587.4</v>
      </c>
      <c r="T141" s="113">
        <f>'Подробный перечень'!$T$718</f>
        <v>1477.3</v>
      </c>
      <c r="U141" s="113">
        <f>'Подробный перечень'!U718</f>
        <v>0</v>
      </c>
      <c r="V141" s="87">
        <f>'Подробный перечень'!$V$718</f>
        <v>2095.9</v>
      </c>
      <c r="W141" s="88">
        <f>'Подробный перечень'!$W$718</f>
        <v>1500</v>
      </c>
      <c r="X141" s="61"/>
      <c r="Y141" s="61"/>
    </row>
    <row r="142" spans="1:30" ht="69" customHeight="1">
      <c r="A142" s="416" t="s">
        <v>252</v>
      </c>
      <c r="B142" s="63" t="s">
        <v>461</v>
      </c>
      <c r="C142" s="63">
        <v>176</v>
      </c>
      <c r="D142" s="63" t="s">
        <v>16</v>
      </c>
      <c r="E142" s="63">
        <v>6100004040</v>
      </c>
      <c r="F142" s="63">
        <v>243</v>
      </c>
      <c r="G142" s="47" t="e">
        <f>H142</f>
        <v>#REF!</v>
      </c>
      <c r="H142" s="29" t="e">
        <f>#REF!</f>
        <v>#REF!</v>
      </c>
      <c r="I142" s="29"/>
      <c r="J142" s="29"/>
      <c r="K142" s="29"/>
      <c r="L142" s="87"/>
      <c r="M142" s="87"/>
      <c r="N142" s="87"/>
      <c r="O142" s="87"/>
      <c r="P142" s="87"/>
      <c r="Q142" s="113">
        <f>'Подробный перечень'!$Q$719</f>
        <v>3121.5</v>
      </c>
      <c r="R142" s="404">
        <v>3121.5</v>
      </c>
      <c r="S142" s="404"/>
      <c r="T142" s="404"/>
      <c r="U142" s="404"/>
      <c r="V142" s="88"/>
      <c r="W142" s="88"/>
      <c r="X142" s="61"/>
      <c r="Y142" s="470" t="s">
        <v>650</v>
      </c>
    </row>
    <row r="143" spans="1:30" ht="24.6" customHeight="1">
      <c r="A143" s="503" t="s">
        <v>228</v>
      </c>
      <c r="B143" s="12" t="s">
        <v>91</v>
      </c>
      <c r="C143" s="12"/>
      <c r="D143" s="12"/>
      <c r="E143" s="12"/>
      <c r="F143" s="12"/>
      <c r="G143" s="33" t="e">
        <f>K143</f>
        <v>#REF!</v>
      </c>
      <c r="H143" s="33"/>
      <c r="I143" s="33"/>
      <c r="J143" s="33"/>
      <c r="K143" s="33" t="e">
        <f>#REF!</f>
        <v>#REF!</v>
      </c>
      <c r="L143" s="60">
        <f>'Подробный перечень'!L721</f>
        <v>112.32999999999998</v>
      </c>
      <c r="M143" s="60"/>
      <c r="N143" s="60"/>
      <c r="O143" s="60"/>
      <c r="P143" s="60"/>
      <c r="Q143" s="112">
        <f>'Подробный перечень'!Q721</f>
        <v>94.79</v>
      </c>
      <c r="R143" s="112"/>
      <c r="S143" s="112"/>
      <c r="T143" s="112"/>
      <c r="U143" s="112"/>
      <c r="V143" s="60">
        <f>'Подробный перечень'!V721</f>
        <v>51.54</v>
      </c>
      <c r="W143" s="60">
        <f>'Подробный перечень'!W721</f>
        <v>52.95</v>
      </c>
      <c r="X143" s="492" t="s">
        <v>27</v>
      </c>
      <c r="Y143" s="489" t="s">
        <v>602</v>
      </c>
    </row>
    <row r="144" spans="1:30" ht="48" customHeight="1">
      <c r="A144" s="504"/>
      <c r="B144" s="12" t="s">
        <v>223</v>
      </c>
      <c r="C144" s="12"/>
      <c r="D144" s="12"/>
      <c r="E144" s="12"/>
      <c r="F144" s="12"/>
      <c r="G144" s="13" t="e">
        <f>G145/G143</f>
        <v>#REF!</v>
      </c>
      <c r="H144" s="13"/>
      <c r="I144" s="13"/>
      <c r="J144" s="13"/>
      <c r="K144" s="13" t="e">
        <f>#REF!</f>
        <v>#REF!</v>
      </c>
      <c r="L144" s="60">
        <v>6267.3345656192241</v>
      </c>
      <c r="M144" s="60"/>
      <c r="N144" s="60"/>
      <c r="O144" s="60"/>
      <c r="P144" s="60"/>
      <c r="Q144" s="60">
        <f>Q145/Q143</f>
        <v>5342.9908218166465</v>
      </c>
      <c r="R144" s="112"/>
      <c r="S144" s="112"/>
      <c r="T144" s="112"/>
      <c r="U144" s="112"/>
      <c r="V144" s="112">
        <f t="shared" ref="V144:W144" si="22">V145/V143</f>
        <v>4928.3469150174624</v>
      </c>
      <c r="W144" s="112">
        <f t="shared" si="22"/>
        <v>5635.4768649669504</v>
      </c>
      <c r="X144" s="493"/>
      <c r="Y144" s="490"/>
    </row>
    <row r="145" spans="1:26" ht="32.25" customHeight="1">
      <c r="A145" s="504"/>
      <c r="B145" s="12" t="s">
        <v>26</v>
      </c>
      <c r="C145" s="12">
        <v>176</v>
      </c>
      <c r="D145" s="12" t="s">
        <v>16</v>
      </c>
      <c r="E145" s="12" t="s">
        <v>330</v>
      </c>
      <c r="F145" s="12">
        <v>244</v>
      </c>
      <c r="G145" s="13" t="e">
        <f t="shared" ref="G145:L145" si="23">G147</f>
        <v>#REF!</v>
      </c>
      <c r="H145" s="13" t="e">
        <f t="shared" si="23"/>
        <v>#REF!</v>
      </c>
      <c r="I145" s="13" t="e">
        <f t="shared" si="23"/>
        <v>#REF!</v>
      </c>
      <c r="J145" s="13" t="e">
        <f t="shared" si="23"/>
        <v>#REF!</v>
      </c>
      <c r="K145" s="13" t="e">
        <f t="shared" si="23"/>
        <v>#REF!</v>
      </c>
      <c r="L145" s="60">
        <f t="shared" si="23"/>
        <v>381231.1</v>
      </c>
      <c r="M145" s="60">
        <f>M147</f>
        <v>202023.7</v>
      </c>
      <c r="N145" s="60">
        <f t="shared" ref="N145:P145" si="24">N147</f>
        <v>63159.9</v>
      </c>
      <c r="O145" s="60">
        <f t="shared" si="24"/>
        <v>68633.100000000006</v>
      </c>
      <c r="P145" s="60">
        <f t="shared" si="24"/>
        <v>47414.400000000001</v>
      </c>
      <c r="Q145" s="60">
        <f>Q147+Q148</f>
        <v>506462.09999999992</v>
      </c>
      <c r="R145" s="112">
        <f t="shared" ref="R145:U145" si="25">R147+R148</f>
        <v>17229.599999999999</v>
      </c>
      <c r="S145" s="112">
        <f t="shared" si="25"/>
        <v>0</v>
      </c>
      <c r="T145" s="112">
        <f t="shared" si="25"/>
        <v>211708.9</v>
      </c>
      <c r="U145" s="112">
        <f t="shared" si="25"/>
        <v>277523.60000000003</v>
      </c>
      <c r="V145" s="60">
        <f>V147+V148</f>
        <v>254007</v>
      </c>
      <c r="W145" s="60">
        <f>W147+W148</f>
        <v>298398.50000000006</v>
      </c>
      <c r="X145" s="493"/>
      <c r="Y145" s="490"/>
    </row>
    <row r="146" spans="1:26" ht="24" customHeight="1">
      <c r="A146" s="17"/>
      <c r="B146" s="12" t="s">
        <v>10</v>
      </c>
      <c r="C146" s="12"/>
      <c r="D146" s="12"/>
      <c r="E146" s="12"/>
      <c r="F146" s="12"/>
      <c r="G146" s="13"/>
      <c r="H146" s="13"/>
      <c r="I146" s="13"/>
      <c r="J146" s="13"/>
      <c r="K146" s="13"/>
      <c r="L146" s="60"/>
      <c r="M146" s="60"/>
      <c r="N146" s="60"/>
      <c r="O146" s="60"/>
      <c r="P146" s="60"/>
      <c r="Q146" s="60"/>
      <c r="R146" s="112"/>
      <c r="S146" s="112"/>
      <c r="T146" s="112"/>
      <c r="U146" s="112"/>
      <c r="V146" s="60"/>
      <c r="W146" s="60"/>
      <c r="X146" s="493"/>
      <c r="Y146" s="490"/>
    </row>
    <row r="147" spans="1:26" ht="28.5" customHeight="1">
      <c r="A147" s="17"/>
      <c r="B147" s="12" t="s">
        <v>11</v>
      </c>
      <c r="C147" s="12">
        <v>176</v>
      </c>
      <c r="D147" s="12" t="s">
        <v>16</v>
      </c>
      <c r="E147" s="12">
        <v>6100004040</v>
      </c>
      <c r="F147" s="12">
        <v>244</v>
      </c>
      <c r="G147" s="13" t="e">
        <f t="shared" ref="G147:P147" si="26">SUM(G152:G189)</f>
        <v>#REF!</v>
      </c>
      <c r="H147" s="13" t="e">
        <f t="shared" si="26"/>
        <v>#REF!</v>
      </c>
      <c r="I147" s="13" t="e">
        <f t="shared" si="26"/>
        <v>#REF!</v>
      </c>
      <c r="J147" s="13" t="e">
        <f t="shared" si="26"/>
        <v>#REF!</v>
      </c>
      <c r="K147" s="13" t="e">
        <f t="shared" si="26"/>
        <v>#REF!</v>
      </c>
      <c r="L147" s="60">
        <f t="shared" si="26"/>
        <v>381231.1</v>
      </c>
      <c r="M147" s="60">
        <f t="shared" si="26"/>
        <v>202023.7</v>
      </c>
      <c r="N147" s="60">
        <f t="shared" si="26"/>
        <v>63159.9</v>
      </c>
      <c r="O147" s="60">
        <f t="shared" si="26"/>
        <v>68633.100000000006</v>
      </c>
      <c r="P147" s="60">
        <f t="shared" si="26"/>
        <v>47414.400000000001</v>
      </c>
      <c r="Q147" s="60">
        <f>'Подробный перечень'!$Q$725</f>
        <v>386352.09999999992</v>
      </c>
      <c r="R147" s="112">
        <f>SUM(R152:R190)</f>
        <v>17229.599999999999</v>
      </c>
      <c r="S147" s="112">
        <v>0</v>
      </c>
      <c r="T147" s="112">
        <f>T158+T159+T162+T166+T170+T171+T173+T188</f>
        <v>170068.9</v>
      </c>
      <c r="U147" s="112">
        <f>U157+U169+U173+U180+U188</f>
        <v>199053.60000000003</v>
      </c>
      <c r="V147" s="60">
        <f>'Подробный перечень'!$V$725</f>
        <v>180947</v>
      </c>
      <c r="W147" s="60">
        <f>'Подробный перечень'!$W$725</f>
        <v>298398.50000000006</v>
      </c>
      <c r="X147" s="493"/>
      <c r="Y147" s="490"/>
    </row>
    <row r="148" spans="1:26" ht="31.5" customHeight="1">
      <c r="A148" s="17"/>
      <c r="B148" s="12" t="s">
        <v>476</v>
      </c>
      <c r="C148" s="12">
        <v>176</v>
      </c>
      <c r="D148" s="12" t="s">
        <v>16</v>
      </c>
      <c r="E148" s="12">
        <v>6100053902</v>
      </c>
      <c r="F148" s="12">
        <v>244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60"/>
      <c r="M148" s="60"/>
      <c r="N148" s="60"/>
      <c r="O148" s="60"/>
      <c r="P148" s="60"/>
      <c r="Q148" s="112">
        <f>'Подробный перечень'!Q726</f>
        <v>120110</v>
      </c>
      <c r="R148" s="112">
        <f>'Подробный перечень'!R726</f>
        <v>0</v>
      </c>
      <c r="S148" s="112">
        <f>'Подробный перечень'!S726</f>
        <v>0</v>
      </c>
      <c r="T148" s="112">
        <f>'Подробный перечень'!T726</f>
        <v>41640</v>
      </c>
      <c r="U148" s="112">
        <f>'Подробный перечень'!U726</f>
        <v>78470</v>
      </c>
      <c r="V148" s="60">
        <f>'Подробный перечень'!$V$726</f>
        <v>73060</v>
      </c>
      <c r="W148" s="60">
        <f>'Подробный перечень'!$W$726</f>
        <v>0</v>
      </c>
      <c r="X148" s="38"/>
      <c r="Y148" s="490"/>
    </row>
    <row r="149" spans="1:26" ht="33.75" customHeight="1">
      <c r="A149" s="17"/>
      <c r="B149" s="12" t="s">
        <v>12</v>
      </c>
      <c r="C149" s="12"/>
      <c r="D149" s="12"/>
      <c r="E149" s="12"/>
      <c r="F149" s="12"/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60"/>
      <c r="M149" s="60"/>
      <c r="N149" s="60"/>
      <c r="O149" s="60"/>
      <c r="P149" s="60"/>
      <c r="Q149" s="112"/>
      <c r="R149" s="112"/>
      <c r="S149" s="112"/>
      <c r="T149" s="112"/>
      <c r="U149" s="112"/>
      <c r="V149" s="60"/>
      <c r="W149" s="60"/>
      <c r="X149" s="38"/>
      <c r="Y149" s="490"/>
      <c r="Z149" s="100"/>
    </row>
    <row r="150" spans="1:26" ht="33" customHeight="1">
      <c r="A150" s="18"/>
      <c r="B150" s="12" t="s">
        <v>665</v>
      </c>
      <c r="C150" s="12"/>
      <c r="D150" s="12"/>
      <c r="E150" s="12"/>
      <c r="F150" s="12"/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60"/>
      <c r="M150" s="60"/>
      <c r="N150" s="60"/>
      <c r="O150" s="60"/>
      <c r="P150" s="60"/>
      <c r="Q150" s="112"/>
      <c r="R150" s="112"/>
      <c r="S150" s="112"/>
      <c r="T150" s="112"/>
      <c r="U150" s="112"/>
      <c r="V150" s="60"/>
      <c r="W150" s="60"/>
      <c r="X150" s="49"/>
      <c r="Y150" s="491"/>
      <c r="Z150" s="100"/>
    </row>
    <row r="151" spans="1:26">
      <c r="A151" s="30" t="s">
        <v>42</v>
      </c>
      <c r="B151" s="12"/>
      <c r="C151" s="12"/>
      <c r="D151" s="12"/>
      <c r="E151" s="12"/>
      <c r="F151" s="12"/>
      <c r="G151" s="13"/>
      <c r="H151" s="13"/>
      <c r="I151" s="13"/>
      <c r="J151" s="13"/>
      <c r="K151" s="13"/>
      <c r="L151" s="60"/>
      <c r="M151" s="60"/>
      <c r="N151" s="60"/>
      <c r="O151" s="60"/>
      <c r="P151" s="60"/>
      <c r="Q151" s="112"/>
      <c r="R151" s="120"/>
      <c r="S151" s="120"/>
      <c r="T151" s="120"/>
      <c r="U151" s="120"/>
      <c r="V151" s="86"/>
      <c r="W151" s="86"/>
      <c r="X151" s="61"/>
      <c r="Y151" s="61"/>
    </row>
    <row r="152" spans="1:26">
      <c r="A152" s="14" t="s">
        <v>43</v>
      </c>
      <c r="B152" s="63" t="s">
        <v>461</v>
      </c>
      <c r="C152" s="63">
        <v>176</v>
      </c>
      <c r="D152" s="63" t="s">
        <v>16</v>
      </c>
      <c r="E152" s="63">
        <v>6100004040</v>
      </c>
      <c r="F152" s="63">
        <v>244</v>
      </c>
      <c r="G152" s="47" t="e">
        <f>SUM(H152:K152)</f>
        <v>#REF!</v>
      </c>
      <c r="H152" s="47" t="e">
        <f>#REF!</f>
        <v>#REF!</v>
      </c>
      <c r="I152" s="47" t="e">
        <f>#REF!</f>
        <v>#REF!</v>
      </c>
      <c r="J152" s="47" t="e">
        <f>#REF!</f>
        <v>#REF!</v>
      </c>
      <c r="K152" s="47" t="e">
        <f>#REF!</f>
        <v>#REF!</v>
      </c>
      <c r="L152" s="87">
        <f>'Подробный перечень'!L730</f>
        <v>14724.6</v>
      </c>
      <c r="M152" s="87"/>
      <c r="N152" s="87"/>
      <c r="O152" s="87">
        <f>'Подробный перечень'!O730</f>
        <v>14724.6</v>
      </c>
      <c r="P152" s="87"/>
      <c r="Q152" s="113"/>
      <c r="R152" s="113"/>
      <c r="S152" s="113"/>
      <c r="T152" s="113"/>
      <c r="U152" s="113"/>
      <c r="V152" s="87">
        <f>'Подробный перечень'!$V$730</f>
        <v>10311.6</v>
      </c>
      <c r="W152" s="88">
        <f>'Подробный перечень'!$W$730</f>
        <v>21377.1</v>
      </c>
      <c r="X152" s="61"/>
      <c r="Y152" s="61"/>
      <c r="Z152" s="100"/>
    </row>
    <row r="153" spans="1:26">
      <c r="A153" s="14" t="s">
        <v>44</v>
      </c>
      <c r="B153" s="63" t="s">
        <v>461</v>
      </c>
      <c r="C153" s="63">
        <v>176</v>
      </c>
      <c r="D153" s="63" t="s">
        <v>16</v>
      </c>
      <c r="E153" s="63">
        <v>6100004040</v>
      </c>
      <c r="F153" s="63">
        <v>244</v>
      </c>
      <c r="G153" s="47" t="e">
        <f t="shared" ref="G153:G188" si="27">SUM(H153:K153)</f>
        <v>#REF!</v>
      </c>
      <c r="H153" s="47" t="e">
        <f>#REF!</f>
        <v>#REF!</v>
      </c>
      <c r="I153" s="47" t="e">
        <f>#REF!</f>
        <v>#REF!</v>
      </c>
      <c r="J153" s="47" t="e">
        <f>#REF!</f>
        <v>#REF!</v>
      </c>
      <c r="K153" s="47" t="e">
        <f>#REF!</f>
        <v>#REF!</v>
      </c>
      <c r="L153" s="87">
        <f>'Подробный перечень'!L734</f>
        <v>5497.6</v>
      </c>
      <c r="M153" s="87">
        <f>'Подробный перечень'!M734</f>
        <v>5497.6</v>
      </c>
      <c r="N153" s="87"/>
      <c r="O153" s="87"/>
      <c r="P153" s="87"/>
      <c r="Q153" s="113"/>
      <c r="R153" s="113"/>
      <c r="S153" s="113"/>
      <c r="T153" s="113"/>
      <c r="U153" s="113"/>
      <c r="V153" s="87"/>
      <c r="W153" s="88">
        <f>'Подробный перечень'!$W$734</f>
        <v>20040.400000000001</v>
      </c>
      <c r="X153" s="61"/>
      <c r="Y153" s="61"/>
      <c r="Z153" s="100"/>
    </row>
    <row r="154" spans="1:26">
      <c r="A154" s="14" t="s">
        <v>45</v>
      </c>
      <c r="B154" s="63" t="s">
        <v>461</v>
      </c>
      <c r="C154" s="63">
        <v>176</v>
      </c>
      <c r="D154" s="63" t="s">
        <v>16</v>
      </c>
      <c r="E154" s="63">
        <v>6100004040</v>
      </c>
      <c r="F154" s="63">
        <v>244</v>
      </c>
      <c r="G154" s="47" t="e">
        <f t="shared" si="27"/>
        <v>#REF!</v>
      </c>
      <c r="H154" s="47" t="e">
        <f>#REF!</f>
        <v>#REF!</v>
      </c>
      <c r="I154" s="47" t="e">
        <f>#REF!</f>
        <v>#REF!</v>
      </c>
      <c r="J154" s="47" t="e">
        <f>#REF!</f>
        <v>#REF!</v>
      </c>
      <c r="K154" s="47" t="e">
        <f>#REF!</f>
        <v>#REF!</v>
      </c>
      <c r="L154" s="87"/>
      <c r="M154" s="87"/>
      <c r="N154" s="87"/>
      <c r="O154" s="87"/>
      <c r="P154" s="87"/>
      <c r="Q154" s="113"/>
      <c r="R154" s="113"/>
      <c r="S154" s="113"/>
      <c r="T154" s="113"/>
      <c r="U154" s="113"/>
      <c r="V154" s="87"/>
      <c r="W154" s="88">
        <f>'Подробный перечень'!$W$742</f>
        <v>21908.3</v>
      </c>
      <c r="X154" s="61"/>
      <c r="Y154" s="61"/>
      <c r="Z154" s="100"/>
    </row>
    <row r="155" spans="1:26">
      <c r="A155" s="14" t="s">
        <v>46</v>
      </c>
      <c r="B155" s="63" t="s">
        <v>461</v>
      </c>
      <c r="C155" s="63">
        <v>176</v>
      </c>
      <c r="D155" s="63" t="s">
        <v>16</v>
      </c>
      <c r="E155" s="63">
        <v>6100004040</v>
      </c>
      <c r="F155" s="63">
        <v>244</v>
      </c>
      <c r="G155" s="29">
        <f t="shared" si="27"/>
        <v>0</v>
      </c>
      <c r="H155" s="29">
        <v>0</v>
      </c>
      <c r="I155" s="29"/>
      <c r="J155" s="29"/>
      <c r="K155" s="29"/>
      <c r="L155" s="87"/>
      <c r="M155" s="87"/>
      <c r="N155" s="87"/>
      <c r="O155" s="87"/>
      <c r="P155" s="87"/>
      <c r="Q155" s="113"/>
      <c r="R155" s="113"/>
      <c r="S155" s="113"/>
      <c r="T155" s="113"/>
      <c r="U155" s="113"/>
      <c r="V155" s="87"/>
      <c r="W155" s="88"/>
      <c r="X155" s="61"/>
      <c r="Y155" s="61"/>
      <c r="Z155" s="100"/>
    </row>
    <row r="156" spans="1:26">
      <c r="A156" s="14" t="s">
        <v>47</v>
      </c>
      <c r="B156" s="63" t="s">
        <v>461</v>
      </c>
      <c r="C156" s="63">
        <v>176</v>
      </c>
      <c r="D156" s="63" t="s">
        <v>16</v>
      </c>
      <c r="E156" s="63">
        <v>6100004040</v>
      </c>
      <c r="F156" s="63">
        <v>244</v>
      </c>
      <c r="G156" s="29" t="e">
        <f t="shared" si="27"/>
        <v>#REF!</v>
      </c>
      <c r="H156" s="29" t="e">
        <f>#REF!</f>
        <v>#REF!</v>
      </c>
      <c r="I156" s="29" t="e">
        <f>#REF!</f>
        <v>#REF!</v>
      </c>
      <c r="J156" s="29" t="e">
        <f>#REF!</f>
        <v>#REF!</v>
      </c>
      <c r="K156" s="29" t="e">
        <f>#REF!</f>
        <v>#REF!</v>
      </c>
      <c r="L156" s="87">
        <f>'Подробный перечень'!L746</f>
        <v>7493.9</v>
      </c>
      <c r="M156" s="87">
        <f>'Подробный перечень'!M746</f>
        <v>7493.9</v>
      </c>
      <c r="N156" s="87"/>
      <c r="O156" s="87"/>
      <c r="P156" s="87"/>
      <c r="Q156" s="113"/>
      <c r="R156" s="113"/>
      <c r="S156" s="113"/>
      <c r="T156" s="113"/>
      <c r="U156" s="113"/>
      <c r="V156" s="87"/>
      <c r="W156" s="88"/>
      <c r="X156" s="61"/>
      <c r="Y156" s="61"/>
      <c r="Z156" s="100"/>
    </row>
    <row r="157" spans="1:26">
      <c r="A157" s="14" t="s">
        <v>48</v>
      </c>
      <c r="B157" s="63" t="s">
        <v>461</v>
      </c>
      <c r="C157" s="63">
        <v>176</v>
      </c>
      <c r="D157" s="63" t="s">
        <v>16</v>
      </c>
      <c r="E157" s="63">
        <v>6100004040</v>
      </c>
      <c r="F157" s="63">
        <v>244</v>
      </c>
      <c r="G157" s="29" t="e">
        <f t="shared" si="27"/>
        <v>#REF!</v>
      </c>
      <c r="H157" s="29" t="e">
        <f>#REF!</f>
        <v>#REF!</v>
      </c>
      <c r="I157" s="29" t="e">
        <f>#REF!</f>
        <v>#REF!</v>
      </c>
      <c r="J157" s="29" t="e">
        <f>#REF!</f>
        <v>#REF!</v>
      </c>
      <c r="K157" s="29" t="e">
        <f>#REF!</f>
        <v>#REF!</v>
      </c>
      <c r="L157" s="87"/>
      <c r="M157" s="87"/>
      <c r="N157" s="87"/>
      <c r="O157" s="87"/>
      <c r="P157" s="87"/>
      <c r="Q157" s="113">
        <f>'Подробный перечень'!$Q$752</f>
        <v>11627.2</v>
      </c>
      <c r="R157" s="113"/>
      <c r="S157" s="113"/>
      <c r="T157" s="113"/>
      <c r="U157" s="113">
        <f>Q157</f>
        <v>11627.2</v>
      </c>
      <c r="V157" s="87"/>
      <c r="W157" s="88">
        <f>'Подробный перечень'!$W$752</f>
        <v>13310.2</v>
      </c>
      <c r="X157" s="61"/>
      <c r="Y157" s="61"/>
      <c r="Z157" s="100"/>
    </row>
    <row r="158" spans="1:26">
      <c r="A158" s="14" t="s">
        <v>49</v>
      </c>
      <c r="B158" s="63" t="s">
        <v>461</v>
      </c>
      <c r="C158" s="63">
        <v>176</v>
      </c>
      <c r="D158" s="63" t="s">
        <v>16</v>
      </c>
      <c r="E158" s="63">
        <v>6100004040</v>
      </c>
      <c r="F158" s="63">
        <v>244</v>
      </c>
      <c r="G158" s="29" t="e">
        <f t="shared" si="27"/>
        <v>#REF!</v>
      </c>
      <c r="H158" s="29" t="e">
        <f>#REF!</f>
        <v>#REF!</v>
      </c>
      <c r="I158" s="29" t="e">
        <f>#REF!</f>
        <v>#REF!</v>
      </c>
      <c r="J158" s="29" t="e">
        <f>#REF!</f>
        <v>#REF!</v>
      </c>
      <c r="K158" s="29" t="e">
        <f>#REF!</f>
        <v>#REF!</v>
      </c>
      <c r="L158" s="87">
        <f>'Подробный перечень'!L756</f>
        <v>25081.3</v>
      </c>
      <c r="M158" s="87">
        <f>'Подробный перечень'!M756</f>
        <v>25081.3</v>
      </c>
      <c r="N158" s="87"/>
      <c r="O158" s="87"/>
      <c r="P158" s="87"/>
      <c r="Q158" s="113">
        <f>'Подробный перечень'!$Q$756</f>
        <v>5797.9</v>
      </c>
      <c r="R158" s="113"/>
      <c r="S158" s="113"/>
      <c r="T158" s="113">
        <f>'Подробный перечень'!T756</f>
        <v>5797.9</v>
      </c>
      <c r="U158" s="113"/>
      <c r="V158" s="87"/>
      <c r="W158" s="88"/>
      <c r="X158" s="61"/>
      <c r="Y158" s="61"/>
      <c r="Z158" s="100"/>
    </row>
    <row r="159" spans="1:26">
      <c r="A159" s="14" t="s">
        <v>50</v>
      </c>
      <c r="B159" s="63" t="s">
        <v>461</v>
      </c>
      <c r="C159" s="63">
        <v>176</v>
      </c>
      <c r="D159" s="63" t="s">
        <v>16</v>
      </c>
      <c r="E159" s="63">
        <v>6100004040</v>
      </c>
      <c r="F159" s="63">
        <v>244</v>
      </c>
      <c r="G159" s="29" t="e">
        <f t="shared" si="27"/>
        <v>#REF!</v>
      </c>
      <c r="H159" s="29" t="e">
        <f>#REF!</f>
        <v>#REF!</v>
      </c>
      <c r="I159" s="29" t="e">
        <f>#REF!</f>
        <v>#REF!</v>
      </c>
      <c r="J159" s="29" t="e">
        <f>#REF!</f>
        <v>#REF!</v>
      </c>
      <c r="K159" s="29" t="e">
        <f>#REF!</f>
        <v>#REF!</v>
      </c>
      <c r="L159" s="87">
        <f>'Подробный перечень'!L768</f>
        <v>12473.5</v>
      </c>
      <c r="M159" s="87">
        <f>'Подробный перечень'!M768</f>
        <v>12473.5</v>
      </c>
      <c r="N159" s="87"/>
      <c r="O159" s="87"/>
      <c r="P159" s="87"/>
      <c r="Q159" s="113">
        <f>'Подробный перечень'!$Q$768</f>
        <v>11367.5</v>
      </c>
      <c r="R159" s="113"/>
      <c r="S159" s="113"/>
      <c r="T159" s="113">
        <f>'Подробный перечень'!T768</f>
        <v>11367.5</v>
      </c>
      <c r="U159" s="113"/>
      <c r="V159" s="87"/>
      <c r="W159" s="88">
        <f>'Подробный перечень'!$W$768</f>
        <v>12773.3</v>
      </c>
      <c r="X159" s="61"/>
      <c r="Y159" s="61"/>
    </row>
    <row r="160" spans="1:26">
      <c r="A160" s="14" t="s">
        <v>51</v>
      </c>
      <c r="B160" s="63" t="s">
        <v>461</v>
      </c>
      <c r="C160" s="63">
        <v>176</v>
      </c>
      <c r="D160" s="63" t="s">
        <v>16</v>
      </c>
      <c r="E160" s="63">
        <v>6100004040</v>
      </c>
      <c r="F160" s="63">
        <v>244</v>
      </c>
      <c r="G160" s="29" t="e">
        <f t="shared" si="27"/>
        <v>#REF!</v>
      </c>
      <c r="H160" s="29" t="e">
        <f>#REF!</f>
        <v>#REF!</v>
      </c>
      <c r="I160" s="29" t="e">
        <f>#REF!</f>
        <v>#REF!</v>
      </c>
      <c r="J160" s="29" t="e">
        <f>#REF!</f>
        <v>#REF!</v>
      </c>
      <c r="K160" s="29" t="e">
        <f>#REF!</f>
        <v>#REF!</v>
      </c>
      <c r="L160" s="87"/>
      <c r="M160" s="87"/>
      <c r="N160" s="87"/>
      <c r="O160" s="87"/>
      <c r="P160" s="87"/>
      <c r="Q160" s="113"/>
      <c r="R160" s="113"/>
      <c r="S160" s="113"/>
      <c r="T160" s="113"/>
      <c r="U160" s="113"/>
      <c r="V160" s="87">
        <f>'Подробный перечень'!$V$772</f>
        <v>30000</v>
      </c>
      <c r="W160" s="88">
        <f>'Подробный перечень'!$W$772</f>
        <v>46302.6</v>
      </c>
      <c r="X160" s="61"/>
      <c r="Y160" s="61"/>
      <c r="Z160" s="100"/>
    </row>
    <row r="161" spans="1:26">
      <c r="A161" s="484" t="s">
        <v>52</v>
      </c>
      <c r="B161" s="63" t="s">
        <v>462</v>
      </c>
      <c r="C161" s="63">
        <v>176</v>
      </c>
      <c r="D161" s="63" t="s">
        <v>16</v>
      </c>
      <c r="E161" s="63" t="s">
        <v>330</v>
      </c>
      <c r="F161" s="63">
        <v>244</v>
      </c>
      <c r="G161" s="29" t="e">
        <f t="shared" si="27"/>
        <v>#REF!</v>
      </c>
      <c r="H161" s="29" t="e">
        <f>#REF!</f>
        <v>#REF!</v>
      </c>
      <c r="I161" s="29" t="e">
        <f>#REF!</f>
        <v>#REF!</v>
      </c>
      <c r="J161" s="29" t="e">
        <f>#REF!</f>
        <v>#REF!</v>
      </c>
      <c r="K161" s="29" t="e">
        <f>#REF!</f>
        <v>#REF!</v>
      </c>
      <c r="L161" s="87"/>
      <c r="M161" s="87"/>
      <c r="N161" s="87"/>
      <c r="O161" s="87"/>
      <c r="P161" s="87"/>
      <c r="Q161" s="113">
        <f>'Подробный перечень'!$Q$778</f>
        <v>22244.7</v>
      </c>
      <c r="R161" s="113"/>
      <c r="S161" s="113"/>
      <c r="T161" s="113">
        <f>T162+T163</f>
        <v>22244.7</v>
      </c>
      <c r="U161" s="113"/>
      <c r="V161" s="87">
        <f>'Подробный перечень'!$V$778</f>
        <v>22589.200000000001</v>
      </c>
      <c r="W161" s="88"/>
      <c r="X161" s="61"/>
      <c r="Y161" s="61"/>
      <c r="Z161" s="100"/>
    </row>
    <row r="162" spans="1:26">
      <c r="A162" s="485"/>
      <c r="B162" s="206" t="s">
        <v>461</v>
      </c>
      <c r="C162" s="206">
        <v>176</v>
      </c>
      <c r="D162" s="206" t="s">
        <v>16</v>
      </c>
      <c r="E162" s="206">
        <v>6100004040</v>
      </c>
      <c r="F162" s="206">
        <v>244</v>
      </c>
      <c r="G162" s="29"/>
      <c r="H162" s="29"/>
      <c r="I162" s="29"/>
      <c r="J162" s="29"/>
      <c r="K162" s="29"/>
      <c r="L162" s="87"/>
      <c r="M162" s="87"/>
      <c r="N162" s="87"/>
      <c r="O162" s="87"/>
      <c r="P162" s="87"/>
      <c r="Q162" s="113">
        <f>'Подробный перечень'!$Q$779</f>
        <v>16244.7</v>
      </c>
      <c r="R162" s="113"/>
      <c r="S162" s="113"/>
      <c r="T162" s="113">
        <f>'Подробный перечень'!T779</f>
        <v>16244.7</v>
      </c>
      <c r="U162" s="113"/>
      <c r="V162" s="87">
        <f>'Подробный перечень'!$V$779</f>
        <v>12589.2</v>
      </c>
      <c r="W162" s="88"/>
      <c r="X162" s="207"/>
      <c r="Y162" s="207"/>
      <c r="Z162" s="100"/>
    </row>
    <row r="163" spans="1:26" ht="26.4">
      <c r="A163" s="486"/>
      <c r="B163" s="206" t="s">
        <v>601</v>
      </c>
      <c r="C163" s="206">
        <v>176</v>
      </c>
      <c r="D163" s="206" t="s">
        <v>16</v>
      </c>
      <c r="E163" s="206">
        <v>6100053902</v>
      </c>
      <c r="F163" s="206">
        <v>244</v>
      </c>
      <c r="G163" s="29"/>
      <c r="H163" s="29"/>
      <c r="I163" s="29"/>
      <c r="J163" s="29"/>
      <c r="K163" s="29"/>
      <c r="L163" s="87"/>
      <c r="M163" s="87"/>
      <c r="N163" s="87"/>
      <c r="O163" s="87"/>
      <c r="P163" s="87"/>
      <c r="Q163" s="113">
        <f>'Подробный перечень'!$Q$780</f>
        <v>6000</v>
      </c>
      <c r="R163" s="113"/>
      <c r="S163" s="113"/>
      <c r="T163" s="113">
        <v>6000</v>
      </c>
      <c r="U163" s="113"/>
      <c r="V163" s="87">
        <f>'Подробный перечень'!$V$780</f>
        <v>10000</v>
      </c>
      <c r="W163" s="88"/>
      <c r="X163" s="207"/>
      <c r="Y163" s="207"/>
      <c r="Z163" s="100"/>
    </row>
    <row r="164" spans="1:26">
      <c r="A164" s="14" t="s">
        <v>53</v>
      </c>
      <c r="B164" s="63" t="s">
        <v>461</v>
      </c>
      <c r="C164" s="63">
        <v>176</v>
      </c>
      <c r="D164" s="63" t="s">
        <v>16</v>
      </c>
      <c r="E164" s="63">
        <v>6100004040</v>
      </c>
      <c r="F164" s="63">
        <v>244</v>
      </c>
      <c r="G164" s="29" t="e">
        <f t="shared" si="27"/>
        <v>#REF!</v>
      </c>
      <c r="H164" s="29" t="e">
        <f>#REF!</f>
        <v>#REF!</v>
      </c>
      <c r="I164" s="29" t="e">
        <f>#REF!</f>
        <v>#REF!</v>
      </c>
      <c r="J164" s="29" t="e">
        <f>#REF!</f>
        <v>#REF!</v>
      </c>
      <c r="K164" s="29" t="e">
        <f>#REF!</f>
        <v>#REF!</v>
      </c>
      <c r="L164" s="87"/>
      <c r="M164" s="87"/>
      <c r="N164" s="87"/>
      <c r="O164" s="87"/>
      <c r="P164" s="87"/>
      <c r="Q164" s="113"/>
      <c r="R164" s="113"/>
      <c r="S164" s="113"/>
      <c r="T164" s="113"/>
      <c r="U164" s="113"/>
      <c r="V164" s="87">
        <f>'Подробный перечень'!$V$786</f>
        <v>0</v>
      </c>
      <c r="W164" s="88">
        <f>'Подробный перечень'!$W$786</f>
        <v>7000</v>
      </c>
      <c r="X164" s="61"/>
      <c r="Y164" s="61"/>
    </row>
    <row r="165" spans="1:26">
      <c r="A165" s="14" t="s">
        <v>54</v>
      </c>
      <c r="B165" s="63" t="s">
        <v>461</v>
      </c>
      <c r="C165" s="63">
        <v>176</v>
      </c>
      <c r="D165" s="63" t="s">
        <v>16</v>
      </c>
      <c r="E165" s="63">
        <v>6100004040</v>
      </c>
      <c r="F165" s="63">
        <v>244</v>
      </c>
      <c r="G165" s="29" t="e">
        <f t="shared" si="27"/>
        <v>#REF!</v>
      </c>
      <c r="H165" s="29" t="e">
        <f>#REF!</f>
        <v>#REF!</v>
      </c>
      <c r="I165" s="29" t="e">
        <f>#REF!</f>
        <v>#REF!</v>
      </c>
      <c r="J165" s="29" t="e">
        <f>#REF!</f>
        <v>#REF!</v>
      </c>
      <c r="K165" s="29" t="e">
        <f>#REF!</f>
        <v>#REF!</v>
      </c>
      <c r="L165" s="87">
        <f>'Подробный перечень'!L790</f>
        <v>19735.5</v>
      </c>
      <c r="M165" s="87">
        <f>'Подробный перечень'!M790</f>
        <v>19735.5</v>
      </c>
      <c r="N165" s="87"/>
      <c r="O165" s="87"/>
      <c r="P165" s="87"/>
      <c r="Q165" s="113"/>
      <c r="R165" s="113"/>
      <c r="S165" s="113"/>
      <c r="T165" s="113"/>
      <c r="U165" s="113"/>
      <c r="V165" s="87">
        <f>'Подробный перечень'!$V$790</f>
        <v>0</v>
      </c>
      <c r="W165" s="88">
        <f>'Подробный перечень'!$W$790</f>
        <v>0</v>
      </c>
      <c r="X165" s="61"/>
      <c r="Y165" s="61"/>
    </row>
    <row r="166" spans="1:26">
      <c r="A166" s="14" t="s">
        <v>55</v>
      </c>
      <c r="B166" s="63" t="s">
        <v>461</v>
      </c>
      <c r="C166" s="63">
        <v>176</v>
      </c>
      <c r="D166" s="63" t="s">
        <v>16</v>
      </c>
      <c r="E166" s="63">
        <v>6100004040</v>
      </c>
      <c r="F166" s="63">
        <v>244</v>
      </c>
      <c r="G166" s="29" t="e">
        <f t="shared" si="27"/>
        <v>#REF!</v>
      </c>
      <c r="H166" s="29" t="e">
        <f>#REF!</f>
        <v>#REF!</v>
      </c>
      <c r="I166" s="29" t="e">
        <f>#REF!</f>
        <v>#REF!</v>
      </c>
      <c r="J166" s="29" t="e">
        <f>#REF!</f>
        <v>#REF!</v>
      </c>
      <c r="K166" s="29" t="e">
        <f>#REF!</f>
        <v>#REF!</v>
      </c>
      <c r="L166" s="87">
        <f>'Подробный перечень'!L796</f>
        <v>60644.4</v>
      </c>
      <c r="M166" s="87">
        <f>'Подробный перечень'!M796</f>
        <v>60644.4</v>
      </c>
      <c r="N166" s="87"/>
      <c r="O166" s="87"/>
      <c r="P166" s="87"/>
      <c r="Q166" s="113">
        <f>'Подробный перечень'!$Q$796</f>
        <v>24537.7</v>
      </c>
      <c r="R166" s="113"/>
      <c r="S166" s="113"/>
      <c r="T166" s="113">
        <f>'Подробный перечень'!T796</f>
        <v>24537.7</v>
      </c>
      <c r="U166" s="113"/>
      <c r="V166" s="87">
        <f>'Подробный перечень'!$V$796</f>
        <v>0</v>
      </c>
      <c r="W166" s="88"/>
      <c r="X166" s="61"/>
      <c r="Y166" s="61"/>
    </row>
    <row r="167" spans="1:26">
      <c r="A167" s="14" t="s">
        <v>56</v>
      </c>
      <c r="B167" s="63" t="s">
        <v>461</v>
      </c>
      <c r="C167" s="63">
        <v>176</v>
      </c>
      <c r="D167" s="63" t="s">
        <v>16</v>
      </c>
      <c r="E167" s="63">
        <v>6100004040</v>
      </c>
      <c r="F167" s="63">
        <v>244</v>
      </c>
      <c r="G167" s="29" t="e">
        <f t="shared" si="27"/>
        <v>#REF!</v>
      </c>
      <c r="H167" s="29" t="e">
        <f>#REF!</f>
        <v>#REF!</v>
      </c>
      <c r="I167" s="29" t="e">
        <f>#REF!</f>
        <v>#REF!</v>
      </c>
      <c r="J167" s="29" t="e">
        <f>#REF!</f>
        <v>#REF!</v>
      </c>
      <c r="K167" s="29" t="e">
        <f>#REF!</f>
        <v>#REF!</v>
      </c>
      <c r="L167" s="87"/>
      <c r="M167" s="87"/>
      <c r="N167" s="87"/>
      <c r="O167" s="87"/>
      <c r="P167" s="87"/>
      <c r="Q167" s="113"/>
      <c r="R167" s="113"/>
      <c r="S167" s="113"/>
      <c r="T167" s="113"/>
      <c r="U167" s="113"/>
      <c r="V167" s="87">
        <f>'Подробный перечень'!$V$808</f>
        <v>0</v>
      </c>
      <c r="W167" s="88"/>
      <c r="X167" s="61"/>
      <c r="Y167" s="61"/>
      <c r="Z167" s="100"/>
    </row>
    <row r="168" spans="1:26">
      <c r="A168" s="14" t="s">
        <v>57</v>
      </c>
      <c r="B168" s="63" t="s">
        <v>461</v>
      </c>
      <c r="C168" s="63">
        <v>176</v>
      </c>
      <c r="D168" s="63" t="s">
        <v>16</v>
      </c>
      <c r="E168" s="63">
        <v>6100004040</v>
      </c>
      <c r="F168" s="63">
        <v>244</v>
      </c>
      <c r="G168" s="29" t="e">
        <f t="shared" si="27"/>
        <v>#REF!</v>
      </c>
      <c r="H168" s="29" t="e">
        <f>#REF!</f>
        <v>#REF!</v>
      </c>
      <c r="I168" s="29" t="e">
        <f>#REF!</f>
        <v>#REF!</v>
      </c>
      <c r="J168" s="29" t="e">
        <f>#REF!</f>
        <v>#REF!</v>
      </c>
      <c r="K168" s="29" t="e">
        <f>#REF!</f>
        <v>#REF!</v>
      </c>
      <c r="L168" s="87"/>
      <c r="M168" s="87"/>
      <c r="N168" s="87"/>
      <c r="O168" s="87"/>
      <c r="P168" s="87"/>
      <c r="Q168" s="113"/>
      <c r="R168" s="113"/>
      <c r="S168" s="113"/>
      <c r="T168" s="113"/>
      <c r="U168" s="113"/>
      <c r="V168" s="87"/>
      <c r="W168" s="88"/>
      <c r="X168" s="61"/>
      <c r="Y168" s="61"/>
    </row>
    <row r="169" spans="1:26">
      <c r="A169" s="14" t="s">
        <v>58</v>
      </c>
      <c r="B169" s="63" t="s">
        <v>461</v>
      </c>
      <c r="C169" s="63">
        <v>176</v>
      </c>
      <c r="D169" s="63" t="s">
        <v>16</v>
      </c>
      <c r="E169" s="63">
        <v>6100004040</v>
      </c>
      <c r="F169" s="63">
        <v>244</v>
      </c>
      <c r="G169" s="29" t="e">
        <f t="shared" si="27"/>
        <v>#REF!</v>
      </c>
      <c r="H169" s="29" t="e">
        <f>#REF!</f>
        <v>#REF!</v>
      </c>
      <c r="I169" s="29" t="e">
        <f>#REF!</f>
        <v>#REF!</v>
      </c>
      <c r="J169" s="29" t="e">
        <f>#REF!</f>
        <v>#REF!</v>
      </c>
      <c r="K169" s="29" t="e">
        <f>#REF!</f>
        <v>#REF!</v>
      </c>
      <c r="L169" s="87"/>
      <c r="M169" s="87"/>
      <c r="N169" s="87"/>
      <c r="O169" s="87"/>
      <c r="P169" s="87"/>
      <c r="Q169" s="113">
        <f>'Подробный перечень'!$Q$808</f>
        <v>132832.5</v>
      </c>
      <c r="R169" s="113"/>
      <c r="S169" s="113"/>
      <c r="T169" s="113"/>
      <c r="U169" s="113">
        <f>Q169</f>
        <v>132832.5</v>
      </c>
      <c r="V169" s="87">
        <f>'Подробный перечень'!$V$808</f>
        <v>0</v>
      </c>
      <c r="W169" s="88"/>
      <c r="X169" s="61"/>
      <c r="Y169" s="61"/>
    </row>
    <row r="170" spans="1:26">
      <c r="A170" s="14" t="s">
        <v>59</v>
      </c>
      <c r="B170" s="63" t="s">
        <v>461</v>
      </c>
      <c r="C170" s="63">
        <v>176</v>
      </c>
      <c r="D170" s="63" t="s">
        <v>16</v>
      </c>
      <c r="E170" s="63">
        <v>6100004040</v>
      </c>
      <c r="F170" s="63">
        <v>244</v>
      </c>
      <c r="G170" s="29" t="e">
        <f t="shared" si="27"/>
        <v>#REF!</v>
      </c>
      <c r="H170" s="29" t="e">
        <f>#REF!</f>
        <v>#REF!</v>
      </c>
      <c r="I170" s="29" t="e">
        <f>#REF!</f>
        <v>#REF!</v>
      </c>
      <c r="J170" s="29" t="e">
        <f>#REF!</f>
        <v>#REF!</v>
      </c>
      <c r="K170" s="29" t="e">
        <f>#REF!</f>
        <v>#REF!</v>
      </c>
      <c r="L170" s="87"/>
      <c r="M170" s="87"/>
      <c r="N170" s="87"/>
      <c r="O170" s="87"/>
      <c r="P170" s="87"/>
      <c r="Q170" s="113">
        <f>'Подробный перечень'!$Q$814</f>
        <v>1062.9000000000001</v>
      </c>
      <c r="R170" s="113"/>
      <c r="S170" s="113"/>
      <c r="T170" s="113">
        <f>'Подробный перечень'!T814</f>
        <v>1062.9000000000001</v>
      </c>
      <c r="U170" s="113"/>
      <c r="V170" s="87"/>
      <c r="W170" s="88"/>
      <c r="X170" s="61"/>
      <c r="Y170" s="61"/>
    </row>
    <row r="171" spans="1:26">
      <c r="A171" s="14" t="s">
        <v>60</v>
      </c>
      <c r="B171" s="63" t="s">
        <v>461</v>
      </c>
      <c r="C171" s="63">
        <v>176</v>
      </c>
      <c r="D171" s="63" t="s">
        <v>16</v>
      </c>
      <c r="E171" s="63">
        <v>6100004040</v>
      </c>
      <c r="F171" s="63">
        <v>244</v>
      </c>
      <c r="G171" s="29" t="e">
        <f t="shared" si="27"/>
        <v>#REF!</v>
      </c>
      <c r="H171" s="29" t="e">
        <f>#REF!</f>
        <v>#REF!</v>
      </c>
      <c r="I171" s="29" t="e">
        <f>#REF!</f>
        <v>#REF!</v>
      </c>
      <c r="J171" s="29" t="e">
        <f>#REF!</f>
        <v>#REF!</v>
      </c>
      <c r="K171" s="29" t="e">
        <f>#REF!</f>
        <v>#REF!</v>
      </c>
      <c r="L171" s="87"/>
      <c r="M171" s="87"/>
      <c r="N171" s="87"/>
      <c r="O171" s="87"/>
      <c r="P171" s="87"/>
      <c r="Q171" s="113">
        <f>'Подробный перечень'!$Q$818</f>
        <v>31248.799999999999</v>
      </c>
      <c r="R171" s="113"/>
      <c r="S171" s="113"/>
      <c r="T171" s="113">
        <f>'Подробный перечень'!T818</f>
        <v>31248.799999999999</v>
      </c>
      <c r="U171" s="113"/>
      <c r="V171" s="87"/>
      <c r="W171" s="88">
        <f>'Подробный перечень'!$W$818</f>
        <v>17397.5</v>
      </c>
      <c r="X171" s="61"/>
      <c r="Y171" s="61"/>
    </row>
    <row r="172" spans="1:26">
      <c r="A172" s="484" t="s">
        <v>61</v>
      </c>
      <c r="B172" s="63" t="s">
        <v>462</v>
      </c>
      <c r="C172" s="63">
        <v>176</v>
      </c>
      <c r="D172" s="63" t="s">
        <v>16</v>
      </c>
      <c r="E172" s="63" t="s">
        <v>330</v>
      </c>
      <c r="F172" s="63">
        <v>244</v>
      </c>
      <c r="G172" s="29" t="e">
        <f t="shared" si="27"/>
        <v>#REF!</v>
      </c>
      <c r="H172" s="29" t="e">
        <f>#REF!</f>
        <v>#REF!</v>
      </c>
      <c r="I172" s="29" t="e">
        <f>#REF!</f>
        <v>#REF!</v>
      </c>
      <c r="J172" s="29" t="e">
        <f>#REF!</f>
        <v>#REF!</v>
      </c>
      <c r="K172" s="29" t="e">
        <f>#REF!</f>
        <v>#REF!</v>
      </c>
      <c r="L172" s="87">
        <f>'Подробный перечень'!L826</f>
        <v>131011.4</v>
      </c>
      <c r="M172" s="87">
        <f>'Подробный перечень'!M826</f>
        <v>25576.199999999997</v>
      </c>
      <c r="N172" s="87">
        <f>'Подробный перечень'!N826</f>
        <v>44632.5</v>
      </c>
      <c r="O172" s="87">
        <f>'Подробный перечень'!O826</f>
        <v>13888.300000000001</v>
      </c>
      <c r="P172" s="87">
        <f>'Подробный перечень'!P826</f>
        <v>46914.400000000001</v>
      </c>
      <c r="Q172" s="113">
        <f>Q173+Q174</f>
        <v>186073.60000000001</v>
      </c>
      <c r="R172" s="113"/>
      <c r="S172" s="113"/>
      <c r="T172" s="113">
        <f>T173+T174</f>
        <v>115132</v>
      </c>
      <c r="U172" s="113">
        <f>U173+U174</f>
        <v>70941.600000000006</v>
      </c>
      <c r="V172" s="87">
        <f>V173+V174</f>
        <v>141769</v>
      </c>
      <c r="W172" s="88">
        <f>'Подробный перечень'!$W$824</f>
        <v>94054.1</v>
      </c>
      <c r="X172" s="61"/>
      <c r="Y172" s="61"/>
      <c r="Z172" s="100"/>
    </row>
    <row r="173" spans="1:26">
      <c r="A173" s="485"/>
      <c r="B173" s="171" t="s">
        <v>461</v>
      </c>
      <c r="C173" s="171">
        <v>176</v>
      </c>
      <c r="D173" s="171" t="s">
        <v>16</v>
      </c>
      <c r="E173" s="171">
        <v>6100004040</v>
      </c>
      <c r="F173" s="171">
        <v>244</v>
      </c>
      <c r="G173" s="29"/>
      <c r="H173" s="29"/>
      <c r="I173" s="29"/>
      <c r="J173" s="29"/>
      <c r="K173" s="29"/>
      <c r="L173" s="87"/>
      <c r="M173" s="87"/>
      <c r="N173" s="87"/>
      <c r="O173" s="87"/>
      <c r="P173" s="87"/>
      <c r="Q173" s="113">
        <f>'Подробный перечень'!$Q$825</f>
        <v>104433.60000000001</v>
      </c>
      <c r="R173" s="113"/>
      <c r="S173" s="113"/>
      <c r="T173" s="113">
        <f>'Подробный перечень'!$T$825</f>
        <v>79492</v>
      </c>
      <c r="U173" s="113">
        <f>'Подробный перечень'!$U$825</f>
        <v>24941.599999999999</v>
      </c>
      <c r="V173" s="87">
        <f>'Подробный перечень'!$V$825</f>
        <v>78709</v>
      </c>
      <c r="W173" s="88">
        <f>'Подробный перечень'!$W$825</f>
        <v>94054.1</v>
      </c>
      <c r="X173" s="172"/>
      <c r="Y173" s="172"/>
    </row>
    <row r="174" spans="1:26" ht="26.4">
      <c r="A174" s="486"/>
      <c r="B174" s="171" t="s">
        <v>601</v>
      </c>
      <c r="C174" s="171">
        <v>176</v>
      </c>
      <c r="D174" s="171" t="s">
        <v>16</v>
      </c>
      <c r="E174" s="171">
        <v>6100053902</v>
      </c>
      <c r="F174" s="171">
        <v>244</v>
      </c>
      <c r="G174" s="29"/>
      <c r="H174" s="29"/>
      <c r="I174" s="29"/>
      <c r="J174" s="29"/>
      <c r="K174" s="29"/>
      <c r="L174" s="87"/>
      <c r="M174" s="87"/>
      <c r="N174" s="87"/>
      <c r="O174" s="87"/>
      <c r="P174" s="87"/>
      <c r="Q174" s="113">
        <f>'Подробный перечень'!$Q$826</f>
        <v>81640</v>
      </c>
      <c r="R174" s="113"/>
      <c r="S174" s="113"/>
      <c r="T174" s="113">
        <f>'Подробный перечень'!$T$826</f>
        <v>35640</v>
      </c>
      <c r="U174" s="113">
        <f>'Подробный перечень'!$U$826</f>
        <v>46000</v>
      </c>
      <c r="V174" s="87">
        <f>'Подробный перечень'!$V$826</f>
        <v>63060</v>
      </c>
      <c r="W174" s="88">
        <f>'Подробный перечень'!$W$826</f>
        <v>0</v>
      </c>
      <c r="X174" s="172"/>
      <c r="Y174" s="172"/>
      <c r="Z174" s="100"/>
    </row>
    <row r="175" spans="1:26">
      <c r="A175" s="14" t="s">
        <v>62</v>
      </c>
      <c r="B175" s="63" t="s">
        <v>34</v>
      </c>
      <c r="C175" s="63">
        <v>176</v>
      </c>
      <c r="D175" s="63" t="s">
        <v>16</v>
      </c>
      <c r="E175" s="63">
        <v>6100004040</v>
      </c>
      <c r="F175" s="63">
        <v>244</v>
      </c>
      <c r="G175" s="29" t="e">
        <f t="shared" si="27"/>
        <v>#REF!</v>
      </c>
      <c r="H175" s="29" t="e">
        <f>#REF!</f>
        <v>#REF!</v>
      </c>
      <c r="I175" s="29" t="e">
        <f>#REF!</f>
        <v>#REF!</v>
      </c>
      <c r="J175" s="29" t="e">
        <f>#REF!</f>
        <v>#REF!</v>
      </c>
      <c r="K175" s="29" t="e">
        <f>#REF!</f>
        <v>#REF!</v>
      </c>
      <c r="L175" s="87">
        <f>'Подробный перечень'!L864</f>
        <v>18527.400000000001</v>
      </c>
      <c r="M175" s="87"/>
      <c r="N175" s="87">
        <f>'Подробный перечень'!N864</f>
        <v>18527.400000000001</v>
      </c>
      <c r="O175" s="87"/>
      <c r="P175" s="87"/>
      <c r="Q175" s="113">
        <f>'Подробный перечень'!$Q$864</f>
        <v>0</v>
      </c>
      <c r="R175" s="113"/>
      <c r="S175" s="113"/>
      <c r="T175" s="113"/>
      <c r="U175" s="113"/>
      <c r="V175" s="87">
        <f>'Подробный перечень'!$V$864</f>
        <v>0</v>
      </c>
      <c r="W175" s="88">
        <f>'Подробный перечень'!$W$864</f>
        <v>25398.2</v>
      </c>
      <c r="X175" s="61"/>
      <c r="Y175" s="61"/>
    </row>
    <row r="176" spans="1:26">
      <c r="A176" s="14" t="s">
        <v>63</v>
      </c>
      <c r="B176" s="63" t="s">
        <v>34</v>
      </c>
      <c r="C176" s="63">
        <v>176</v>
      </c>
      <c r="D176" s="63" t="s">
        <v>16</v>
      </c>
      <c r="E176" s="63">
        <v>6100004040</v>
      </c>
      <c r="F176" s="63">
        <v>244</v>
      </c>
      <c r="G176" s="29" t="e">
        <f t="shared" si="27"/>
        <v>#REF!</v>
      </c>
      <c r="H176" s="29" t="e">
        <f>#REF!</f>
        <v>#REF!</v>
      </c>
      <c r="I176" s="29" t="e">
        <f>#REF!</f>
        <v>#REF!</v>
      </c>
      <c r="J176" s="29" t="e">
        <f>#REF!</f>
        <v>#REF!</v>
      </c>
      <c r="K176" s="29" t="e">
        <f>#REF!</f>
        <v>#REF!</v>
      </c>
      <c r="L176" s="87">
        <f>'Подробный перечень'!L868</f>
        <v>17020.2</v>
      </c>
      <c r="M176" s="87"/>
      <c r="N176" s="87"/>
      <c r="O176" s="87">
        <f>'Подробный перечень'!O868</f>
        <v>17020.2</v>
      </c>
      <c r="P176" s="87"/>
      <c r="Q176" s="113"/>
      <c r="R176" s="113"/>
      <c r="S176" s="113"/>
      <c r="T176" s="113"/>
      <c r="U176" s="113"/>
      <c r="V176" s="87"/>
      <c r="W176" s="88"/>
      <c r="X176" s="61"/>
      <c r="Y176" s="61"/>
      <c r="Z176" s="100"/>
    </row>
    <row r="177" spans="1:26">
      <c r="A177" s="14" t="s">
        <v>64</v>
      </c>
      <c r="B177" s="63" t="s">
        <v>34</v>
      </c>
      <c r="C177" s="63">
        <v>176</v>
      </c>
      <c r="D177" s="63" t="s">
        <v>16</v>
      </c>
      <c r="E177" s="63">
        <v>6100004040</v>
      </c>
      <c r="F177" s="63">
        <v>244</v>
      </c>
      <c r="G177" s="29" t="e">
        <f t="shared" si="27"/>
        <v>#REF!</v>
      </c>
      <c r="H177" s="29" t="e">
        <f>#REF!</f>
        <v>#REF!</v>
      </c>
      <c r="I177" s="29" t="e">
        <f>#REF!</f>
        <v>#REF!</v>
      </c>
      <c r="J177" s="29" t="e">
        <f>#REF!</f>
        <v>#REF!</v>
      </c>
      <c r="K177" s="29" t="e">
        <f>#REF!</f>
        <v>#REF!</v>
      </c>
      <c r="L177" s="87"/>
      <c r="M177" s="87"/>
      <c r="N177" s="87"/>
      <c r="O177" s="87"/>
      <c r="P177" s="87"/>
      <c r="Q177" s="113"/>
      <c r="R177" s="113"/>
      <c r="S177" s="113"/>
      <c r="T177" s="113"/>
      <c r="U177" s="113"/>
      <c r="V177" s="87">
        <f>'Подробный перечень'!$V$872</f>
        <v>0</v>
      </c>
      <c r="W177" s="88">
        <f>'Подробный перечень'!$W$872</f>
        <v>7330.9</v>
      </c>
      <c r="X177" s="61"/>
      <c r="Y177" s="61"/>
    </row>
    <row r="178" spans="1:26">
      <c r="A178" s="14" t="s">
        <v>65</v>
      </c>
      <c r="B178" s="63" t="s">
        <v>34</v>
      </c>
      <c r="C178" s="63">
        <v>176</v>
      </c>
      <c r="D178" s="63" t="s">
        <v>16</v>
      </c>
      <c r="E178" s="63">
        <v>6100004040</v>
      </c>
      <c r="F178" s="63">
        <v>244</v>
      </c>
      <c r="G178" s="29">
        <f t="shared" si="27"/>
        <v>0</v>
      </c>
      <c r="H178" s="29">
        <v>0</v>
      </c>
      <c r="I178" s="29"/>
      <c r="J178" s="29"/>
      <c r="K178" s="29"/>
      <c r="L178" s="87"/>
      <c r="M178" s="87"/>
      <c r="N178" s="87"/>
      <c r="O178" s="87"/>
      <c r="P178" s="87"/>
      <c r="Q178" s="113"/>
      <c r="R178" s="113"/>
      <c r="S178" s="113"/>
      <c r="T178" s="113"/>
      <c r="U178" s="113"/>
      <c r="V178" s="87"/>
      <c r="W178" s="88"/>
      <c r="X178" s="61"/>
      <c r="Y178" s="61"/>
      <c r="Z178" s="100"/>
    </row>
    <row r="179" spans="1:26">
      <c r="A179" s="484" t="s">
        <v>66</v>
      </c>
      <c r="B179" s="63" t="s">
        <v>462</v>
      </c>
      <c r="C179" s="63">
        <v>176</v>
      </c>
      <c r="D179" s="63" t="s">
        <v>16</v>
      </c>
      <c r="E179" s="63" t="s">
        <v>330</v>
      </c>
      <c r="F179" s="63">
        <v>244</v>
      </c>
      <c r="G179" s="29" t="e">
        <f t="shared" si="27"/>
        <v>#REF!</v>
      </c>
      <c r="H179" s="29" t="e">
        <f>#REF!</f>
        <v>#REF!</v>
      </c>
      <c r="I179" s="29" t="e">
        <f>#REF!</f>
        <v>#REF!</v>
      </c>
      <c r="J179" s="29" t="e">
        <f>#REF!</f>
        <v>#REF!</v>
      </c>
      <c r="K179" s="29" t="e">
        <f>#REF!</f>
        <v>#REF!</v>
      </c>
      <c r="L179" s="87">
        <f>'Подробный перечень'!L880</f>
        <v>68521.3</v>
      </c>
      <c r="M179" s="87">
        <f>'Подробный перечень'!M880</f>
        <v>45521.3</v>
      </c>
      <c r="N179" s="87"/>
      <c r="O179" s="87">
        <f>'Подробный перечень'!O880</f>
        <v>23000</v>
      </c>
      <c r="P179" s="87"/>
      <c r="Q179" s="113">
        <f>Q180+Q181</f>
        <v>62074.1</v>
      </c>
      <c r="R179" s="113"/>
      <c r="S179" s="113"/>
      <c r="T179" s="113"/>
      <c r="U179" s="113">
        <f>U180+U181</f>
        <v>62074.1</v>
      </c>
      <c r="V179" s="87">
        <f>V180+V181</f>
        <v>27404.2</v>
      </c>
      <c r="W179" s="88">
        <f>'Подробный перечень'!$W$878</f>
        <v>0</v>
      </c>
      <c r="X179" s="61"/>
      <c r="Y179" s="61"/>
      <c r="Z179" s="100"/>
    </row>
    <row r="180" spans="1:26">
      <c r="A180" s="485"/>
      <c r="B180" s="171" t="s">
        <v>461</v>
      </c>
      <c r="C180" s="171">
        <v>176</v>
      </c>
      <c r="D180" s="171" t="s">
        <v>16</v>
      </c>
      <c r="E180" s="171">
        <v>6100004040</v>
      </c>
      <c r="F180" s="171">
        <v>244</v>
      </c>
      <c r="G180" s="29"/>
      <c r="H180" s="29"/>
      <c r="I180" s="29"/>
      <c r="J180" s="29"/>
      <c r="K180" s="29"/>
      <c r="L180" s="87"/>
      <c r="M180" s="87"/>
      <c r="N180" s="87"/>
      <c r="O180" s="87"/>
      <c r="P180" s="87"/>
      <c r="Q180" s="113">
        <f>'Подробный перечень'!$Q$879</f>
        <v>29604.1</v>
      </c>
      <c r="R180" s="113"/>
      <c r="S180" s="113"/>
      <c r="T180" s="113"/>
      <c r="U180" s="113">
        <f>'Подробный перечень'!U879</f>
        <v>29604.1</v>
      </c>
      <c r="V180" s="87">
        <f>'Подробный перечень'!$V$879</f>
        <v>27404.2</v>
      </c>
      <c r="W180" s="88">
        <f>'Подробный перечень'!$W$879</f>
        <v>0</v>
      </c>
      <c r="X180" s="172"/>
      <c r="Y180" s="172"/>
      <c r="Z180" s="100"/>
    </row>
    <row r="181" spans="1:26" ht="26.4">
      <c r="A181" s="486"/>
      <c r="B181" s="171" t="s">
        <v>601</v>
      </c>
      <c r="C181" s="171">
        <v>176</v>
      </c>
      <c r="D181" s="171" t="s">
        <v>16</v>
      </c>
      <c r="E181" s="171">
        <v>6100053902</v>
      </c>
      <c r="F181" s="171">
        <v>244</v>
      </c>
      <c r="G181" s="29"/>
      <c r="H181" s="29"/>
      <c r="I181" s="29"/>
      <c r="J181" s="29"/>
      <c r="K181" s="29"/>
      <c r="L181" s="87"/>
      <c r="M181" s="87"/>
      <c r="N181" s="87"/>
      <c r="O181" s="87"/>
      <c r="P181" s="87"/>
      <c r="Q181" s="113">
        <f>'Подробный перечень'!$Q$880</f>
        <v>32470</v>
      </c>
      <c r="R181" s="113"/>
      <c r="S181" s="113"/>
      <c r="T181" s="113"/>
      <c r="U181" s="113">
        <f>'Подробный перечень'!U880</f>
        <v>32470</v>
      </c>
      <c r="V181" s="87">
        <f>'Подробный перечень'!$V$880</f>
        <v>0</v>
      </c>
      <c r="W181" s="88">
        <f>'Подробный перечень'!$W$880</f>
        <v>0</v>
      </c>
      <c r="X181" s="172"/>
      <c r="Y181" s="172"/>
    </row>
    <row r="182" spans="1:26">
      <c r="A182" s="14" t="s">
        <v>67</v>
      </c>
      <c r="B182" s="63" t="s">
        <v>34</v>
      </c>
      <c r="C182" s="63">
        <v>176</v>
      </c>
      <c r="D182" s="63" t="s">
        <v>16</v>
      </c>
      <c r="E182" s="63">
        <v>6100004040</v>
      </c>
      <c r="F182" s="63">
        <v>244</v>
      </c>
      <c r="G182" s="29">
        <f t="shared" si="27"/>
        <v>0</v>
      </c>
      <c r="H182" s="29"/>
      <c r="I182" s="29"/>
      <c r="J182" s="29"/>
      <c r="K182" s="29"/>
      <c r="L182" s="87"/>
      <c r="M182" s="87"/>
      <c r="N182" s="87"/>
      <c r="O182" s="87"/>
      <c r="P182" s="87"/>
      <c r="Q182" s="113"/>
      <c r="R182" s="113"/>
      <c r="S182" s="113"/>
      <c r="T182" s="113"/>
      <c r="U182" s="113"/>
      <c r="V182" s="87"/>
      <c r="W182" s="88"/>
      <c r="X182" s="61"/>
      <c r="Y182" s="61"/>
    </row>
    <row r="183" spans="1:26">
      <c r="A183" s="14" t="s">
        <v>68</v>
      </c>
      <c r="B183" s="63" t="s">
        <v>34</v>
      </c>
      <c r="C183" s="63">
        <v>176</v>
      </c>
      <c r="D183" s="63" t="s">
        <v>16</v>
      </c>
      <c r="E183" s="63">
        <v>6100004040</v>
      </c>
      <c r="F183" s="63">
        <v>244</v>
      </c>
      <c r="G183" s="29">
        <f t="shared" si="27"/>
        <v>0</v>
      </c>
      <c r="H183" s="29">
        <v>0</v>
      </c>
      <c r="I183" s="29">
        <v>0</v>
      </c>
      <c r="J183" s="29">
        <v>0</v>
      </c>
      <c r="K183" s="29">
        <v>0</v>
      </c>
      <c r="L183" s="87"/>
      <c r="M183" s="87"/>
      <c r="N183" s="87"/>
      <c r="O183" s="87"/>
      <c r="P183" s="87"/>
      <c r="Q183" s="113"/>
      <c r="R183" s="113"/>
      <c r="S183" s="113"/>
      <c r="T183" s="113"/>
      <c r="U183" s="113"/>
      <c r="V183" s="87"/>
      <c r="W183" s="88"/>
      <c r="X183" s="61"/>
      <c r="Y183" s="61"/>
      <c r="Z183" s="100"/>
    </row>
    <row r="184" spans="1:26">
      <c r="A184" s="14" t="s">
        <v>69</v>
      </c>
      <c r="B184" s="63" t="s">
        <v>34</v>
      </c>
      <c r="C184" s="63">
        <v>176</v>
      </c>
      <c r="D184" s="63" t="s">
        <v>16</v>
      </c>
      <c r="E184" s="63">
        <v>6100004040</v>
      </c>
      <c r="F184" s="63">
        <v>244</v>
      </c>
      <c r="G184" s="29">
        <f t="shared" si="27"/>
        <v>0</v>
      </c>
      <c r="H184" s="29">
        <v>0</v>
      </c>
      <c r="I184" s="29">
        <v>0</v>
      </c>
      <c r="J184" s="29">
        <v>0</v>
      </c>
      <c r="K184" s="29">
        <v>0</v>
      </c>
      <c r="L184" s="87"/>
      <c r="M184" s="87"/>
      <c r="N184" s="87"/>
      <c r="O184" s="87"/>
      <c r="P184" s="87"/>
      <c r="Q184" s="113"/>
      <c r="R184" s="113"/>
      <c r="S184" s="113"/>
      <c r="T184" s="113"/>
      <c r="U184" s="113"/>
      <c r="V184" s="87">
        <f>'Подробный перечень'!$V$898</f>
        <v>19933</v>
      </c>
      <c r="W184" s="88">
        <f>'Подробный перечень'!$W$898</f>
        <v>10005.9</v>
      </c>
      <c r="X184" s="61"/>
      <c r="Y184" s="61"/>
      <c r="Z184" s="100"/>
    </row>
    <row r="185" spans="1:26">
      <c r="A185" s="14" t="s">
        <v>70</v>
      </c>
      <c r="B185" s="63" t="s">
        <v>34</v>
      </c>
      <c r="C185" s="63">
        <v>176</v>
      </c>
      <c r="D185" s="63" t="s">
        <v>16</v>
      </c>
      <c r="E185" s="63">
        <v>6100004040</v>
      </c>
      <c r="F185" s="63">
        <v>244</v>
      </c>
      <c r="G185" s="29">
        <f t="shared" si="27"/>
        <v>0</v>
      </c>
      <c r="H185" s="29">
        <v>0</v>
      </c>
      <c r="I185" s="29">
        <v>0</v>
      </c>
      <c r="J185" s="29">
        <v>0</v>
      </c>
      <c r="K185" s="29">
        <v>0</v>
      </c>
      <c r="L185" s="87"/>
      <c r="M185" s="87"/>
      <c r="N185" s="87"/>
      <c r="O185" s="87"/>
      <c r="P185" s="87"/>
      <c r="Q185" s="113"/>
      <c r="R185" s="113"/>
      <c r="S185" s="113"/>
      <c r="T185" s="113"/>
      <c r="U185" s="113"/>
      <c r="V185" s="87"/>
      <c r="W185" s="88"/>
      <c r="X185" s="61"/>
      <c r="Y185" s="61"/>
    </row>
    <row r="186" spans="1:26">
      <c r="A186" s="14" t="s">
        <v>71</v>
      </c>
      <c r="B186" s="63" t="s">
        <v>34</v>
      </c>
      <c r="C186" s="63">
        <v>176</v>
      </c>
      <c r="D186" s="63" t="s">
        <v>16</v>
      </c>
      <c r="E186" s="63">
        <v>6100004040</v>
      </c>
      <c r="F186" s="63">
        <v>244</v>
      </c>
      <c r="G186" s="29" t="e">
        <f t="shared" si="27"/>
        <v>#REF!</v>
      </c>
      <c r="H186" s="29" t="e">
        <f>#REF!</f>
        <v>#REF!</v>
      </c>
      <c r="I186" s="29" t="e">
        <f>#REF!</f>
        <v>#REF!</v>
      </c>
      <c r="J186" s="29" t="e">
        <f>#REF!</f>
        <v>#REF!</v>
      </c>
      <c r="K186" s="29" t="e">
        <f>#REF!</f>
        <v>#REF!</v>
      </c>
      <c r="L186" s="87"/>
      <c r="M186" s="87"/>
      <c r="N186" s="87"/>
      <c r="O186" s="87"/>
      <c r="P186" s="87"/>
      <c r="Q186" s="113"/>
      <c r="R186" s="113"/>
      <c r="S186" s="113"/>
      <c r="T186" s="113"/>
      <c r="U186" s="113"/>
      <c r="V186" s="87"/>
      <c r="W186" s="88"/>
      <c r="X186" s="61"/>
      <c r="Y186" s="61"/>
    </row>
    <row r="187" spans="1:26">
      <c r="A187" s="14" t="s">
        <v>72</v>
      </c>
      <c r="B187" s="63" t="s">
        <v>34</v>
      </c>
      <c r="C187" s="63">
        <v>176</v>
      </c>
      <c r="D187" s="63" t="s">
        <v>16</v>
      </c>
      <c r="E187" s="63">
        <v>6100004040</v>
      </c>
      <c r="F187" s="63">
        <v>244</v>
      </c>
      <c r="G187" s="29" t="e">
        <f t="shared" si="27"/>
        <v>#REF!</v>
      </c>
      <c r="H187" s="29" t="e">
        <f>#REF!</f>
        <v>#REF!</v>
      </c>
      <c r="I187" s="29" t="e">
        <f>#REF!</f>
        <v>#REF!</v>
      </c>
      <c r="J187" s="29" t="e">
        <f>#REF!</f>
        <v>#REF!</v>
      </c>
      <c r="K187" s="29" t="e">
        <f>#REF!</f>
        <v>#REF!</v>
      </c>
      <c r="L187" s="87"/>
      <c r="M187" s="87"/>
      <c r="N187" s="87"/>
      <c r="O187" s="87"/>
      <c r="P187" s="87"/>
      <c r="Q187" s="113"/>
      <c r="R187" s="113"/>
      <c r="S187" s="113"/>
      <c r="T187" s="113"/>
      <c r="U187" s="113"/>
      <c r="V187" s="87"/>
      <c r="W187" s="88"/>
      <c r="X187" s="61"/>
      <c r="Y187" s="61"/>
      <c r="Z187" s="100"/>
    </row>
    <row r="188" spans="1:26" ht="17.399999999999999" customHeight="1">
      <c r="A188" s="69" t="s">
        <v>33</v>
      </c>
      <c r="B188" s="63" t="s">
        <v>34</v>
      </c>
      <c r="C188" s="63">
        <v>176</v>
      </c>
      <c r="D188" s="63" t="s">
        <v>16</v>
      </c>
      <c r="E188" s="63">
        <v>6100004040</v>
      </c>
      <c r="F188" s="63">
        <v>244</v>
      </c>
      <c r="G188" s="29" t="e">
        <f t="shared" si="27"/>
        <v>#REF!</v>
      </c>
      <c r="H188" s="29" t="e">
        <f>#REF!</f>
        <v>#REF!</v>
      </c>
      <c r="I188" s="29" t="e">
        <f>#REF!</f>
        <v>#REF!</v>
      </c>
      <c r="J188" s="29" t="e">
        <f>#REF!</f>
        <v>#REF!</v>
      </c>
      <c r="K188" s="29" t="e">
        <f>#REF!</f>
        <v>#REF!</v>
      </c>
      <c r="L188" s="87">
        <f>'Подробный перечень'!L901</f>
        <v>500</v>
      </c>
      <c r="M188" s="87"/>
      <c r="N188" s="87"/>
      <c r="O188" s="87"/>
      <c r="P188" s="87">
        <f>'Подробный перечень'!P901</f>
        <v>500</v>
      </c>
      <c r="Q188" s="113">
        <f>'Подробный перечень'!$Q$901</f>
        <v>365.59999999999997</v>
      </c>
      <c r="R188" s="113"/>
      <c r="S188" s="113"/>
      <c r="T188" s="113">
        <f>'Подробный перечень'!$T$901</f>
        <v>317.39999999999998</v>
      </c>
      <c r="U188" s="113">
        <f>'Подробный перечень'!$U$901</f>
        <v>48.2</v>
      </c>
      <c r="V188" s="87">
        <f>'Подробный перечень'!$V$901</f>
        <v>2000</v>
      </c>
      <c r="W188" s="88">
        <f>'Подробный перечень'!$W$901</f>
        <v>1500</v>
      </c>
      <c r="X188" s="61"/>
      <c r="Y188" s="61"/>
      <c r="Z188" s="100"/>
    </row>
    <row r="189" spans="1:26" ht="71.400000000000006" customHeight="1">
      <c r="A189" s="442" t="s">
        <v>252</v>
      </c>
      <c r="B189" s="63" t="s">
        <v>34</v>
      </c>
      <c r="C189" s="63">
        <v>176</v>
      </c>
      <c r="D189" s="63" t="s">
        <v>16</v>
      </c>
      <c r="E189" s="63">
        <v>6100004040</v>
      </c>
      <c r="F189" s="63">
        <v>244</v>
      </c>
      <c r="G189" s="29" t="e">
        <f>#REF!</f>
        <v>#REF!</v>
      </c>
      <c r="H189" s="29" t="e">
        <f>#REF!</f>
        <v>#REF!</v>
      </c>
      <c r="I189" s="29"/>
      <c r="J189" s="29"/>
      <c r="K189" s="29"/>
      <c r="L189" s="87"/>
      <c r="M189" s="87"/>
      <c r="N189" s="87"/>
      <c r="O189" s="87"/>
      <c r="P189" s="87"/>
      <c r="Q189" s="113">
        <v>17229.599999999999</v>
      </c>
      <c r="R189" s="404">
        <v>17229.599999999999</v>
      </c>
      <c r="S189" s="404"/>
      <c r="T189" s="404"/>
      <c r="U189" s="404"/>
      <c r="V189" s="88"/>
      <c r="W189" s="88"/>
      <c r="X189" s="61"/>
      <c r="Y189" s="439" t="s">
        <v>650</v>
      </c>
    </row>
    <row r="190" spans="1:26" ht="0.6" customHeight="1">
      <c r="A190" s="443" t="s">
        <v>650</v>
      </c>
      <c r="B190" s="63" t="s">
        <v>34</v>
      </c>
      <c r="C190" s="63">
        <v>176</v>
      </c>
      <c r="D190" s="63" t="s">
        <v>16</v>
      </c>
      <c r="E190" s="63">
        <v>6100004040</v>
      </c>
      <c r="F190" s="63">
        <v>244</v>
      </c>
      <c r="G190" s="31"/>
      <c r="H190" s="31"/>
      <c r="I190" s="31"/>
      <c r="J190" s="31"/>
      <c r="K190" s="31"/>
      <c r="L190" s="87"/>
      <c r="M190" s="87"/>
      <c r="N190" s="87"/>
      <c r="O190" s="87"/>
      <c r="P190" s="87"/>
      <c r="Q190" s="113"/>
      <c r="R190" s="113"/>
      <c r="S190" s="113"/>
      <c r="T190" s="113"/>
      <c r="U190" s="113"/>
      <c r="V190" s="87"/>
      <c r="W190" s="87"/>
      <c r="X190" s="63"/>
      <c r="Y190" s="63"/>
      <c r="Z190" s="100">
        <f>R189+R190</f>
        <v>17229.599999999999</v>
      </c>
    </row>
    <row r="191" spans="1:26" ht="17.399999999999999" customHeight="1">
      <c r="A191" s="501" t="s">
        <v>229</v>
      </c>
      <c r="B191" s="12" t="s">
        <v>93</v>
      </c>
      <c r="C191" s="12"/>
      <c r="D191" s="12"/>
      <c r="E191" s="12"/>
      <c r="F191" s="12"/>
      <c r="G191" s="40">
        <v>12785.95</v>
      </c>
      <c r="H191" s="40">
        <v>12785.95</v>
      </c>
      <c r="I191" s="40">
        <v>12785.95</v>
      </c>
      <c r="J191" s="40">
        <v>12785.95</v>
      </c>
      <c r="K191" s="40">
        <v>12785.95</v>
      </c>
      <c r="L191" s="60">
        <v>12777.4</v>
      </c>
      <c r="M191" s="60"/>
      <c r="N191" s="60"/>
      <c r="O191" s="60"/>
      <c r="P191" s="60"/>
      <c r="Q191" s="112">
        <v>12741.8</v>
      </c>
      <c r="R191" s="119"/>
      <c r="S191" s="119"/>
      <c r="T191" s="119"/>
      <c r="U191" s="119"/>
      <c r="V191" s="112">
        <v>12741.8</v>
      </c>
      <c r="W191" s="112">
        <v>12741.8</v>
      </c>
      <c r="X191" s="489" t="s">
        <v>27</v>
      </c>
      <c r="Y191" s="489" t="s">
        <v>286</v>
      </c>
    </row>
    <row r="192" spans="1:26" ht="42" customHeight="1">
      <c r="A192" s="502"/>
      <c r="B192" s="12" t="s">
        <v>25</v>
      </c>
      <c r="C192" s="12"/>
      <c r="D192" s="12"/>
      <c r="E192" s="12"/>
      <c r="F192" s="12"/>
      <c r="G192" s="13">
        <f>G193/G191</f>
        <v>201.46654546592157</v>
      </c>
      <c r="H192" s="13">
        <f t="shared" ref="H192:Q192" si="28">H193/H191</f>
        <v>51.134980193102592</v>
      </c>
      <c r="I192" s="13">
        <f t="shared" si="28"/>
        <v>54.896388144799573</v>
      </c>
      <c r="J192" s="13">
        <f t="shared" si="28"/>
        <v>63.038637723438612</v>
      </c>
      <c r="K192" s="13">
        <f t="shared" si="28"/>
        <v>34.650338644695182</v>
      </c>
      <c r="L192" s="60">
        <f t="shared" si="28"/>
        <v>232.23656612456372</v>
      </c>
      <c r="M192" s="60"/>
      <c r="N192" s="60"/>
      <c r="O192" s="60"/>
      <c r="P192" s="60"/>
      <c r="Q192" s="112">
        <f t="shared" si="28"/>
        <v>246.67504897267264</v>
      </c>
      <c r="R192" s="112"/>
      <c r="S192" s="112"/>
      <c r="T192" s="112"/>
      <c r="U192" s="112"/>
      <c r="V192" s="60">
        <f>V193/V191</f>
        <v>258.95363292470455</v>
      </c>
      <c r="W192" s="60">
        <f>W193/W191</f>
        <v>269.58439153023903</v>
      </c>
      <c r="X192" s="490"/>
      <c r="Y192" s="490"/>
    </row>
    <row r="193" spans="1:27" ht="31.5" customHeight="1">
      <c r="A193" s="502"/>
      <c r="B193" s="12" t="s">
        <v>26</v>
      </c>
      <c r="C193" s="12">
        <v>176</v>
      </c>
      <c r="D193" s="12" t="s">
        <v>16</v>
      </c>
      <c r="E193" s="12">
        <v>6100004040</v>
      </c>
      <c r="F193" s="12" t="s">
        <v>29</v>
      </c>
      <c r="G193" s="13">
        <f>G195+G196</f>
        <v>2575941.1770000001</v>
      </c>
      <c r="H193" s="13">
        <f t="shared" ref="H193:U193" si="29">H195+H196</f>
        <v>653809.30000000016</v>
      </c>
      <c r="I193" s="13">
        <f t="shared" si="29"/>
        <v>701902.47400000016</v>
      </c>
      <c r="J193" s="13">
        <f>J195+J196</f>
        <v>806008.87</v>
      </c>
      <c r="K193" s="13">
        <f t="shared" si="29"/>
        <v>443037.4973941404</v>
      </c>
      <c r="L193" s="60">
        <f t="shared" si="29"/>
        <v>2967379.5000000005</v>
      </c>
      <c r="M193" s="60">
        <f t="shared" si="29"/>
        <v>669566.54070272553</v>
      </c>
      <c r="N193" s="60">
        <f t="shared" si="29"/>
        <v>1066645.7731093422</v>
      </c>
      <c r="O193" s="60">
        <f t="shared" si="29"/>
        <v>586467.85303846118</v>
      </c>
      <c r="P193" s="60">
        <f t="shared" si="29"/>
        <v>644699.31414947077</v>
      </c>
      <c r="Q193" s="112">
        <f t="shared" si="29"/>
        <v>3143084.139</v>
      </c>
      <c r="R193" s="112">
        <f t="shared" si="29"/>
        <v>530477.56700000004</v>
      </c>
      <c r="S193" s="112">
        <f t="shared" si="29"/>
        <v>653239.79799999995</v>
      </c>
      <c r="T193" s="112">
        <f t="shared" si="29"/>
        <v>1478145.0179999999</v>
      </c>
      <c r="U193" s="112">
        <f t="shared" si="29"/>
        <v>481221.75599999982</v>
      </c>
      <c r="V193" s="60">
        <f>V195+V196</f>
        <v>3299535.4</v>
      </c>
      <c r="W193" s="60">
        <f>W195+W196</f>
        <v>3434990.3999999994</v>
      </c>
      <c r="X193" s="490"/>
      <c r="Y193" s="490"/>
    </row>
    <row r="194" spans="1:27" ht="19.5" customHeight="1">
      <c r="A194" s="502"/>
      <c r="B194" s="12" t="s">
        <v>10</v>
      </c>
      <c r="C194" s="12"/>
      <c r="D194" s="12"/>
      <c r="E194" s="12"/>
      <c r="F194" s="12"/>
      <c r="G194" s="13"/>
      <c r="H194" s="13"/>
      <c r="I194" s="13"/>
      <c r="J194" s="13"/>
      <c r="K194" s="13"/>
      <c r="L194" s="60"/>
      <c r="M194" s="60"/>
      <c r="N194" s="60"/>
      <c r="O194" s="60"/>
      <c r="P194" s="60"/>
      <c r="Q194" s="112"/>
      <c r="R194" s="112"/>
      <c r="S194" s="112"/>
      <c r="T194" s="112"/>
      <c r="U194" s="112"/>
      <c r="V194" s="60"/>
      <c r="W194" s="60"/>
      <c r="X194" s="490"/>
      <c r="Y194" s="490"/>
    </row>
    <row r="195" spans="1:27" ht="42" customHeight="1">
      <c r="A195" s="41"/>
      <c r="B195" s="12" t="s">
        <v>11</v>
      </c>
      <c r="C195" s="12">
        <v>176</v>
      </c>
      <c r="D195" s="12" t="s">
        <v>16</v>
      </c>
      <c r="E195" s="12">
        <v>6100004040</v>
      </c>
      <c r="F195" s="12" t="s">
        <v>29</v>
      </c>
      <c r="G195" s="13">
        <f>SUM(G200:G232)-G196</f>
        <v>2164312.577</v>
      </c>
      <c r="H195" s="13">
        <f>SUM(H200:H232)</f>
        <v>653809.30000000016</v>
      </c>
      <c r="I195" s="13">
        <f t="shared" ref="I195:W195" si="30">SUM(I200:I231)</f>
        <v>701902.47400000016</v>
      </c>
      <c r="J195" s="13">
        <f t="shared" si="30"/>
        <v>394380.27</v>
      </c>
      <c r="K195" s="13">
        <f>SUM(K200:K231)</f>
        <v>443037.4973941404</v>
      </c>
      <c r="L195" s="60">
        <f>SUM(L200:L232)</f>
        <v>2967379.5000000005</v>
      </c>
      <c r="M195" s="60">
        <f>SUM(M200:M232)</f>
        <v>669566.54070272553</v>
      </c>
      <c r="N195" s="60">
        <f t="shared" si="30"/>
        <v>1066645.7731093422</v>
      </c>
      <c r="O195" s="60">
        <f t="shared" si="30"/>
        <v>586467.85303846118</v>
      </c>
      <c r="P195" s="60">
        <f t="shared" si="30"/>
        <v>644699.31414947077</v>
      </c>
      <c r="Q195" s="112">
        <f>SUM(Q200:Q232)</f>
        <v>3143084.139</v>
      </c>
      <c r="R195" s="112">
        <v>530477.56700000004</v>
      </c>
      <c r="S195" s="112">
        <v>653239.79799999995</v>
      </c>
      <c r="T195" s="112">
        <v>1478145.0179999999</v>
      </c>
      <c r="U195" s="112">
        <f>Q195-R195-S195-T195</f>
        <v>481221.75599999982</v>
      </c>
      <c r="V195" s="60">
        <f>SUM(V200:V231)</f>
        <v>3299535.4</v>
      </c>
      <c r="W195" s="60">
        <f t="shared" si="30"/>
        <v>3434990.3999999994</v>
      </c>
      <c r="X195" s="490"/>
      <c r="Y195" s="490"/>
      <c r="Z195" s="82"/>
    </row>
    <row r="196" spans="1:27" ht="29.25" customHeight="1">
      <c r="A196" s="41"/>
      <c r="B196" s="12" t="s">
        <v>615</v>
      </c>
      <c r="C196" s="12">
        <v>176</v>
      </c>
      <c r="D196" s="12" t="s">
        <v>16</v>
      </c>
      <c r="E196" s="12" t="s">
        <v>331</v>
      </c>
      <c r="F196" s="12">
        <v>244</v>
      </c>
      <c r="G196" s="13">
        <v>411628.6</v>
      </c>
      <c r="H196" s="13">
        <v>0</v>
      </c>
      <c r="I196" s="13"/>
      <c r="J196" s="13">
        <v>411628.6</v>
      </c>
      <c r="K196" s="13">
        <v>0</v>
      </c>
      <c r="L196" s="60"/>
      <c r="M196" s="60"/>
      <c r="N196" s="60"/>
      <c r="O196" s="60"/>
      <c r="P196" s="60"/>
      <c r="Q196" s="112"/>
      <c r="R196" s="112"/>
      <c r="S196" s="112"/>
      <c r="T196" s="112"/>
      <c r="U196" s="112"/>
      <c r="V196" s="60"/>
      <c r="W196" s="60"/>
      <c r="X196" s="490"/>
      <c r="Y196" s="490"/>
    </row>
    <row r="197" spans="1:27" ht="45.75" customHeight="1">
      <c r="A197" s="41"/>
      <c r="B197" s="12" t="s">
        <v>614</v>
      </c>
      <c r="C197" s="12"/>
      <c r="D197" s="12"/>
      <c r="E197" s="12"/>
      <c r="F197" s="12"/>
      <c r="G197" s="13">
        <v>0</v>
      </c>
      <c r="H197" s="13">
        <v>0</v>
      </c>
      <c r="I197" s="13"/>
      <c r="J197" s="13"/>
      <c r="K197" s="13"/>
      <c r="L197" s="60"/>
      <c r="M197" s="60"/>
      <c r="N197" s="60"/>
      <c r="O197" s="60"/>
      <c r="P197" s="60"/>
      <c r="Q197" s="112"/>
      <c r="R197" s="112"/>
      <c r="S197" s="112"/>
      <c r="T197" s="112"/>
      <c r="U197" s="112"/>
      <c r="V197" s="60"/>
      <c r="W197" s="60"/>
      <c r="X197" s="490"/>
      <c r="Y197" s="490"/>
    </row>
    <row r="198" spans="1:27" ht="33" customHeight="1">
      <c r="A198" s="50"/>
      <c r="B198" s="12" t="s">
        <v>665</v>
      </c>
      <c r="C198" s="12"/>
      <c r="D198" s="12"/>
      <c r="E198" s="12"/>
      <c r="F198" s="12"/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60"/>
      <c r="M198" s="60"/>
      <c r="N198" s="60"/>
      <c r="O198" s="60"/>
      <c r="P198" s="60"/>
      <c r="Q198" s="112"/>
      <c r="R198" s="112"/>
      <c r="S198" s="112"/>
      <c r="T198" s="112"/>
      <c r="U198" s="112"/>
      <c r="V198" s="60"/>
      <c r="W198" s="60"/>
      <c r="X198" s="491"/>
      <c r="Y198" s="491"/>
      <c r="Z198" s="100"/>
    </row>
    <row r="199" spans="1:27">
      <c r="A199" s="30" t="s">
        <v>42</v>
      </c>
      <c r="B199" s="63"/>
      <c r="C199" s="63"/>
      <c r="D199" s="63"/>
      <c r="E199" s="63"/>
      <c r="F199" s="63"/>
      <c r="G199" s="31"/>
      <c r="H199" s="31"/>
      <c r="I199" s="31"/>
      <c r="J199" s="31"/>
      <c r="K199" s="31"/>
      <c r="L199" s="87"/>
      <c r="M199" s="87"/>
      <c r="N199" s="87"/>
      <c r="O199" s="87"/>
      <c r="P199" s="87"/>
      <c r="Q199" s="113"/>
      <c r="R199" s="113"/>
      <c r="S199" s="113"/>
      <c r="T199" s="113"/>
      <c r="U199" s="113"/>
      <c r="V199" s="87"/>
      <c r="W199" s="87"/>
      <c r="X199" s="63"/>
      <c r="Y199" s="63"/>
    </row>
    <row r="200" spans="1:27">
      <c r="A200" s="22" t="s">
        <v>43</v>
      </c>
      <c r="B200" s="63" t="s">
        <v>34</v>
      </c>
      <c r="C200" s="63">
        <v>176</v>
      </c>
      <c r="D200" s="63" t="s">
        <v>16</v>
      </c>
      <c r="E200" s="63">
        <v>6100004040</v>
      </c>
      <c r="F200" s="63">
        <v>244</v>
      </c>
      <c r="G200" s="6">
        <f>58568.7</f>
        <v>58568.7</v>
      </c>
      <c r="H200" s="6">
        <v>10739.636448044155</v>
      </c>
      <c r="I200" s="6">
        <v>17903.579744408849</v>
      </c>
      <c r="J200" s="6">
        <v>9584.5756239441216</v>
      </c>
      <c r="K200" s="6">
        <f>G200*439151.4/2320351.3</f>
        <v>11084.755399400083</v>
      </c>
      <c r="L200" s="94">
        <f>73898.9-16.2</f>
        <v>73882.7</v>
      </c>
      <c r="M200" s="94">
        <f>L200*653500.912/2819770</f>
        <v>17122.819177103949</v>
      </c>
      <c r="N200" s="94">
        <f>L200*1015888/2819770</f>
        <v>26617.968251878698</v>
      </c>
      <c r="O200" s="94">
        <f>L200*564225.128/2819770</f>
        <v>14783.644008016825</v>
      </c>
      <c r="P200" s="94">
        <f>L200*586155.958/2819770</f>
        <v>15358.268510597174</v>
      </c>
      <c r="Q200" s="117">
        <v>77145.400000000009</v>
      </c>
      <c r="R200" s="117">
        <f>Q200*$Z$229/$Z$228</f>
        <v>13154.726795453726</v>
      </c>
      <c r="S200" s="117">
        <f>Q200*$Z$230/$Z$228</f>
        <v>15810.691534416334</v>
      </c>
      <c r="T200" s="117">
        <f>Q200*$Z$231/$Z$228</f>
        <v>37039.8268047518</v>
      </c>
      <c r="U200" s="117">
        <f>Q200*$Z$232/$Z$228</f>
        <v>11140.154865378148</v>
      </c>
      <c r="V200" s="95">
        <v>82242</v>
      </c>
      <c r="W200" s="95">
        <v>84133.2</v>
      </c>
      <c r="X200" s="63"/>
      <c r="Y200" s="63"/>
    </row>
    <row r="201" spans="1:27">
      <c r="A201" s="22" t="s">
        <v>44</v>
      </c>
      <c r="B201" s="63" t="s">
        <v>34</v>
      </c>
      <c r="C201" s="63">
        <v>176</v>
      </c>
      <c r="D201" s="63" t="s">
        <v>16</v>
      </c>
      <c r="E201" s="63">
        <v>6100004040</v>
      </c>
      <c r="F201" s="63">
        <v>244</v>
      </c>
      <c r="G201" s="6">
        <f>66094.6</f>
        <v>66094.600000000006</v>
      </c>
      <c r="H201" s="6">
        <v>12119.647101248607</v>
      </c>
      <c r="I201" s="6">
        <v>20204.135344899329</v>
      </c>
      <c r="J201" s="6">
        <v>10816.164470687196</v>
      </c>
      <c r="K201" s="6">
        <f t="shared" ref="K201:K229" si="31">G201*439151.4/2320351.3</f>
        <v>12509.112789274626</v>
      </c>
      <c r="L201" s="94">
        <v>85203.4</v>
      </c>
      <c r="M201" s="94">
        <f t="shared" ref="M201:M228" si="32">L201*653500.912/2819770</f>
        <v>19746.468543711293</v>
      </c>
      <c r="N201" s="94">
        <f t="shared" ref="N201:N229" si="33">L201*1015888/2819770</f>
        <v>30696.514828939948</v>
      </c>
      <c r="O201" s="94">
        <f t="shared" ref="O201:O229" si="34">L201*564225.128/2819770</f>
        <v>17048.872521884834</v>
      </c>
      <c r="P201" s="94">
        <f t="shared" ref="P201:P229" si="35">L201*586155.958/2819770</f>
        <v>17711.544045031045</v>
      </c>
      <c r="Q201" s="117">
        <v>88600.3</v>
      </c>
      <c r="R201" s="117">
        <f t="shared" ref="R201:R229" si="36">Q201*$Z$229/$Z$228</f>
        <v>15108.000483440863</v>
      </c>
      <c r="S201" s="117">
        <f t="shared" ref="S201:S229" si="37">Q201*$Z$230/$Z$228</f>
        <v>18158.334951361292</v>
      </c>
      <c r="T201" s="117">
        <f t="shared" ref="T201:T229" si="38">Q201*$Z$231/$Z$228</f>
        <v>42539.668818219245</v>
      </c>
      <c r="U201" s="117">
        <f t="shared" ref="U201:U229" si="39">Q201*$Z$232/$Z$228</f>
        <v>12794.295746978607</v>
      </c>
      <c r="V201" s="95">
        <v>92805</v>
      </c>
      <c r="W201" s="95">
        <v>97407.3</v>
      </c>
      <c r="X201" s="453">
        <f>Q195-470</f>
        <v>3142614.139</v>
      </c>
      <c r="Y201" s="63"/>
      <c r="Z201" s="39"/>
      <c r="AA201" s="39"/>
    </row>
    <row r="202" spans="1:27">
      <c r="A202" s="22" t="s">
        <v>45</v>
      </c>
      <c r="B202" s="63" t="s">
        <v>34</v>
      </c>
      <c r="C202" s="63">
        <v>176</v>
      </c>
      <c r="D202" s="63" t="s">
        <v>16</v>
      </c>
      <c r="E202" s="63">
        <v>6100004040</v>
      </c>
      <c r="F202" s="63">
        <v>244</v>
      </c>
      <c r="G202" s="6">
        <f>42869.4</f>
        <v>42869.4</v>
      </c>
      <c r="H202" s="6">
        <v>7860.8842392913648</v>
      </c>
      <c r="I202" s="6">
        <v>13104.537432023602</v>
      </c>
      <c r="J202" s="6">
        <v>7015.4366795423175</v>
      </c>
      <c r="K202" s="6">
        <f t="shared" si="31"/>
        <v>8113.4942916445461</v>
      </c>
      <c r="L202" s="94">
        <f>57323.8+66.4</f>
        <v>57390.200000000004</v>
      </c>
      <c r="M202" s="94">
        <f t="shared" si="32"/>
        <v>13300.56991877437</v>
      </c>
      <c r="N202" s="94">
        <f t="shared" si="33"/>
        <v>20676.159934179032</v>
      </c>
      <c r="O202" s="94">
        <f t="shared" si="34"/>
        <v>11483.558212529959</v>
      </c>
      <c r="P202" s="94">
        <f t="shared" si="35"/>
        <v>11929.911893811057</v>
      </c>
      <c r="Q202" s="117">
        <v>56065.1</v>
      </c>
      <c r="R202" s="117">
        <f t="shared" si="36"/>
        <v>9560.1432264242922</v>
      </c>
      <c r="S202" s="117">
        <f t="shared" si="37"/>
        <v>11490.354602428726</v>
      </c>
      <c r="T202" s="117">
        <f t="shared" si="38"/>
        <v>26918.540752800425</v>
      </c>
      <c r="U202" s="117">
        <f t="shared" si="39"/>
        <v>8096.0614183465541</v>
      </c>
      <c r="V202" s="95">
        <v>60433.2</v>
      </c>
      <c r="W202" s="95">
        <v>61408.4</v>
      </c>
      <c r="X202" s="63"/>
      <c r="Y202" s="63"/>
      <c r="Z202" s="39"/>
    </row>
    <row r="203" spans="1:27">
      <c r="A203" s="22" t="s">
        <v>46</v>
      </c>
      <c r="B203" s="63" t="s">
        <v>34</v>
      </c>
      <c r="C203" s="63">
        <v>176</v>
      </c>
      <c r="D203" s="63" t="s">
        <v>16</v>
      </c>
      <c r="E203" s="63">
        <v>6100004040</v>
      </c>
      <c r="F203" s="63">
        <v>244</v>
      </c>
      <c r="G203" s="6">
        <f>63557.4</f>
        <v>63557.4</v>
      </c>
      <c r="H203" s="6">
        <v>11654.405332249506</v>
      </c>
      <c r="I203" s="6">
        <v>19428.551073308627</v>
      </c>
      <c r="J203" s="6">
        <v>10400.960013817383</v>
      </c>
      <c r="K203" s="6">
        <f t="shared" si="31"/>
        <v>12028.920444227562</v>
      </c>
      <c r="L203" s="94">
        <v>76275.199999999997</v>
      </c>
      <c r="M203" s="94">
        <f t="shared" si="32"/>
        <v>17677.297355097187</v>
      </c>
      <c r="N203" s="94">
        <f t="shared" si="33"/>
        <v>27479.922255219393</v>
      </c>
      <c r="O203" s="94">
        <f t="shared" si="34"/>
        <v>15262.37405292829</v>
      </c>
      <c r="P203" s="94">
        <f t="shared" si="35"/>
        <v>15855.606282654824</v>
      </c>
      <c r="Q203" s="117">
        <v>82566.3</v>
      </c>
      <c r="R203" s="117">
        <f t="shared" si="36"/>
        <v>14079.091157884603</v>
      </c>
      <c r="S203" s="117">
        <f t="shared" si="37"/>
        <v>16921.686846371646</v>
      </c>
      <c r="T203" s="117">
        <f t="shared" si="38"/>
        <v>39642.563936529958</v>
      </c>
      <c r="U203" s="117">
        <f t="shared" si="39"/>
        <v>11922.958059213792</v>
      </c>
      <c r="V203" s="95">
        <v>87931.299999999988</v>
      </c>
      <c r="W203" s="95">
        <v>90061.5</v>
      </c>
      <c r="X203" s="63"/>
      <c r="Y203" s="63"/>
      <c r="Z203" s="39"/>
    </row>
    <row r="204" spans="1:27">
      <c r="A204" s="22" t="s">
        <v>47</v>
      </c>
      <c r="B204" s="63" t="s">
        <v>34</v>
      </c>
      <c r="C204" s="63">
        <v>176</v>
      </c>
      <c r="D204" s="63" t="s">
        <v>16</v>
      </c>
      <c r="E204" s="63">
        <v>6100004040</v>
      </c>
      <c r="F204" s="63">
        <v>244</v>
      </c>
      <c r="G204" s="6">
        <f>55763.2</f>
        <v>55763.199999999997</v>
      </c>
      <c r="H204" s="6">
        <v>10288.459019137374</v>
      </c>
      <c r="I204" s="6">
        <v>17151.441521072527</v>
      </c>
      <c r="J204" s="6">
        <v>9181.9228704646266</v>
      </c>
      <c r="K204" s="6">
        <f t="shared" si="31"/>
        <v>10553.784398284864</v>
      </c>
      <c r="L204" s="94">
        <f>73007.9-2.1</f>
        <v>73005.799999999988</v>
      </c>
      <c r="M204" s="94">
        <f t="shared" si="32"/>
        <v>16919.59162672473</v>
      </c>
      <c r="N204" s="94">
        <f t="shared" si="33"/>
        <v>26302.044546328245</v>
      </c>
      <c r="O204" s="94">
        <f t="shared" si="34"/>
        <v>14608.179691869334</v>
      </c>
      <c r="P204" s="94">
        <f t="shared" si="35"/>
        <v>15175.984083296293</v>
      </c>
      <c r="Q204" s="117">
        <v>75202.100000000006</v>
      </c>
      <c r="R204" s="117">
        <f t="shared" si="36"/>
        <v>12823.357970071975</v>
      </c>
      <c r="S204" s="117">
        <f t="shared" si="37"/>
        <v>15412.418703387766</v>
      </c>
      <c r="T204" s="117">
        <f t="shared" si="38"/>
        <v>36106.790027060917</v>
      </c>
      <c r="U204" s="117">
        <f t="shared" si="39"/>
        <v>10859.533299479346</v>
      </c>
      <c r="V204" s="95">
        <v>80150.900000000009</v>
      </c>
      <c r="W204" s="95">
        <v>81954.3</v>
      </c>
      <c r="X204" s="63"/>
      <c r="Y204" s="63"/>
    </row>
    <row r="205" spans="1:27">
      <c r="A205" s="22" t="s">
        <v>48</v>
      </c>
      <c r="B205" s="63" t="s">
        <v>34</v>
      </c>
      <c r="C205" s="63">
        <v>176</v>
      </c>
      <c r="D205" s="63" t="s">
        <v>16</v>
      </c>
      <c r="E205" s="63">
        <v>6100004040</v>
      </c>
      <c r="F205" s="63">
        <v>244</v>
      </c>
      <c r="G205" s="6">
        <f>69227.1+3000</f>
        <v>72227.100000000006</v>
      </c>
      <c r="H205" s="6">
        <v>12694.047953128507</v>
      </c>
      <c r="I205" s="6">
        <v>21161.693964936323</v>
      </c>
      <c r="J205" s="6">
        <v>11328.78781971159</v>
      </c>
      <c r="K205" s="6">
        <f t="shared" si="31"/>
        <v>13669.754266494045</v>
      </c>
      <c r="L205" s="94">
        <f>87538-10</f>
        <v>87528</v>
      </c>
      <c r="M205" s="94">
        <f t="shared" si="32"/>
        <v>20285.210434019798</v>
      </c>
      <c r="N205" s="94">
        <f t="shared" si="33"/>
        <v>31534.006271433485</v>
      </c>
      <c r="O205" s="94">
        <f t="shared" si="34"/>
        <v>17514.016038039983</v>
      </c>
      <c r="P205" s="94">
        <f t="shared" si="35"/>
        <v>18194.767194425076</v>
      </c>
      <c r="Q205" s="117">
        <v>91155.599999999991</v>
      </c>
      <c r="R205" s="117">
        <f t="shared" si="36"/>
        <v>15543.726701471007</v>
      </c>
      <c r="S205" s="117">
        <f t="shared" si="37"/>
        <v>18682.035134105743</v>
      </c>
      <c r="T205" s="117">
        <f t="shared" si="38"/>
        <v>43766.54520273707</v>
      </c>
      <c r="U205" s="117">
        <f t="shared" si="39"/>
        <v>13163.292961686167</v>
      </c>
      <c r="V205" s="95">
        <v>97137.2</v>
      </c>
      <c r="W205" s="95">
        <v>99654</v>
      </c>
      <c r="X205" s="63"/>
      <c r="Y205" s="63"/>
    </row>
    <row r="206" spans="1:27">
      <c r="A206" s="22" t="s">
        <v>49</v>
      </c>
      <c r="B206" s="63" t="s">
        <v>34</v>
      </c>
      <c r="C206" s="63">
        <v>176</v>
      </c>
      <c r="D206" s="63" t="s">
        <v>16</v>
      </c>
      <c r="E206" s="63">
        <v>6100004040</v>
      </c>
      <c r="F206" s="63">
        <v>244</v>
      </c>
      <c r="G206" s="6">
        <v>89482.4</v>
      </c>
      <c r="H206" s="6">
        <v>16408.225630728808</v>
      </c>
      <c r="I206" s="6">
        <v>27353.437657333874</v>
      </c>
      <c r="J206" s="6">
        <v>14643.50121843267</v>
      </c>
      <c r="K206" s="6">
        <f t="shared" si="31"/>
        <v>16935.505082941538</v>
      </c>
      <c r="L206" s="94">
        <f>120053.8-920.9</f>
        <v>119132.90000000001</v>
      </c>
      <c r="M206" s="94">
        <f t="shared" si="32"/>
        <v>27609.86137139015</v>
      </c>
      <c r="N206" s="94">
        <f t="shared" si="33"/>
        <v>42920.409648730223</v>
      </c>
      <c r="O206" s="94">
        <f t="shared" si="34"/>
        <v>23838.034928916615</v>
      </c>
      <c r="P206" s="94">
        <f t="shared" si="35"/>
        <v>24764.593966464716</v>
      </c>
      <c r="Q206" s="117">
        <v>119615.1</v>
      </c>
      <c r="R206" s="117">
        <f t="shared" si="36"/>
        <v>20396.601237544648</v>
      </c>
      <c r="S206" s="117">
        <f t="shared" si="37"/>
        <v>24514.714408874188</v>
      </c>
      <c r="T206" s="117">
        <f t="shared" si="38"/>
        <v>57430.807115305215</v>
      </c>
      <c r="U206" s="117">
        <f t="shared" si="39"/>
        <v>17272.977238275951</v>
      </c>
      <c r="V206" s="95">
        <v>125823</v>
      </c>
      <c r="W206" s="95">
        <v>129544.6</v>
      </c>
      <c r="X206" s="63"/>
      <c r="Y206" s="63"/>
    </row>
    <row r="207" spans="1:27">
      <c r="A207" s="22" t="s">
        <v>50</v>
      </c>
      <c r="B207" s="63" t="s">
        <v>34</v>
      </c>
      <c r="C207" s="63">
        <v>176</v>
      </c>
      <c r="D207" s="63" t="s">
        <v>16</v>
      </c>
      <c r="E207" s="63">
        <v>6100004040</v>
      </c>
      <c r="F207" s="63">
        <v>244</v>
      </c>
      <c r="G207" s="6">
        <f>92069.9+3000</f>
        <v>95069.9</v>
      </c>
      <c r="H207" s="6">
        <v>16882.690819632</v>
      </c>
      <c r="I207" s="6">
        <v>28144.397890165706</v>
      </c>
      <c r="J207" s="6">
        <v>15066.937105296392</v>
      </c>
      <c r="K207" s="6">
        <f t="shared" si="31"/>
        <v>17992.99945782348</v>
      </c>
      <c r="L207" s="94">
        <f>112892.8+2645.3</f>
        <v>115538.1</v>
      </c>
      <c r="M207" s="94">
        <f t="shared" si="32"/>
        <v>26776.741975674329</v>
      </c>
      <c r="N207" s="94">
        <f t="shared" si="33"/>
        <v>41625.298989917617</v>
      </c>
      <c r="O207" s="94">
        <f t="shared" si="34"/>
        <v>23118.729279826657</v>
      </c>
      <c r="P207" s="94">
        <f t="shared" si="35"/>
        <v>24017.329672632804</v>
      </c>
      <c r="Q207" s="117">
        <v>121437.3</v>
      </c>
      <c r="R207" s="117">
        <f t="shared" si="36"/>
        <v>20707.320258596785</v>
      </c>
      <c r="S207" s="117">
        <f t="shared" si="37"/>
        <v>24888.168200208649</v>
      </c>
      <c r="T207" s="117">
        <f t="shared" si="38"/>
        <v>58305.700140730172</v>
      </c>
      <c r="U207" s="117">
        <f t="shared" si="39"/>
        <v>17536.11140046439</v>
      </c>
      <c r="V207" s="95">
        <v>129232.7</v>
      </c>
      <c r="W207" s="95">
        <v>133101.9</v>
      </c>
      <c r="X207" s="63"/>
      <c r="Y207" s="63"/>
    </row>
    <row r="208" spans="1:27">
      <c r="A208" s="22" t="s">
        <v>51</v>
      </c>
      <c r="B208" s="63" t="s">
        <v>34</v>
      </c>
      <c r="C208" s="63">
        <v>176</v>
      </c>
      <c r="D208" s="63" t="s">
        <v>16</v>
      </c>
      <c r="E208" s="63">
        <v>6100004040</v>
      </c>
      <c r="F208" s="63">
        <v>244</v>
      </c>
      <c r="G208" s="6">
        <f>62410+17000</f>
        <v>79410</v>
      </c>
      <c r="H208" s="6">
        <v>10504.063335702542</v>
      </c>
      <c r="I208" s="6">
        <v>17510.866078275882</v>
      </c>
      <c r="J208" s="6">
        <v>9374.3386833242857</v>
      </c>
      <c r="K208" s="6">
        <f t="shared" si="31"/>
        <v>15029.195223154356</v>
      </c>
      <c r="L208" s="94">
        <f>66959.2</f>
        <v>66959.199999999997</v>
      </c>
      <c r="M208" s="94">
        <f t="shared" si="32"/>
        <v>15518.250873933121</v>
      </c>
      <c r="N208" s="94">
        <f t="shared" si="33"/>
        <v>24123.615674186192</v>
      </c>
      <c r="O208" s="94">
        <f t="shared" si="34"/>
        <v>13398.278296023294</v>
      </c>
      <c r="P208" s="94">
        <f t="shared" si="35"/>
        <v>13919.055108364724</v>
      </c>
      <c r="Q208" s="117">
        <v>87563.199999999997</v>
      </c>
      <c r="R208" s="117">
        <f t="shared" si="36"/>
        <v>14931.155627369531</v>
      </c>
      <c r="S208" s="117">
        <f t="shared" si="37"/>
        <v>17945.784777399611</v>
      </c>
      <c r="T208" s="117">
        <f t="shared" si="38"/>
        <v>42041.725915865914</v>
      </c>
      <c r="U208" s="117">
        <f t="shared" si="39"/>
        <v>12644.533679364935</v>
      </c>
      <c r="V208" s="95">
        <v>76965.399999999994</v>
      </c>
      <c r="W208" s="95">
        <v>78635</v>
      </c>
      <c r="X208" s="63"/>
      <c r="Y208" s="63"/>
    </row>
    <row r="209" spans="1:25">
      <c r="A209" s="22" t="s">
        <v>52</v>
      </c>
      <c r="B209" s="63" t="s">
        <v>34</v>
      </c>
      <c r="C209" s="63">
        <v>176</v>
      </c>
      <c r="D209" s="63" t="s">
        <v>16</v>
      </c>
      <c r="E209" s="63">
        <v>6100004040</v>
      </c>
      <c r="F209" s="63">
        <v>244</v>
      </c>
      <c r="G209" s="6">
        <f>76064.5</f>
        <v>76064.5</v>
      </c>
      <c r="H209" s="6">
        <v>14022.623829333019</v>
      </c>
      <c r="I209" s="6">
        <v>23376.504890911117</v>
      </c>
      <c r="J209" s="6">
        <v>12514.473761617841</v>
      </c>
      <c r="K209" s="6">
        <f t="shared" si="31"/>
        <v>14396.023423392831</v>
      </c>
      <c r="L209" s="94">
        <f>96070.3+1580.9</f>
        <v>97651.199999999997</v>
      </c>
      <c r="M209" s="94">
        <f t="shared" si="32"/>
        <v>22631.331015612763</v>
      </c>
      <c r="N209" s="94">
        <f t="shared" si="33"/>
        <v>35181.12550512985</v>
      </c>
      <c r="O209" s="94">
        <f t="shared" si="34"/>
        <v>19539.629409261608</v>
      </c>
      <c r="P209" s="94">
        <f t="shared" si="35"/>
        <v>20299.11400073396</v>
      </c>
      <c r="Q209" s="117">
        <v>100906.40000000001</v>
      </c>
      <c r="R209" s="117">
        <f t="shared" si="36"/>
        <v>17206.4196168893</v>
      </c>
      <c r="S209" s="117">
        <f t="shared" si="37"/>
        <v>20680.428959450961</v>
      </c>
      <c r="T209" s="117">
        <f t="shared" si="38"/>
        <v>48448.197552815946</v>
      </c>
      <c r="U209" s="117">
        <f t="shared" si="39"/>
        <v>14571.353870843801</v>
      </c>
      <c r="V209" s="95">
        <v>106625.5</v>
      </c>
      <c r="W209" s="95">
        <v>109540.7</v>
      </c>
      <c r="X209" s="63"/>
      <c r="Y209" s="63"/>
    </row>
    <row r="210" spans="1:25">
      <c r="A210" s="22" t="s">
        <v>53</v>
      </c>
      <c r="B210" s="63" t="s">
        <v>34</v>
      </c>
      <c r="C210" s="63">
        <v>176</v>
      </c>
      <c r="D210" s="63" t="s">
        <v>16</v>
      </c>
      <c r="E210" s="63">
        <v>6100004040</v>
      </c>
      <c r="F210" s="63">
        <v>244</v>
      </c>
      <c r="G210" s="6">
        <f>42387.9</f>
        <v>42387.9</v>
      </c>
      <c r="H210" s="6">
        <v>7916.9032210150081</v>
      </c>
      <c r="I210" s="6">
        <v>13197.924234392733</v>
      </c>
      <c r="J210" s="6">
        <v>7065.4307523681609</v>
      </c>
      <c r="K210" s="6">
        <f t="shared" si="31"/>
        <v>8022.3652461849215</v>
      </c>
      <c r="L210" s="94">
        <f>53249.1-249.5</f>
        <v>52999.6</v>
      </c>
      <c r="M210" s="94">
        <f t="shared" si="32"/>
        <v>12283.018450311622</v>
      </c>
      <c r="N210" s="94">
        <f t="shared" si="33"/>
        <v>19094.343738957432</v>
      </c>
      <c r="O210" s="94">
        <f t="shared" si="34"/>
        <v>10605.016045262131</v>
      </c>
      <c r="P210" s="94">
        <f t="shared" si="35"/>
        <v>11017.221727877379</v>
      </c>
      <c r="Q210" s="117">
        <v>53559.5</v>
      </c>
      <c r="R210" s="117">
        <f t="shared" si="36"/>
        <v>9132.8917835814409</v>
      </c>
      <c r="S210" s="117">
        <f t="shared" si="37"/>
        <v>10976.84026834486</v>
      </c>
      <c r="T210" s="117">
        <f t="shared" si="38"/>
        <v>25715.526833085365</v>
      </c>
      <c r="U210" s="117">
        <f t="shared" si="39"/>
        <v>7734.241114988331</v>
      </c>
      <c r="V210" s="95">
        <v>58296.1</v>
      </c>
      <c r="W210" s="95">
        <v>59181.599999999999</v>
      </c>
      <c r="X210" s="63"/>
      <c r="Y210" s="63"/>
    </row>
    <row r="211" spans="1:25">
      <c r="A211" s="22" t="s">
        <v>54</v>
      </c>
      <c r="B211" s="63" t="s">
        <v>34</v>
      </c>
      <c r="C211" s="63">
        <v>176</v>
      </c>
      <c r="D211" s="63" t="s">
        <v>16</v>
      </c>
      <c r="E211" s="63">
        <v>6100004040</v>
      </c>
      <c r="F211" s="63">
        <v>244</v>
      </c>
      <c r="G211" s="6">
        <f>53794.4</f>
        <v>53794.400000000001</v>
      </c>
      <c r="H211" s="6">
        <v>9913.5077463763155</v>
      </c>
      <c r="I211" s="6">
        <v>16526.376599683335</v>
      </c>
      <c r="J211" s="6">
        <v>8847.2980583065801</v>
      </c>
      <c r="K211" s="6">
        <f t="shared" si="31"/>
        <v>10181.167856849954</v>
      </c>
      <c r="L211" s="94">
        <f>68743.2-390.7</f>
        <v>68352.5</v>
      </c>
      <c r="M211" s="94">
        <f t="shared" si="32"/>
        <v>15841.157643169479</v>
      </c>
      <c r="N211" s="94">
        <f t="shared" si="33"/>
        <v>24625.584540583099</v>
      </c>
      <c r="O211" s="94">
        <f t="shared" si="34"/>
        <v>13677.072265333698</v>
      </c>
      <c r="P211" s="94">
        <f t="shared" si="35"/>
        <v>14208.685502432822</v>
      </c>
      <c r="Q211" s="117">
        <v>70489.8</v>
      </c>
      <c r="R211" s="117">
        <f t="shared" si="36"/>
        <v>12019.823098540857</v>
      </c>
      <c r="S211" s="117">
        <f t="shared" si="37"/>
        <v>14446.648589840746</v>
      </c>
      <c r="T211" s="117">
        <f t="shared" si="38"/>
        <v>33844.273067501024</v>
      </c>
      <c r="U211" s="117">
        <f t="shared" si="39"/>
        <v>10179.055244117375</v>
      </c>
      <c r="V211" s="95">
        <v>75508.899999999994</v>
      </c>
      <c r="W211" s="95">
        <v>77117.2</v>
      </c>
      <c r="X211" s="63"/>
      <c r="Y211" s="63"/>
    </row>
    <row r="212" spans="1:25">
      <c r="A212" s="22" t="s">
        <v>55</v>
      </c>
      <c r="B212" s="63" t="s">
        <v>34</v>
      </c>
      <c r="C212" s="63">
        <v>176</v>
      </c>
      <c r="D212" s="63" t="s">
        <v>16</v>
      </c>
      <c r="E212" s="63">
        <v>6100004040</v>
      </c>
      <c r="F212" s="63">
        <v>244</v>
      </c>
      <c r="G212" s="6">
        <f>71918.3+4000</f>
        <v>75918.3</v>
      </c>
      <c r="H212" s="6">
        <v>13187.528423225614</v>
      </c>
      <c r="I212" s="6">
        <v>21984.353744104257</v>
      </c>
      <c r="J212" s="6">
        <v>11769.193871393776</v>
      </c>
      <c r="K212" s="6">
        <f t="shared" si="31"/>
        <v>14368.353503463033</v>
      </c>
      <c r="L212" s="94">
        <v>91165.1</v>
      </c>
      <c r="M212" s="94">
        <f t="shared" si="32"/>
        <v>21128.133142976629</v>
      </c>
      <c r="N212" s="94">
        <f t="shared" si="33"/>
        <v>32844.35649318916</v>
      </c>
      <c r="O212" s="94">
        <f t="shared" si="34"/>
        <v>18241.785754381672</v>
      </c>
      <c r="P212" s="94">
        <f t="shared" si="35"/>
        <v>18950.824544791172</v>
      </c>
      <c r="Q212" s="117">
        <v>96637.700000000012</v>
      </c>
      <c r="R212" s="117">
        <f t="shared" si="36"/>
        <v>16478.526803166726</v>
      </c>
      <c r="S212" s="117">
        <f t="shared" si="37"/>
        <v>19805.573181232648</v>
      </c>
      <c r="T212" s="117">
        <f t="shared" si="38"/>
        <v>46398.666295197945</v>
      </c>
      <c r="U212" s="117">
        <f t="shared" si="39"/>
        <v>13954.933720402692</v>
      </c>
      <c r="V212" s="95">
        <v>99731.9</v>
      </c>
      <c r="W212" s="95">
        <v>102357.59999999999</v>
      </c>
      <c r="X212" s="63"/>
      <c r="Y212" s="63"/>
    </row>
    <row r="213" spans="1:25">
      <c r="A213" s="22" t="s">
        <v>56</v>
      </c>
      <c r="B213" s="63" t="s">
        <v>34</v>
      </c>
      <c r="C213" s="63">
        <v>176</v>
      </c>
      <c r="D213" s="63" t="s">
        <v>16</v>
      </c>
      <c r="E213" s="63">
        <v>6100004040</v>
      </c>
      <c r="F213" s="63">
        <v>244</v>
      </c>
      <c r="G213" s="6">
        <f>85733.7</f>
        <v>85733.7</v>
      </c>
      <c r="H213" s="6">
        <v>15756.590097663971</v>
      </c>
      <c r="I213" s="6">
        <v>26267.124467221991</v>
      </c>
      <c r="J213" s="6">
        <v>14061.949871129242</v>
      </c>
      <c r="K213" s="6">
        <f t="shared" si="31"/>
        <v>16226.023353524099</v>
      </c>
      <c r="L213" s="94">
        <v>105640</v>
      </c>
      <c r="M213" s="94">
        <f t="shared" si="32"/>
        <v>24482.789852959642</v>
      </c>
      <c r="N213" s="94">
        <f t="shared" si="33"/>
        <v>38059.277288573183</v>
      </c>
      <c r="O213" s="94">
        <f t="shared" si="34"/>
        <v>21138.157552537974</v>
      </c>
      <c r="P213" s="94">
        <f t="shared" si="35"/>
        <v>21959.775231001109</v>
      </c>
      <c r="Q213" s="117">
        <v>113584</v>
      </c>
      <c r="R213" s="117">
        <f t="shared" si="36"/>
        <v>19368.186415973159</v>
      </c>
      <c r="S213" s="117">
        <f t="shared" si="37"/>
        <v>23278.660649178622</v>
      </c>
      <c r="T213" s="117">
        <f t="shared" si="38"/>
        <v>54535.094610837819</v>
      </c>
      <c r="U213" s="117">
        <f t="shared" si="39"/>
        <v>16402.058324010395</v>
      </c>
      <c r="V213" s="95">
        <v>121355</v>
      </c>
      <c r="W213" s="95">
        <v>124888.9</v>
      </c>
      <c r="X213" s="63"/>
      <c r="Y213" s="63"/>
    </row>
    <row r="214" spans="1:25">
      <c r="A214" s="22" t="s">
        <v>57</v>
      </c>
      <c r="B214" s="63" t="s">
        <v>34</v>
      </c>
      <c r="C214" s="63">
        <v>176</v>
      </c>
      <c r="D214" s="63" t="s">
        <v>16</v>
      </c>
      <c r="E214" s="63">
        <v>6100004040</v>
      </c>
      <c r="F214" s="63">
        <v>244</v>
      </c>
      <c r="G214" s="6">
        <f>75319.9</f>
        <v>75319.899999999994</v>
      </c>
      <c r="H214" s="6">
        <v>13811.273654751447</v>
      </c>
      <c r="I214" s="6">
        <v>23024.172228355761</v>
      </c>
      <c r="J214" s="6">
        <v>12325.854552651994</v>
      </c>
      <c r="K214" s="6">
        <f t="shared" si="31"/>
        <v>14255.099877703864</v>
      </c>
      <c r="L214" s="94">
        <v>90513.3</v>
      </c>
      <c r="M214" s="94">
        <f t="shared" si="32"/>
        <v>20977.074051475687</v>
      </c>
      <c r="N214" s="94">
        <f t="shared" si="33"/>
        <v>32609.530319990641</v>
      </c>
      <c r="O214" s="94">
        <f t="shared" si="34"/>
        <v>18111.363082167129</v>
      </c>
      <c r="P214" s="94">
        <f t="shared" si="35"/>
        <v>18815.332482167483</v>
      </c>
      <c r="Q214" s="117">
        <v>99709</v>
      </c>
      <c r="R214" s="117">
        <f t="shared" si="36"/>
        <v>17002.24062676317</v>
      </c>
      <c r="S214" s="117">
        <f t="shared" si="37"/>
        <v>20435.02583699246</v>
      </c>
      <c r="T214" s="117">
        <f t="shared" si="38"/>
        <v>47873.289799197315</v>
      </c>
      <c r="U214" s="117">
        <f t="shared" si="39"/>
        <v>14398.443737047051</v>
      </c>
      <c r="V214" s="95">
        <v>107559.09999999999</v>
      </c>
      <c r="W214" s="95">
        <v>110531.09999999999</v>
      </c>
      <c r="X214" s="63"/>
      <c r="Y214" s="63"/>
    </row>
    <row r="215" spans="1:25">
      <c r="A215" s="22" t="s">
        <v>58</v>
      </c>
      <c r="B215" s="63" t="s">
        <v>34</v>
      </c>
      <c r="C215" s="63">
        <v>176</v>
      </c>
      <c r="D215" s="63" t="s">
        <v>16</v>
      </c>
      <c r="E215" s="63">
        <v>6100004040</v>
      </c>
      <c r="F215" s="63">
        <v>244</v>
      </c>
      <c r="G215" s="6">
        <f>68239.8</f>
        <v>68239.8</v>
      </c>
      <c r="H215" s="6">
        <v>12537.029772932256</v>
      </c>
      <c r="I215" s="6">
        <v>20899.93580170003</v>
      </c>
      <c r="J215" s="6">
        <v>11188.657133751625</v>
      </c>
      <c r="K215" s="6">
        <f t="shared" si="31"/>
        <v>12915.114924933998</v>
      </c>
      <c r="L215" s="94">
        <v>72224</v>
      </c>
      <c r="M215" s="94">
        <f t="shared" si="32"/>
        <v>16738.404149376722</v>
      </c>
      <c r="N215" s="94">
        <f t="shared" si="33"/>
        <v>26020.382836898047</v>
      </c>
      <c r="O215" s="94">
        <f t="shared" si="34"/>
        <v>14451.744519826796</v>
      </c>
      <c r="P215" s="94">
        <f t="shared" si="35"/>
        <v>15013.468442671563</v>
      </c>
      <c r="Q215" s="117">
        <v>79504.800000000003</v>
      </c>
      <c r="R215" s="117">
        <f t="shared" si="36"/>
        <v>13557.048416719459</v>
      </c>
      <c r="S215" s="117">
        <f t="shared" si="37"/>
        <v>16294.242667812514</v>
      </c>
      <c r="T215" s="117">
        <f t="shared" si="38"/>
        <v>38172.645707280419</v>
      </c>
      <c r="U215" s="117">
        <f t="shared" si="39"/>
        <v>11480.863208187609</v>
      </c>
      <c r="V215" s="95">
        <v>84654.399999999994</v>
      </c>
      <c r="W215" s="95">
        <v>86646.900000000009</v>
      </c>
      <c r="X215" s="63"/>
      <c r="Y215" s="63"/>
    </row>
    <row r="216" spans="1:25">
      <c r="A216" s="22" t="s">
        <v>59</v>
      </c>
      <c r="B216" s="63" t="s">
        <v>34</v>
      </c>
      <c r="C216" s="63">
        <v>176</v>
      </c>
      <c r="D216" s="63" t="s">
        <v>16</v>
      </c>
      <c r="E216" s="63">
        <v>6100004040</v>
      </c>
      <c r="F216" s="63">
        <v>244</v>
      </c>
      <c r="G216" s="6">
        <f>82221.6+2500+1500</f>
        <v>86221.6</v>
      </c>
      <c r="H216" s="6">
        <v>15110.198894803052</v>
      </c>
      <c r="I216" s="6">
        <v>25189.553871374457</v>
      </c>
      <c r="J216" s="6">
        <v>13485.078820005258</v>
      </c>
      <c r="K216" s="6">
        <f t="shared" si="31"/>
        <v>16318.363667708423</v>
      </c>
      <c r="L216" s="94">
        <v>104013.8</v>
      </c>
      <c r="M216" s="94">
        <f t="shared" si="32"/>
        <v>24105.906921694183</v>
      </c>
      <c r="N216" s="94">
        <f t="shared" si="33"/>
        <v>37473.400757650452</v>
      </c>
      <c r="O216" s="94">
        <f t="shared" si="34"/>
        <v>20812.761189304943</v>
      </c>
      <c r="P216" s="94">
        <f t="shared" si="35"/>
        <v>21621.731057575758</v>
      </c>
      <c r="Q216" s="117">
        <v>107299</v>
      </c>
      <c r="R216" s="117">
        <f t="shared" si="36"/>
        <v>18296.476917941822</v>
      </c>
      <c r="S216" s="117">
        <f t="shared" si="37"/>
        <v>21990.570934253217</v>
      </c>
      <c r="T216" s="117">
        <f t="shared" si="38"/>
        <v>51517.477079943368</v>
      </c>
      <c r="U216" s="117">
        <f t="shared" si="39"/>
        <v>15494.475067861593</v>
      </c>
      <c r="V216" s="95">
        <v>114230.5</v>
      </c>
      <c r="W216" s="95">
        <v>117465.2</v>
      </c>
      <c r="X216" s="63"/>
      <c r="Y216" s="63"/>
    </row>
    <row r="217" spans="1:25">
      <c r="A217" s="22" t="s">
        <v>60</v>
      </c>
      <c r="B217" s="63" t="s">
        <v>34</v>
      </c>
      <c r="C217" s="63">
        <v>176</v>
      </c>
      <c r="D217" s="63" t="s">
        <v>16</v>
      </c>
      <c r="E217" s="63">
        <v>6100004040</v>
      </c>
      <c r="F217" s="63">
        <v>244</v>
      </c>
      <c r="G217" s="6">
        <v>54652.5</v>
      </c>
      <c r="H217" s="6">
        <v>10021.529946485636</v>
      </c>
      <c r="I217" s="6">
        <v>16706.455700421979</v>
      </c>
      <c r="J217" s="6">
        <v>8943.702340799884</v>
      </c>
      <c r="K217" s="6">
        <f t="shared" si="31"/>
        <v>10343.572496328467</v>
      </c>
      <c r="L217" s="94">
        <v>69109.7</v>
      </c>
      <c r="M217" s="94">
        <f t="shared" si="32"/>
        <v>16016.643902887967</v>
      </c>
      <c r="N217" s="94">
        <f t="shared" si="33"/>
        <v>24898.38352546484</v>
      </c>
      <c r="O217" s="94">
        <f t="shared" si="34"/>
        <v>13828.585072024172</v>
      </c>
      <c r="P217" s="94">
        <f t="shared" si="35"/>
        <v>14366.08745060505</v>
      </c>
      <c r="Q217" s="117">
        <v>71418.7</v>
      </c>
      <c r="R217" s="117">
        <f t="shared" si="36"/>
        <v>12178.217840421734</v>
      </c>
      <c r="S217" s="117">
        <f t="shared" si="37"/>
        <v>14637.023535933698</v>
      </c>
      <c r="T217" s="117">
        <f t="shared" si="38"/>
        <v>34290.26589557546</v>
      </c>
      <c r="U217" s="117">
        <f t="shared" si="39"/>
        <v>10313.192728069103</v>
      </c>
      <c r="V217" s="95">
        <v>76669.100000000006</v>
      </c>
      <c r="W217" s="95">
        <v>78326.200000000012</v>
      </c>
      <c r="X217" s="63"/>
      <c r="Y217" s="63"/>
    </row>
    <row r="218" spans="1:25">
      <c r="A218" s="22" t="s">
        <v>61</v>
      </c>
      <c r="B218" s="63" t="s">
        <v>34</v>
      </c>
      <c r="C218" s="63">
        <v>176</v>
      </c>
      <c r="D218" s="63" t="s">
        <v>16</v>
      </c>
      <c r="E218" s="63">
        <v>6100004040</v>
      </c>
      <c r="F218" s="63">
        <v>244</v>
      </c>
      <c r="G218" s="6">
        <f>145550.2</f>
        <v>145550.20000000001</v>
      </c>
      <c r="H218" s="6">
        <v>27037.67613403406</v>
      </c>
      <c r="I218" s="6">
        <v>45073.331216657258</v>
      </c>
      <c r="J218" s="6">
        <v>24129.741528592673</v>
      </c>
      <c r="K218" s="6">
        <f t="shared" si="31"/>
        <v>27546.938302092451</v>
      </c>
      <c r="L218" s="94">
        <v>206408.7</v>
      </c>
      <c r="M218" s="94">
        <f t="shared" si="32"/>
        <v>47836.622736866622</v>
      </c>
      <c r="N218" s="94">
        <f t="shared" si="33"/>
        <v>74363.554979874243</v>
      </c>
      <c r="O218" s="94">
        <f t="shared" si="34"/>
        <v>41301.58671729028</v>
      </c>
      <c r="P218" s="94">
        <f t="shared" si="35"/>
        <v>42906.935419567766</v>
      </c>
      <c r="Q218" s="117">
        <v>203706.2</v>
      </c>
      <c r="R218" s="117">
        <f t="shared" si="36"/>
        <v>34735.699180249962</v>
      </c>
      <c r="S218" s="117">
        <f t="shared" si="37"/>
        <v>41748.903911939276</v>
      </c>
      <c r="T218" s="117">
        <f t="shared" si="38"/>
        <v>97805.473392504689</v>
      </c>
      <c r="U218" s="117">
        <f t="shared" si="39"/>
        <v>29416.123515306084</v>
      </c>
      <c r="V218" s="95">
        <v>212888.4</v>
      </c>
      <c r="W218" s="95">
        <v>265074.90000000002</v>
      </c>
      <c r="X218" s="63"/>
      <c r="Y218" s="63"/>
    </row>
    <row r="219" spans="1:25">
      <c r="A219" s="22" t="s">
        <v>62</v>
      </c>
      <c r="B219" s="63" t="s">
        <v>34</v>
      </c>
      <c r="C219" s="63">
        <v>176</v>
      </c>
      <c r="D219" s="63" t="s">
        <v>16</v>
      </c>
      <c r="E219" s="63">
        <v>6100004040</v>
      </c>
      <c r="F219" s="63">
        <v>244</v>
      </c>
      <c r="G219" s="6">
        <f>124792.5</f>
        <v>124792.5</v>
      </c>
      <c r="H219" s="6">
        <v>22981.810173147878</v>
      </c>
      <c r="I219" s="6">
        <v>38311.973882575126</v>
      </c>
      <c r="J219" s="6">
        <v>20510.088832641883</v>
      </c>
      <c r="K219" s="6">
        <f t="shared" si="31"/>
        <v>23618.320676054529</v>
      </c>
      <c r="L219" s="94">
        <v>155268.79999999999</v>
      </c>
      <c r="M219" s="94">
        <f t="shared" si="32"/>
        <v>35984.602433938089</v>
      </c>
      <c r="N219" s="94">
        <f t="shared" si="33"/>
        <v>55939.211600378752</v>
      </c>
      <c r="O219" s="94">
        <f t="shared" si="34"/>
        <v>31068.689486875315</v>
      </c>
      <c r="P219" s="94">
        <f t="shared" si="35"/>
        <v>32276.296368679145</v>
      </c>
      <c r="Q219" s="117">
        <v>169680.8</v>
      </c>
      <c r="R219" s="117">
        <f t="shared" si="36"/>
        <v>28933.73508250685</v>
      </c>
      <c r="S219" s="117">
        <f t="shared" si="37"/>
        <v>34775.512060511581</v>
      </c>
      <c r="T219" s="117">
        <f t="shared" si="38"/>
        <v>81468.855487063745</v>
      </c>
      <c r="U219" s="117">
        <f t="shared" si="39"/>
        <v>24502.697369917794</v>
      </c>
      <c r="V219" s="95">
        <v>178879.69999999998</v>
      </c>
      <c r="W219" s="95">
        <v>184829.6</v>
      </c>
      <c r="X219" s="63"/>
      <c r="Y219" s="63"/>
    </row>
    <row r="220" spans="1:25">
      <c r="A220" s="22" t="s">
        <v>63</v>
      </c>
      <c r="B220" s="63" t="s">
        <v>34</v>
      </c>
      <c r="C220" s="63">
        <v>176</v>
      </c>
      <c r="D220" s="63" t="s">
        <v>16</v>
      </c>
      <c r="E220" s="63">
        <v>6100004040</v>
      </c>
      <c r="F220" s="63">
        <v>244</v>
      </c>
      <c r="G220" s="6">
        <f>60253</f>
        <v>60253</v>
      </c>
      <c r="H220" s="6">
        <v>11048.483488689428</v>
      </c>
      <c r="I220" s="6">
        <v>18418.445182151328</v>
      </c>
      <c r="J220" s="6">
        <v>9860.2057937004774</v>
      </c>
      <c r="K220" s="6">
        <f t="shared" si="31"/>
        <v>11403.527260807448</v>
      </c>
      <c r="L220" s="94">
        <v>72667.5</v>
      </c>
      <c r="M220" s="94">
        <f t="shared" si="32"/>
        <v>16841.188296478082</v>
      </c>
      <c r="N220" s="94">
        <f t="shared" si="33"/>
        <v>26180.164070119194</v>
      </c>
      <c r="O220" s="94">
        <f t="shared" si="34"/>
        <v>14540.48716347078</v>
      </c>
      <c r="P220" s="94">
        <f t="shared" si="35"/>
        <v>15105.660418390506</v>
      </c>
      <c r="Q220" s="117">
        <v>76325.099999999991</v>
      </c>
      <c r="R220" s="117">
        <f t="shared" si="36"/>
        <v>13014.850375209473</v>
      </c>
      <c r="S220" s="117">
        <f t="shared" si="37"/>
        <v>15642.573794853353</v>
      </c>
      <c r="T220" s="117">
        <f t="shared" si="38"/>
        <v>36645.976102986839</v>
      </c>
      <c r="U220" s="117">
        <f t="shared" si="39"/>
        <v>11021.699726950323</v>
      </c>
      <c r="V220" s="95">
        <v>81597.2</v>
      </c>
      <c r="W220" s="95">
        <v>83461.2</v>
      </c>
      <c r="X220" s="63"/>
      <c r="Y220" s="63"/>
    </row>
    <row r="221" spans="1:25">
      <c r="A221" s="22" t="s">
        <v>64</v>
      </c>
      <c r="B221" s="63" t="s">
        <v>34</v>
      </c>
      <c r="C221" s="63">
        <v>176</v>
      </c>
      <c r="D221" s="63" t="s">
        <v>16</v>
      </c>
      <c r="E221" s="63">
        <v>6100004040</v>
      </c>
      <c r="F221" s="63">
        <v>244</v>
      </c>
      <c r="G221" s="6">
        <f>56181.2</f>
        <v>56181.2</v>
      </c>
      <c r="H221" s="6">
        <v>10301.844896930585</v>
      </c>
      <c r="I221" s="6">
        <v>17173.756534404594</v>
      </c>
      <c r="J221" s="6">
        <v>9193.8690809925702</v>
      </c>
      <c r="K221" s="6">
        <f t="shared" si="31"/>
        <v>10632.895386866636</v>
      </c>
      <c r="L221" s="94">
        <v>70926.100000000006</v>
      </c>
      <c r="M221" s="94">
        <f t="shared" si="32"/>
        <v>16437.606980215834</v>
      </c>
      <c r="N221" s="94">
        <f t="shared" si="33"/>
        <v>25552.78404862808</v>
      </c>
      <c r="O221" s="94">
        <f t="shared" si="34"/>
        <v>14192.039723467093</v>
      </c>
      <c r="P221" s="94">
        <f t="shared" si="35"/>
        <v>14743.669197382696</v>
      </c>
      <c r="Q221" s="117">
        <v>75208.3</v>
      </c>
      <c r="R221" s="117">
        <f t="shared" si="36"/>
        <v>12824.415185487693</v>
      </c>
      <c r="S221" s="117">
        <f t="shared" si="37"/>
        <v>15413.689372637175</v>
      </c>
      <c r="T221" s="117">
        <f t="shared" si="38"/>
        <v>36109.766833535308</v>
      </c>
      <c r="U221" s="117">
        <f t="shared" si="39"/>
        <v>10860.428608339826</v>
      </c>
      <c r="V221" s="95">
        <v>80489.7</v>
      </c>
      <c r="W221" s="95">
        <v>82307.3</v>
      </c>
      <c r="X221" s="63"/>
      <c r="Y221" s="63"/>
    </row>
    <row r="222" spans="1:25">
      <c r="A222" s="22" t="s">
        <v>65</v>
      </c>
      <c r="B222" s="63" t="s">
        <v>34</v>
      </c>
      <c r="C222" s="63">
        <v>176</v>
      </c>
      <c r="D222" s="63" t="s">
        <v>16</v>
      </c>
      <c r="E222" s="63">
        <v>6100004040</v>
      </c>
      <c r="F222" s="63">
        <v>244</v>
      </c>
      <c r="G222" s="6">
        <f>111652.9</f>
        <v>111652.9</v>
      </c>
      <c r="H222" s="6">
        <v>20473.590063802498</v>
      </c>
      <c r="I222" s="6">
        <v>34130.629480328345</v>
      </c>
      <c r="J222" s="6">
        <v>18271.630814456708</v>
      </c>
      <c r="K222" s="6">
        <f t="shared" si="31"/>
        <v>21131.510279956317</v>
      </c>
      <c r="L222" s="94">
        <v>136082.6</v>
      </c>
      <c r="M222" s="94">
        <f t="shared" si="32"/>
        <v>31538.069845175745</v>
      </c>
      <c r="N222" s="94">
        <f t="shared" si="33"/>
        <v>49026.93494462315</v>
      </c>
      <c r="O222" s="94">
        <f t="shared" si="34"/>
        <v>27229.604685337032</v>
      </c>
      <c r="P222" s="94">
        <f t="shared" si="35"/>
        <v>28287.990428343728</v>
      </c>
      <c r="Q222" s="117">
        <v>146988.4</v>
      </c>
      <c r="R222" s="117">
        <f t="shared" si="36"/>
        <v>25064.258453528921</v>
      </c>
      <c r="S222" s="117">
        <f t="shared" si="37"/>
        <v>30124.780629012246</v>
      </c>
      <c r="T222" s="117">
        <f t="shared" si="38"/>
        <v>70573.551738763155</v>
      </c>
      <c r="U222" s="117">
        <f t="shared" si="39"/>
        <v>21225.809178695672</v>
      </c>
      <c r="V222" s="95">
        <v>156565.20000000001</v>
      </c>
      <c r="W222" s="95">
        <v>161577.90000000002</v>
      </c>
      <c r="X222" s="63"/>
      <c r="Y222" s="63"/>
    </row>
    <row r="223" spans="1:25">
      <c r="A223" s="22" t="s">
        <v>66</v>
      </c>
      <c r="B223" s="63" t="s">
        <v>34</v>
      </c>
      <c r="C223" s="63">
        <v>176</v>
      </c>
      <c r="D223" s="63" t="s">
        <v>16</v>
      </c>
      <c r="E223" s="63">
        <v>6100004040</v>
      </c>
      <c r="F223" s="63">
        <v>244</v>
      </c>
      <c r="G223" s="6">
        <f>175749.4</f>
        <v>175749.4</v>
      </c>
      <c r="H223" s="6">
        <v>32226.849186713916</v>
      </c>
      <c r="I223" s="6">
        <v>53723.975398668721</v>
      </c>
      <c r="J223" s="6">
        <v>28760.812774789349</v>
      </c>
      <c r="K223" s="6">
        <f t="shared" si="31"/>
        <v>33262.461188165777</v>
      </c>
      <c r="L223" s="94">
        <v>219750</v>
      </c>
      <c r="M223" s="94">
        <f t="shared" si="32"/>
        <v>50928.559922263164</v>
      </c>
      <c r="N223" s="94">
        <f t="shared" si="33"/>
        <v>79170.069899318027</v>
      </c>
      <c r="O223" s="94">
        <f t="shared" si="34"/>
        <v>43971.129516946421</v>
      </c>
      <c r="P223" s="94">
        <f t="shared" si="35"/>
        <v>45680.240505608614</v>
      </c>
      <c r="Q223" s="117">
        <v>233363.3</v>
      </c>
      <c r="R223" s="117">
        <f t="shared" si="36"/>
        <v>39792.786810172816</v>
      </c>
      <c r="S223" s="117">
        <f t="shared" si="37"/>
        <v>47827.027298496847</v>
      </c>
      <c r="T223" s="117">
        <f t="shared" si="38"/>
        <v>112044.73908470674</v>
      </c>
      <c r="U223" s="117">
        <f t="shared" si="39"/>
        <v>33698.746806623596</v>
      </c>
      <c r="V223" s="95">
        <v>247715.40000000002</v>
      </c>
      <c r="W223" s="95">
        <v>256556.4</v>
      </c>
      <c r="X223" s="63"/>
      <c r="Y223" s="63"/>
    </row>
    <row r="224" spans="1:25">
      <c r="A224" s="22" t="s">
        <v>67</v>
      </c>
      <c r="B224" s="63" t="s">
        <v>34</v>
      </c>
      <c r="C224" s="63">
        <v>176</v>
      </c>
      <c r="D224" s="63" t="s">
        <v>16</v>
      </c>
      <c r="E224" s="63">
        <v>6100004040</v>
      </c>
      <c r="F224" s="63">
        <v>244</v>
      </c>
      <c r="G224" s="6">
        <f>45922.1</f>
        <v>45922.1</v>
      </c>
      <c r="H224" s="6">
        <v>8420.6523096932069</v>
      </c>
      <c r="I224" s="6">
        <v>14037.702379952392</v>
      </c>
      <c r="J224" s="6">
        <v>7515.0010203457541</v>
      </c>
      <c r="K224" s="6">
        <f t="shared" si="31"/>
        <v>8691.2505472511857</v>
      </c>
      <c r="L224" s="94">
        <v>55389.7</v>
      </c>
      <c r="M224" s="94">
        <f t="shared" si="32"/>
        <v>12836.94041195076</v>
      </c>
      <c r="N224" s="94">
        <f t="shared" si="33"/>
        <v>19955.433086244622</v>
      </c>
      <c r="O224" s="94">
        <f t="shared" si="34"/>
        <v>11083.26585940754</v>
      </c>
      <c r="P224" s="94">
        <f t="shared" si="35"/>
        <v>11514.060603110394</v>
      </c>
      <c r="Q224" s="117">
        <v>62575.200000000004</v>
      </c>
      <c r="R224" s="117">
        <f t="shared" si="36"/>
        <v>10670.236464790849</v>
      </c>
      <c r="S224" s="117">
        <f t="shared" si="37"/>
        <v>12824.57780897382</v>
      </c>
      <c r="T224" s="117">
        <f t="shared" si="38"/>
        <v>30044.235563918322</v>
      </c>
      <c r="U224" s="117">
        <f t="shared" si="39"/>
        <v>9036.1501623170097</v>
      </c>
      <c r="V224" s="95">
        <v>65673.3</v>
      </c>
      <c r="W224" s="95">
        <v>66717.3</v>
      </c>
      <c r="X224" s="63"/>
      <c r="Y224" s="63"/>
    </row>
    <row r="225" spans="1:26">
      <c r="A225" s="22" t="s">
        <v>68</v>
      </c>
      <c r="B225" s="63" t="s">
        <v>34</v>
      </c>
      <c r="C225" s="63">
        <v>176</v>
      </c>
      <c r="D225" s="63" t="s">
        <v>16</v>
      </c>
      <c r="E225" s="63">
        <v>6100004040</v>
      </c>
      <c r="F225" s="63">
        <v>244</v>
      </c>
      <c r="G225" s="6">
        <f>72478.2</f>
        <v>72478.2</v>
      </c>
      <c r="H225" s="6">
        <v>13290.19627221765</v>
      </c>
      <c r="I225" s="6">
        <v>22155.506839510072</v>
      </c>
      <c r="J225" s="6">
        <v>11860.819669675899</v>
      </c>
      <c r="K225" s="6">
        <f t="shared" si="31"/>
        <v>13717.277637864578</v>
      </c>
      <c r="L225" s="94">
        <v>89140.800000000003</v>
      </c>
      <c r="M225" s="94">
        <f t="shared" si="32"/>
        <v>20658.987823974861</v>
      </c>
      <c r="N225" s="94">
        <f t="shared" si="33"/>
        <v>32115.055139390806</v>
      </c>
      <c r="O225" s="94">
        <f t="shared" si="34"/>
        <v>17836.731112829206</v>
      </c>
      <c r="P225" s="94">
        <f t="shared" si="35"/>
        <v>18530.02586057955</v>
      </c>
      <c r="Q225" s="117">
        <v>94095.299999999988</v>
      </c>
      <c r="R225" s="117">
        <f t="shared" si="36"/>
        <v>16045.000275275735</v>
      </c>
      <c r="S225" s="117">
        <f t="shared" si="37"/>
        <v>19284.516810313577</v>
      </c>
      <c r="T225" s="117">
        <f t="shared" si="38"/>
        <v>45177.983588667128</v>
      </c>
      <c r="U225" s="117">
        <f t="shared" si="39"/>
        <v>13587.799325743546</v>
      </c>
      <c r="V225" s="95">
        <v>99790.399999999994</v>
      </c>
      <c r="W225" s="95">
        <v>102418.6</v>
      </c>
      <c r="X225" s="63"/>
      <c r="Y225" s="63"/>
    </row>
    <row r="226" spans="1:26">
      <c r="A226" s="22" t="s">
        <v>69</v>
      </c>
      <c r="B226" s="63" t="s">
        <v>34</v>
      </c>
      <c r="C226" s="63">
        <v>176</v>
      </c>
      <c r="D226" s="63" t="s">
        <v>16</v>
      </c>
      <c r="E226" s="63">
        <v>6100004040</v>
      </c>
      <c r="F226" s="63">
        <v>244</v>
      </c>
      <c r="G226" s="6">
        <v>64941.3</v>
      </c>
      <c r="H226" s="6">
        <v>11557.770296673862</v>
      </c>
      <c r="I226" s="6">
        <v>19267.455018157951</v>
      </c>
      <c r="J226" s="6">
        <v>10314.718192608811</v>
      </c>
      <c r="K226" s="6">
        <f t="shared" si="31"/>
        <v>12290.838379869465</v>
      </c>
      <c r="L226" s="94">
        <v>76108.100000000006</v>
      </c>
      <c r="M226" s="94">
        <f t="shared" si="32"/>
        <v>17638.570791442991</v>
      </c>
      <c r="N226" s="94">
        <f t="shared" si="33"/>
        <v>27419.72057749391</v>
      </c>
      <c r="O226" s="94">
        <f t="shared" si="34"/>
        <v>15228.937985841685</v>
      </c>
      <c r="P226" s="94">
        <f t="shared" si="35"/>
        <v>15820.87059123964</v>
      </c>
      <c r="Q226" s="117">
        <v>83939.4</v>
      </c>
      <c r="R226" s="117">
        <f t="shared" si="36"/>
        <v>14313.230268743284</v>
      </c>
      <c r="S226" s="117">
        <f t="shared" si="37"/>
        <v>17203.099095785183</v>
      </c>
      <c r="T226" s="117">
        <f t="shared" si="38"/>
        <v>40301.830544592194</v>
      </c>
      <c r="U226" s="117">
        <f t="shared" si="39"/>
        <v>12121.240090879332</v>
      </c>
      <c r="V226" s="95">
        <v>89627.5</v>
      </c>
      <c r="W226" s="95">
        <v>91828.900000000009</v>
      </c>
      <c r="X226" s="63"/>
      <c r="Y226" s="63"/>
    </row>
    <row r="227" spans="1:26">
      <c r="A227" s="22" t="s">
        <v>70</v>
      </c>
      <c r="B227" s="63" t="s">
        <v>34</v>
      </c>
      <c r="C227" s="63">
        <v>176</v>
      </c>
      <c r="D227" s="63" t="s">
        <v>16</v>
      </c>
      <c r="E227" s="63">
        <v>6100004040</v>
      </c>
      <c r="F227" s="63">
        <v>244</v>
      </c>
      <c r="G227" s="6">
        <f>70365.7</f>
        <v>70365.7</v>
      </c>
      <c r="H227" s="6">
        <v>12902.830973064805</v>
      </c>
      <c r="I227" s="6">
        <v>21509.747035893739</v>
      </c>
      <c r="J227" s="6">
        <v>11515.115974603583</v>
      </c>
      <c r="K227" s="6">
        <f t="shared" si="31"/>
        <v>13317.464328345455</v>
      </c>
      <c r="L227" s="94">
        <v>88270.1</v>
      </c>
      <c r="M227" s="94">
        <f t="shared" si="32"/>
        <v>20457.197165843743</v>
      </c>
      <c r="N227" s="94">
        <f t="shared" si="33"/>
        <v>31801.365128645244</v>
      </c>
      <c r="O227" s="94">
        <f t="shared" si="34"/>
        <v>17662.50739282736</v>
      </c>
      <c r="P227" s="94">
        <f t="shared" si="35"/>
        <v>18349.030250075644</v>
      </c>
      <c r="Q227" s="117">
        <v>93069.299999999988</v>
      </c>
      <c r="R227" s="117">
        <f t="shared" si="36"/>
        <v>15870.048175835775</v>
      </c>
      <c r="S227" s="117">
        <f t="shared" si="37"/>
        <v>19074.241544201646</v>
      </c>
      <c r="T227" s="117">
        <f t="shared" si="38"/>
        <v>44685.370130163115</v>
      </c>
      <c r="U227" s="117">
        <f t="shared" si="39"/>
        <v>13439.640149799447</v>
      </c>
      <c r="V227" s="95">
        <v>99094</v>
      </c>
      <c r="W227" s="95">
        <v>101692.9</v>
      </c>
      <c r="X227" s="63"/>
      <c r="Y227" s="63"/>
    </row>
    <row r="228" spans="1:26">
      <c r="A228" s="22" t="s">
        <v>71</v>
      </c>
      <c r="B228" s="63" t="s">
        <v>34</v>
      </c>
      <c r="C228" s="63">
        <v>176</v>
      </c>
      <c r="D228" s="63" t="s">
        <v>16</v>
      </c>
      <c r="E228" s="63">
        <v>6100004040</v>
      </c>
      <c r="F228" s="63">
        <v>244</v>
      </c>
      <c r="G228" s="6">
        <f>57216.1</f>
        <v>57216.1</v>
      </c>
      <c r="H228" s="6">
        <v>10491.612635672966</v>
      </c>
      <c r="I228" s="6">
        <v>17490.110059025916</v>
      </c>
      <c r="J228" s="6">
        <v>9363.2270710661032</v>
      </c>
      <c r="K228" s="6">
        <f t="shared" si="31"/>
        <v>10828.761324864905</v>
      </c>
      <c r="L228" s="94">
        <v>71973.7</v>
      </c>
      <c r="M228" s="94">
        <f t="shared" si="32"/>
        <v>16680.395418780397</v>
      </c>
      <c r="N228" s="94">
        <f t="shared" si="33"/>
        <v>25930.206415984278</v>
      </c>
      <c r="O228" s="94">
        <f t="shared" si="34"/>
        <v>14401.660452850267</v>
      </c>
      <c r="P228" s="94">
        <f t="shared" si="35"/>
        <v>14961.437661335711</v>
      </c>
      <c r="Q228" s="117">
        <v>75839.199999999997</v>
      </c>
      <c r="R228" s="117">
        <f t="shared" si="36"/>
        <v>12931.995379967879</v>
      </c>
      <c r="S228" s="117">
        <f t="shared" si="37"/>
        <v>15542.990216097225</v>
      </c>
      <c r="T228" s="117">
        <f t="shared" si="38"/>
        <v>36412.680898808387</v>
      </c>
      <c r="U228" s="117">
        <f t="shared" si="39"/>
        <v>10951.533505126505</v>
      </c>
      <c r="V228" s="95">
        <v>80891.8</v>
      </c>
      <c r="W228" s="95">
        <v>82726.3</v>
      </c>
      <c r="X228" s="63"/>
      <c r="Y228" s="63"/>
      <c r="Z228" s="455">
        <f>Q195-Q230-Q231-Q232</f>
        <v>2983520.9</v>
      </c>
    </row>
    <row r="229" spans="1:26">
      <c r="A229" s="22" t="s">
        <v>72</v>
      </c>
      <c r="B229" s="63" t="s">
        <v>34</v>
      </c>
      <c r="C229" s="63">
        <v>176</v>
      </c>
      <c r="D229" s="63" t="s">
        <v>16</v>
      </c>
      <c r="E229" s="63">
        <v>6100004040</v>
      </c>
      <c r="F229" s="63">
        <v>244</v>
      </c>
      <c r="G229" s="6">
        <f>58329.3</f>
        <v>58329.3</v>
      </c>
      <c r="H229" s="6">
        <v>10695.738103609983</v>
      </c>
      <c r="I229" s="6">
        <v>17830.398728084238</v>
      </c>
      <c r="J229" s="6">
        <v>9545.3985992812522</v>
      </c>
      <c r="K229" s="6">
        <f t="shared" si="31"/>
        <v>11039.446378666888</v>
      </c>
      <c r="L229" s="94">
        <v>71199.600000000006</v>
      </c>
      <c r="M229" s="94">
        <f>L229*653500.912/2819770</f>
        <v>16500.99246890179</v>
      </c>
      <c r="N229" s="94">
        <f t="shared" si="33"/>
        <v>25651.318811392419</v>
      </c>
      <c r="O229" s="94">
        <f t="shared" si="34"/>
        <v>14246.766021182155</v>
      </c>
      <c r="P229" s="94">
        <f t="shared" si="35"/>
        <v>14800.52264802335</v>
      </c>
      <c r="Q229" s="117">
        <v>76271.100000000006</v>
      </c>
      <c r="R229" s="117">
        <f t="shared" si="36"/>
        <v>13005.642369975794</v>
      </c>
      <c r="S229" s="117">
        <f t="shared" si="37"/>
        <v>15631.506675584307</v>
      </c>
      <c r="T229" s="117">
        <f t="shared" si="38"/>
        <v>36620.04907885506</v>
      </c>
      <c r="U229" s="117">
        <f t="shared" si="39"/>
        <v>11013.901875584846</v>
      </c>
      <c r="V229" s="95">
        <v>81462</v>
      </c>
      <c r="W229" s="95">
        <v>83320.399999999994</v>
      </c>
      <c r="X229" s="63"/>
      <c r="Y229" s="221"/>
      <c r="Z229" s="455">
        <f>R195-R230-R231-R232</f>
        <v>508745.85300000012</v>
      </c>
    </row>
    <row r="230" spans="1:26" ht="26.4">
      <c r="A230" s="68" t="s">
        <v>33</v>
      </c>
      <c r="B230" s="63" t="s">
        <v>34</v>
      </c>
      <c r="C230" s="63">
        <v>176</v>
      </c>
      <c r="D230" s="63" t="s">
        <v>16</v>
      </c>
      <c r="E230" s="63">
        <v>6100004040</v>
      </c>
      <c r="F230" s="448" t="s">
        <v>683</v>
      </c>
      <c r="G230" s="23">
        <f>SUM(H230:K230)</f>
        <v>72422.377000000008</v>
      </c>
      <c r="H230" s="23">
        <v>24739.4</v>
      </c>
      <c r="I230" s="23">
        <v>12794.4</v>
      </c>
      <c r="J230" s="23">
        <v>24900.377</v>
      </c>
      <c r="K230" s="23">
        <v>9988.2000000000007</v>
      </c>
      <c r="L230" s="95">
        <v>134000</v>
      </c>
      <c r="M230" s="95">
        <f>5121.436</f>
        <v>5121.4359999999997</v>
      </c>
      <c r="N230" s="95">
        <v>49851.529000000002</v>
      </c>
      <c r="O230" s="95">
        <v>21576.395</v>
      </c>
      <c r="P230" s="95">
        <f>48288.623+9162</f>
        <v>57450.623</v>
      </c>
      <c r="Q230" s="117">
        <f>SUM(R230:U230)</f>
        <v>139807.63900000002</v>
      </c>
      <c r="R230" s="117">
        <v>4399.8639999999996</v>
      </c>
      <c r="S230" s="117">
        <v>40685.925000000003</v>
      </c>
      <c r="T230" s="117">
        <v>45000.65</v>
      </c>
      <c r="U230" s="117">
        <f>56116.9-6462.1+66.4</f>
        <v>49721.200000000004</v>
      </c>
      <c r="V230" s="95">
        <v>144844.6</v>
      </c>
      <c r="W230" s="95">
        <v>147858.1</v>
      </c>
      <c r="X230" s="63"/>
      <c r="Y230" s="63"/>
      <c r="Z230" s="455">
        <f>S195-S230-S231</f>
        <v>611462.62299999991</v>
      </c>
    </row>
    <row r="231" spans="1:26" ht="12.6" customHeight="1">
      <c r="A231" s="68" t="s">
        <v>73</v>
      </c>
      <c r="B231" s="63" t="s">
        <v>34</v>
      </c>
      <c r="C231" s="63">
        <v>176</v>
      </c>
      <c r="D231" s="63" t="s">
        <v>16</v>
      </c>
      <c r="E231" s="63">
        <v>6100004040</v>
      </c>
      <c r="F231" s="63">
        <v>244</v>
      </c>
      <c r="G231" s="29">
        <v>2500</v>
      </c>
      <c r="H231" s="29">
        <v>0</v>
      </c>
      <c r="I231" s="29">
        <v>850</v>
      </c>
      <c r="J231" s="29">
        <v>1025</v>
      </c>
      <c r="K231" s="29">
        <v>625</v>
      </c>
      <c r="L231" s="87">
        <v>2665</v>
      </c>
      <c r="M231" s="87"/>
      <c r="N231" s="87">
        <v>906.1</v>
      </c>
      <c r="O231" s="87">
        <v>666.25</v>
      </c>
      <c r="P231" s="87">
        <v>1092.6500000000001</v>
      </c>
      <c r="Q231" s="117">
        <v>2665</v>
      </c>
      <c r="R231" s="117">
        <v>241.25</v>
      </c>
      <c r="S231" s="117">
        <v>1091.25</v>
      </c>
      <c r="T231" s="117">
        <v>666.25</v>
      </c>
      <c r="U231" s="117">
        <v>666.25</v>
      </c>
      <c r="V231" s="87">
        <v>2665</v>
      </c>
      <c r="W231" s="87">
        <v>2665</v>
      </c>
      <c r="X231" s="63"/>
      <c r="Y231" s="63"/>
      <c r="Z231" s="455">
        <f>T195-T230-T231</f>
        <v>1432478.118</v>
      </c>
    </row>
    <row r="232" spans="1:26" ht="75.599999999999994" customHeight="1">
      <c r="A232" s="68" t="s">
        <v>252</v>
      </c>
      <c r="B232" s="63" t="s">
        <v>34</v>
      </c>
      <c r="C232" s="63">
        <v>176</v>
      </c>
      <c r="D232" s="63" t="s">
        <v>16</v>
      </c>
      <c r="E232" s="63">
        <v>6100004040</v>
      </c>
      <c r="F232" s="63">
        <v>244</v>
      </c>
      <c r="G232" s="29">
        <v>216211.6</v>
      </c>
      <c r="H232" s="29">
        <v>216211.6</v>
      </c>
      <c r="I232" s="29"/>
      <c r="J232" s="29"/>
      <c r="K232" s="29"/>
      <c r="L232" s="87">
        <v>10944.1</v>
      </c>
      <c r="M232" s="87">
        <v>10944.1</v>
      </c>
      <c r="N232" s="87"/>
      <c r="O232" s="87"/>
      <c r="P232" s="87"/>
      <c r="Q232" s="113">
        <v>17090.599999999999</v>
      </c>
      <c r="R232" s="113">
        <v>17090.599999999999</v>
      </c>
      <c r="S232" s="113"/>
      <c r="T232" s="113"/>
      <c r="U232" s="113"/>
      <c r="V232" s="87"/>
      <c r="W232" s="87"/>
      <c r="X232" s="63"/>
      <c r="Y232" s="63" t="s">
        <v>650</v>
      </c>
      <c r="Z232" s="455">
        <f>U195-U230-U231</f>
        <v>430834.30599999981</v>
      </c>
    </row>
    <row r="233" spans="1:26" ht="0.6" customHeight="1">
      <c r="A233" s="65"/>
      <c r="B233" s="63"/>
      <c r="C233" s="63"/>
      <c r="D233" s="63"/>
      <c r="E233" s="63"/>
      <c r="F233" s="63"/>
      <c r="G233" s="31"/>
      <c r="H233" s="31"/>
      <c r="I233" s="31"/>
      <c r="J233" s="31"/>
      <c r="K233" s="31"/>
      <c r="L233" s="87"/>
      <c r="M233" s="87"/>
      <c r="N233" s="87"/>
      <c r="O233" s="87"/>
      <c r="P233" s="87"/>
      <c r="Q233" s="113"/>
      <c r="R233" s="113"/>
      <c r="S233" s="113"/>
      <c r="T233" s="113"/>
      <c r="U233" s="113"/>
      <c r="V233" s="87"/>
      <c r="W233" s="87"/>
      <c r="X233" s="63"/>
      <c r="Y233" s="63"/>
    </row>
    <row r="234" spans="1:26" ht="28.2" customHeight="1">
      <c r="A234" s="501" t="s">
        <v>230</v>
      </c>
      <c r="B234" s="12" t="s">
        <v>195</v>
      </c>
      <c r="C234" s="12"/>
      <c r="D234" s="12"/>
      <c r="E234" s="12"/>
      <c r="F234" s="12"/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60" t="s">
        <v>348</v>
      </c>
      <c r="M234" s="60"/>
      <c r="N234" s="60"/>
      <c r="O234" s="60"/>
      <c r="P234" s="60"/>
      <c r="Q234" s="112" t="s">
        <v>348</v>
      </c>
      <c r="R234" s="112"/>
      <c r="S234" s="112"/>
      <c r="T234" s="112"/>
      <c r="U234" s="112"/>
      <c r="V234" s="60" t="s">
        <v>348</v>
      </c>
      <c r="W234" s="60"/>
      <c r="X234" s="489" t="s">
        <v>27</v>
      </c>
      <c r="Y234" s="489" t="s">
        <v>671</v>
      </c>
    </row>
    <row r="235" spans="1:26" ht="43.5" customHeight="1">
      <c r="A235" s="502"/>
      <c r="B235" s="12" t="s">
        <v>25</v>
      </c>
      <c r="C235" s="12"/>
      <c r="D235" s="12"/>
      <c r="E235" s="12"/>
      <c r="F235" s="12"/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60"/>
      <c r="M235" s="60"/>
      <c r="N235" s="60"/>
      <c r="O235" s="60"/>
      <c r="P235" s="60"/>
      <c r="Q235" s="112"/>
      <c r="R235" s="112"/>
      <c r="S235" s="112"/>
      <c r="T235" s="112"/>
      <c r="U235" s="112"/>
      <c r="V235" s="60"/>
      <c r="W235" s="60"/>
      <c r="X235" s="490"/>
      <c r="Y235" s="490"/>
    </row>
    <row r="236" spans="1:26" ht="32.25" customHeight="1">
      <c r="A236" s="502"/>
      <c r="B236" s="12" t="s">
        <v>26</v>
      </c>
      <c r="C236" s="12">
        <v>176</v>
      </c>
      <c r="D236" s="12" t="s">
        <v>16</v>
      </c>
      <c r="E236" s="12">
        <v>6100004040</v>
      </c>
      <c r="F236" s="12">
        <v>244</v>
      </c>
      <c r="G236" s="13">
        <f t="shared" ref="G236:U236" si="40">G238</f>
        <v>14155.5</v>
      </c>
      <c r="H236" s="13">
        <f t="shared" si="40"/>
        <v>3285.7</v>
      </c>
      <c r="I236" s="13">
        <f t="shared" si="40"/>
        <v>0</v>
      </c>
      <c r="J236" s="13">
        <f t="shared" si="40"/>
        <v>3538.9</v>
      </c>
      <c r="K236" s="13">
        <f t="shared" si="40"/>
        <v>7330.9</v>
      </c>
      <c r="L236" s="60">
        <f t="shared" si="40"/>
        <v>20000</v>
      </c>
      <c r="M236" s="60">
        <f t="shared" si="40"/>
        <v>3647.3</v>
      </c>
      <c r="N236" s="60">
        <f t="shared" si="40"/>
        <v>1070.7</v>
      </c>
      <c r="O236" s="60">
        <f t="shared" si="40"/>
        <v>192</v>
      </c>
      <c r="P236" s="60">
        <f t="shared" si="40"/>
        <v>15090</v>
      </c>
      <c r="Q236" s="112">
        <f t="shared" si="40"/>
        <v>8049.8</v>
      </c>
      <c r="R236" s="112">
        <f t="shared" si="40"/>
        <v>0</v>
      </c>
      <c r="S236" s="112">
        <f t="shared" si="40"/>
        <v>6093.1</v>
      </c>
      <c r="T236" s="112">
        <f t="shared" si="40"/>
        <v>1956.7</v>
      </c>
      <c r="U236" s="112">
        <f t="shared" si="40"/>
        <v>0</v>
      </c>
      <c r="V236" s="60">
        <f>V238</f>
        <v>40000</v>
      </c>
      <c r="W236" s="60">
        <f>W238</f>
        <v>20000</v>
      </c>
      <c r="X236" s="490"/>
      <c r="Y236" s="490"/>
    </row>
    <row r="237" spans="1:26">
      <c r="A237" s="502"/>
      <c r="B237" s="12" t="s">
        <v>10</v>
      </c>
      <c r="C237" s="12"/>
      <c r="D237" s="12"/>
      <c r="E237" s="12"/>
      <c r="F237" s="12"/>
      <c r="G237" s="13"/>
      <c r="H237" s="13"/>
      <c r="I237" s="13"/>
      <c r="J237" s="13"/>
      <c r="K237" s="13"/>
      <c r="L237" s="60"/>
      <c r="M237" s="60"/>
      <c r="N237" s="60"/>
      <c r="O237" s="60"/>
      <c r="P237" s="60"/>
      <c r="Q237" s="112"/>
      <c r="R237" s="112"/>
      <c r="S237" s="112"/>
      <c r="T237" s="112"/>
      <c r="U237" s="112"/>
      <c r="V237" s="60"/>
      <c r="W237" s="60"/>
      <c r="X237" s="490"/>
      <c r="Y237" s="490"/>
    </row>
    <row r="238" spans="1:26" ht="34.5" customHeight="1">
      <c r="A238" s="502"/>
      <c r="B238" s="12" t="s">
        <v>11</v>
      </c>
      <c r="C238" s="12">
        <v>176</v>
      </c>
      <c r="D238" s="12" t="s">
        <v>16</v>
      </c>
      <c r="E238" s="12">
        <v>6100004040</v>
      </c>
      <c r="F238" s="12">
        <v>244</v>
      </c>
      <c r="G238" s="13">
        <f>SUM(H238:K238)</f>
        <v>14155.5</v>
      </c>
      <c r="H238" s="13">
        <v>3285.7</v>
      </c>
      <c r="I238" s="13"/>
      <c r="J238" s="13">
        <v>3538.9</v>
      </c>
      <c r="K238" s="13">
        <v>7330.9</v>
      </c>
      <c r="L238" s="60">
        <v>20000</v>
      </c>
      <c r="M238" s="60">
        <v>3647.3</v>
      </c>
      <c r="N238" s="60">
        <v>1070.7</v>
      </c>
      <c r="O238" s="60">
        <v>192</v>
      </c>
      <c r="P238" s="60">
        <v>15090</v>
      </c>
      <c r="Q238" s="112">
        <f>S238+T238</f>
        <v>8049.8</v>
      </c>
      <c r="R238" s="112">
        <v>0</v>
      </c>
      <c r="S238" s="112">
        <v>6093.1</v>
      </c>
      <c r="T238" s="112">
        <f>10000-7800-243.3</f>
        <v>1956.7</v>
      </c>
      <c r="U238" s="112">
        <v>0</v>
      </c>
      <c r="V238" s="60">
        <v>40000</v>
      </c>
      <c r="W238" s="60">
        <v>20000</v>
      </c>
      <c r="X238" s="490"/>
      <c r="Y238" s="490"/>
    </row>
    <row r="239" spans="1:26" ht="32.25" customHeight="1">
      <c r="A239" s="41"/>
      <c r="B239" s="12" t="s">
        <v>615</v>
      </c>
      <c r="C239" s="12"/>
      <c r="D239" s="12"/>
      <c r="E239" s="12"/>
      <c r="F239" s="12"/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60"/>
      <c r="M239" s="60"/>
      <c r="N239" s="60"/>
      <c r="O239" s="60"/>
      <c r="P239" s="60"/>
      <c r="Q239" s="112"/>
      <c r="R239" s="112"/>
      <c r="S239" s="112"/>
      <c r="T239" s="112"/>
      <c r="U239" s="112"/>
      <c r="V239" s="60"/>
      <c r="W239" s="60"/>
      <c r="X239" s="38"/>
      <c r="Y239" s="490"/>
    </row>
    <row r="240" spans="1:26" ht="31.5" customHeight="1">
      <c r="A240" s="41"/>
      <c r="B240" s="12" t="s">
        <v>12</v>
      </c>
      <c r="C240" s="12"/>
      <c r="D240" s="12"/>
      <c r="E240" s="12"/>
      <c r="F240" s="12"/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60"/>
      <c r="M240" s="60"/>
      <c r="N240" s="60"/>
      <c r="O240" s="60"/>
      <c r="P240" s="60"/>
      <c r="Q240" s="112"/>
      <c r="R240" s="112"/>
      <c r="S240" s="112"/>
      <c r="T240" s="112"/>
      <c r="U240" s="112"/>
      <c r="V240" s="60"/>
      <c r="W240" s="60"/>
      <c r="X240" s="38"/>
      <c r="Y240" s="490"/>
    </row>
    <row r="241" spans="1:25" ht="32.25" customHeight="1">
      <c r="A241" s="50"/>
      <c r="B241" s="12" t="s">
        <v>665</v>
      </c>
      <c r="C241" s="12"/>
      <c r="D241" s="12"/>
      <c r="E241" s="12"/>
      <c r="F241" s="12"/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60"/>
      <c r="M241" s="60"/>
      <c r="N241" s="60"/>
      <c r="O241" s="60"/>
      <c r="P241" s="60"/>
      <c r="Q241" s="112"/>
      <c r="R241" s="112"/>
      <c r="S241" s="112"/>
      <c r="T241" s="112"/>
      <c r="U241" s="112"/>
      <c r="V241" s="60"/>
      <c r="W241" s="60"/>
      <c r="X241" s="49"/>
      <c r="Y241" s="491"/>
    </row>
    <row r="242" spans="1:25" ht="19.2" customHeight="1">
      <c r="A242" s="501" t="s">
        <v>231</v>
      </c>
      <c r="B242" s="12" t="s">
        <v>195</v>
      </c>
      <c r="C242" s="12"/>
      <c r="D242" s="12"/>
      <c r="E242" s="12"/>
      <c r="F242" s="12"/>
      <c r="G242" s="42">
        <v>0</v>
      </c>
      <c r="H242" s="42">
        <v>0</v>
      </c>
      <c r="I242" s="42">
        <v>0</v>
      </c>
      <c r="J242" s="42">
        <v>0</v>
      </c>
      <c r="K242" s="42">
        <v>0</v>
      </c>
      <c r="L242" s="60" t="s">
        <v>348</v>
      </c>
      <c r="M242" s="60"/>
      <c r="N242" s="60"/>
      <c r="O242" s="60"/>
      <c r="P242" s="60"/>
      <c r="Q242" s="112" t="s">
        <v>348</v>
      </c>
      <c r="R242" s="112"/>
      <c r="S242" s="112"/>
      <c r="T242" s="112"/>
      <c r="U242" s="112"/>
      <c r="V242" s="60" t="s">
        <v>348</v>
      </c>
      <c r="W242" s="60"/>
      <c r="X242" s="489" t="s">
        <v>27</v>
      </c>
      <c r="Y242" s="489" t="s">
        <v>211</v>
      </c>
    </row>
    <row r="243" spans="1:25" ht="45" customHeight="1">
      <c r="A243" s="502"/>
      <c r="B243" s="12" t="s">
        <v>25</v>
      </c>
      <c r="C243" s="12"/>
      <c r="D243" s="12"/>
      <c r="E243" s="12"/>
      <c r="F243" s="12"/>
      <c r="G243" s="42">
        <v>0</v>
      </c>
      <c r="H243" s="42">
        <v>0</v>
      </c>
      <c r="I243" s="42">
        <v>0</v>
      </c>
      <c r="J243" s="42">
        <v>0</v>
      </c>
      <c r="K243" s="42">
        <v>0</v>
      </c>
      <c r="L243" s="60"/>
      <c r="M243" s="60"/>
      <c r="N243" s="60"/>
      <c r="O243" s="60"/>
      <c r="P243" s="60"/>
      <c r="Q243" s="112"/>
      <c r="R243" s="112"/>
      <c r="S243" s="112"/>
      <c r="T243" s="112"/>
      <c r="U243" s="112"/>
      <c r="V243" s="60"/>
      <c r="W243" s="60"/>
      <c r="X243" s="490"/>
      <c r="Y243" s="490"/>
    </row>
    <row r="244" spans="1:25" ht="32.25" customHeight="1">
      <c r="A244" s="41"/>
      <c r="B244" s="12" t="s">
        <v>26</v>
      </c>
      <c r="C244" s="12">
        <v>176</v>
      </c>
      <c r="D244" s="12" t="s">
        <v>16</v>
      </c>
      <c r="E244" s="12">
        <v>6100004040</v>
      </c>
      <c r="F244" s="12">
        <v>244</v>
      </c>
      <c r="G244" s="13">
        <f t="shared" ref="G244:T244" si="41">G246</f>
        <v>22639.3</v>
      </c>
      <c r="H244" s="13">
        <f t="shared" si="41"/>
        <v>9639.2999999999993</v>
      </c>
      <c r="I244" s="13">
        <f t="shared" si="41"/>
        <v>0</v>
      </c>
      <c r="J244" s="13">
        <f t="shared" si="41"/>
        <v>150</v>
      </c>
      <c r="K244" s="13">
        <f t="shared" si="41"/>
        <v>12850</v>
      </c>
      <c r="L244" s="60">
        <f t="shared" si="41"/>
        <v>20000</v>
      </c>
      <c r="M244" s="60">
        <f t="shared" si="41"/>
        <v>7.0000000000000007E-2</v>
      </c>
      <c r="N244" s="60">
        <f t="shared" si="41"/>
        <v>2851.33</v>
      </c>
      <c r="O244" s="60">
        <f t="shared" si="41"/>
        <v>11330</v>
      </c>
      <c r="P244" s="60">
        <f t="shared" si="41"/>
        <v>5818.6</v>
      </c>
      <c r="Q244" s="112">
        <f t="shared" si="41"/>
        <v>7855.2</v>
      </c>
      <c r="R244" s="112"/>
      <c r="S244" s="112"/>
      <c r="T244" s="112">
        <f t="shared" si="41"/>
        <v>7855.2</v>
      </c>
      <c r="U244" s="112"/>
      <c r="V244" s="60">
        <f>V246</f>
        <v>10000</v>
      </c>
      <c r="W244" s="60">
        <f>W246</f>
        <v>20000</v>
      </c>
      <c r="X244" s="490"/>
      <c r="Y244" s="490"/>
    </row>
    <row r="245" spans="1:25" ht="17.399999999999999" customHeight="1">
      <c r="A245" s="41"/>
      <c r="B245" s="12" t="s">
        <v>10</v>
      </c>
      <c r="C245" s="12"/>
      <c r="D245" s="12"/>
      <c r="E245" s="12"/>
      <c r="F245" s="12"/>
      <c r="G245" s="13"/>
      <c r="H245" s="13"/>
      <c r="I245" s="13"/>
      <c r="J245" s="13"/>
      <c r="K245" s="13"/>
      <c r="L245" s="60"/>
      <c r="M245" s="60"/>
      <c r="N245" s="60"/>
      <c r="O245" s="60"/>
      <c r="P245" s="60"/>
      <c r="Q245" s="112"/>
      <c r="R245" s="112"/>
      <c r="S245" s="112"/>
      <c r="T245" s="112"/>
      <c r="U245" s="112"/>
      <c r="V245" s="60"/>
      <c r="W245" s="60"/>
      <c r="X245" s="490"/>
      <c r="Y245" s="490"/>
    </row>
    <row r="246" spans="1:25" ht="31.5" customHeight="1">
      <c r="A246" s="41"/>
      <c r="B246" s="12" t="s">
        <v>11</v>
      </c>
      <c r="C246" s="12">
        <v>176</v>
      </c>
      <c r="D246" s="12" t="s">
        <v>16</v>
      </c>
      <c r="E246" s="12">
        <v>6100004040</v>
      </c>
      <c r="F246" s="12">
        <v>244</v>
      </c>
      <c r="G246" s="13">
        <f>SUM(H246:K246)</f>
        <v>22639.3</v>
      </c>
      <c r="H246" s="13">
        <v>9639.2999999999993</v>
      </c>
      <c r="I246" s="13"/>
      <c r="J246" s="13">
        <v>150</v>
      </c>
      <c r="K246" s="13">
        <v>12850</v>
      </c>
      <c r="L246" s="60">
        <f>40000-20000</f>
        <v>20000</v>
      </c>
      <c r="M246" s="60">
        <v>7.0000000000000007E-2</v>
      </c>
      <c r="N246" s="60">
        <v>2851.33</v>
      </c>
      <c r="O246" s="60">
        <v>11330</v>
      </c>
      <c r="P246" s="60">
        <v>5818.6</v>
      </c>
      <c r="Q246" s="112">
        <f>T246</f>
        <v>7855.2</v>
      </c>
      <c r="R246" s="112"/>
      <c r="S246" s="112"/>
      <c r="T246" s="112">
        <f>5342.3+3657.7-1144.8</f>
        <v>7855.2</v>
      </c>
      <c r="U246" s="112"/>
      <c r="V246" s="60">
        <v>10000</v>
      </c>
      <c r="W246" s="60">
        <v>20000</v>
      </c>
      <c r="X246" s="490"/>
      <c r="Y246" s="490"/>
    </row>
    <row r="247" spans="1:25" ht="29.25" customHeight="1">
      <c r="A247" s="41"/>
      <c r="B247" s="12" t="s">
        <v>615</v>
      </c>
      <c r="C247" s="12"/>
      <c r="D247" s="12"/>
      <c r="E247" s="12"/>
      <c r="F247" s="12"/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60"/>
      <c r="M247" s="60"/>
      <c r="N247" s="60"/>
      <c r="O247" s="60"/>
      <c r="P247" s="60"/>
      <c r="Q247" s="112"/>
      <c r="R247" s="112"/>
      <c r="S247" s="112"/>
      <c r="T247" s="112"/>
      <c r="U247" s="112"/>
      <c r="V247" s="60"/>
      <c r="W247" s="60"/>
      <c r="X247" s="490"/>
      <c r="Y247" s="490"/>
    </row>
    <row r="248" spans="1:25" ht="33" customHeight="1">
      <c r="A248" s="41"/>
      <c r="B248" s="12" t="s">
        <v>12</v>
      </c>
      <c r="C248" s="12"/>
      <c r="D248" s="12"/>
      <c r="E248" s="12"/>
      <c r="F248" s="12"/>
      <c r="G248" s="42">
        <v>0</v>
      </c>
      <c r="H248" s="42">
        <v>0</v>
      </c>
      <c r="I248" s="42">
        <v>0</v>
      </c>
      <c r="J248" s="42">
        <v>0</v>
      </c>
      <c r="K248" s="42">
        <v>0</v>
      </c>
      <c r="L248" s="60"/>
      <c r="M248" s="60"/>
      <c r="N248" s="60"/>
      <c r="O248" s="60"/>
      <c r="P248" s="60"/>
      <c r="Q248" s="112"/>
      <c r="R248" s="112"/>
      <c r="S248" s="112"/>
      <c r="T248" s="112"/>
      <c r="U248" s="112"/>
      <c r="V248" s="60"/>
      <c r="W248" s="60"/>
      <c r="X248" s="490"/>
      <c r="Y248" s="490"/>
    </row>
    <row r="249" spans="1:25" ht="33.75" customHeight="1">
      <c r="A249" s="50"/>
      <c r="B249" s="12" t="s">
        <v>665</v>
      </c>
      <c r="C249" s="12"/>
      <c r="D249" s="12"/>
      <c r="E249" s="12"/>
      <c r="F249" s="12"/>
      <c r="G249" s="42">
        <v>0</v>
      </c>
      <c r="H249" s="42">
        <v>0</v>
      </c>
      <c r="I249" s="42">
        <v>0</v>
      </c>
      <c r="J249" s="42">
        <v>0</v>
      </c>
      <c r="K249" s="42">
        <v>0</v>
      </c>
      <c r="L249" s="60"/>
      <c r="M249" s="60"/>
      <c r="N249" s="60"/>
      <c r="O249" s="60"/>
      <c r="P249" s="60"/>
      <c r="Q249" s="112"/>
      <c r="R249" s="112"/>
      <c r="S249" s="112"/>
      <c r="T249" s="112"/>
      <c r="U249" s="112"/>
      <c r="V249" s="60"/>
      <c r="W249" s="60"/>
      <c r="X249" s="491"/>
      <c r="Y249" s="491"/>
    </row>
    <row r="250" spans="1:25" ht="19.2" customHeight="1">
      <c r="A250" s="488" t="s">
        <v>232</v>
      </c>
      <c r="B250" s="12" t="s">
        <v>195</v>
      </c>
      <c r="C250" s="12"/>
      <c r="D250" s="12"/>
      <c r="E250" s="12"/>
      <c r="F250" s="12"/>
      <c r="G250" s="42">
        <v>0</v>
      </c>
      <c r="H250" s="42">
        <v>0</v>
      </c>
      <c r="I250" s="42">
        <v>0</v>
      </c>
      <c r="J250" s="42">
        <v>0</v>
      </c>
      <c r="K250" s="42">
        <v>0</v>
      </c>
      <c r="L250" s="60" t="s">
        <v>348</v>
      </c>
      <c r="M250" s="60"/>
      <c r="N250" s="60"/>
      <c r="O250" s="60"/>
      <c r="P250" s="60"/>
      <c r="Q250" s="112" t="s">
        <v>348</v>
      </c>
      <c r="R250" s="112"/>
      <c r="S250" s="112"/>
      <c r="T250" s="112"/>
      <c r="U250" s="112"/>
      <c r="V250" s="60" t="s">
        <v>348</v>
      </c>
      <c r="W250" s="60"/>
      <c r="X250" s="489" t="s">
        <v>27</v>
      </c>
      <c r="Y250" s="489" t="s">
        <v>74</v>
      </c>
    </row>
    <row r="251" spans="1:25" ht="45.75" customHeight="1">
      <c r="A251" s="488"/>
      <c r="B251" s="12" t="s">
        <v>25</v>
      </c>
      <c r="C251" s="12"/>
      <c r="D251" s="12"/>
      <c r="E251" s="12"/>
      <c r="F251" s="12"/>
      <c r="G251" s="42">
        <v>0</v>
      </c>
      <c r="H251" s="42">
        <v>0</v>
      </c>
      <c r="I251" s="42">
        <v>0</v>
      </c>
      <c r="J251" s="42">
        <v>0</v>
      </c>
      <c r="K251" s="42">
        <v>0</v>
      </c>
      <c r="L251" s="60"/>
      <c r="M251" s="60"/>
      <c r="N251" s="60"/>
      <c r="O251" s="60"/>
      <c r="P251" s="60"/>
      <c r="Q251" s="112"/>
      <c r="R251" s="112"/>
      <c r="S251" s="112"/>
      <c r="T251" s="112"/>
      <c r="U251" s="112"/>
      <c r="V251" s="60"/>
      <c r="W251" s="60"/>
      <c r="X251" s="490"/>
      <c r="Y251" s="490"/>
    </row>
    <row r="252" spans="1:25" ht="30" customHeight="1">
      <c r="A252" s="488"/>
      <c r="B252" s="12" t="s">
        <v>26</v>
      </c>
      <c r="C252" s="12">
        <v>176</v>
      </c>
      <c r="D252" s="12" t="s">
        <v>16</v>
      </c>
      <c r="E252" s="12">
        <v>6100004040</v>
      </c>
      <c r="F252" s="12">
        <v>241</v>
      </c>
      <c r="G252" s="13">
        <f t="shared" ref="G252:U252" si="42">G254</f>
        <v>3000</v>
      </c>
      <c r="H252" s="13">
        <f t="shared" si="42"/>
        <v>1035.8</v>
      </c>
      <c r="I252" s="13">
        <f t="shared" si="42"/>
        <v>0</v>
      </c>
      <c r="J252" s="13">
        <f t="shared" si="42"/>
        <v>750</v>
      </c>
      <c r="K252" s="13">
        <f t="shared" si="42"/>
        <v>1214.2</v>
      </c>
      <c r="L252" s="60">
        <f t="shared" si="42"/>
        <v>3000</v>
      </c>
      <c r="M252" s="60">
        <f t="shared" si="42"/>
        <v>690.6</v>
      </c>
      <c r="N252" s="60">
        <f t="shared" si="42"/>
        <v>345.3</v>
      </c>
      <c r="O252" s="60">
        <f t="shared" si="42"/>
        <v>33</v>
      </c>
      <c r="P252" s="60">
        <f t="shared" si="42"/>
        <v>1931.1</v>
      </c>
      <c r="Q252" s="112">
        <f t="shared" si="42"/>
        <v>7750</v>
      </c>
      <c r="R252" s="112"/>
      <c r="S252" s="112"/>
      <c r="T252" s="112"/>
      <c r="U252" s="112">
        <f t="shared" si="42"/>
        <v>7750</v>
      </c>
      <c r="V252" s="60">
        <f>V254</f>
        <v>13000</v>
      </c>
      <c r="W252" s="60">
        <v>3000</v>
      </c>
      <c r="X252" s="490"/>
      <c r="Y252" s="490"/>
    </row>
    <row r="253" spans="1:25" ht="18" customHeight="1">
      <c r="A253" s="488"/>
      <c r="B253" s="12" t="s">
        <v>10</v>
      </c>
      <c r="C253" s="12"/>
      <c r="D253" s="12"/>
      <c r="E253" s="12"/>
      <c r="F253" s="12"/>
      <c r="G253" s="13"/>
      <c r="H253" s="13"/>
      <c r="I253" s="13"/>
      <c r="J253" s="13"/>
      <c r="K253" s="13"/>
      <c r="L253" s="60"/>
      <c r="M253" s="60"/>
      <c r="N253" s="60"/>
      <c r="O253" s="60"/>
      <c r="P253" s="60"/>
      <c r="Q253" s="112"/>
      <c r="R253" s="112"/>
      <c r="S253" s="112"/>
      <c r="T253" s="112"/>
      <c r="U253" s="112"/>
      <c r="V253" s="60"/>
      <c r="W253" s="60"/>
      <c r="X253" s="490"/>
      <c r="Y253" s="490"/>
    </row>
    <row r="254" spans="1:25" ht="32.25" customHeight="1">
      <c r="A254" s="488"/>
      <c r="B254" s="12" t="s">
        <v>11</v>
      </c>
      <c r="C254" s="12">
        <v>176</v>
      </c>
      <c r="D254" s="12" t="s">
        <v>16</v>
      </c>
      <c r="E254" s="12">
        <v>6100004040</v>
      </c>
      <c r="F254" s="12">
        <v>241</v>
      </c>
      <c r="G254" s="13">
        <v>3000</v>
      </c>
      <c r="H254" s="13">
        <v>1035.8</v>
      </c>
      <c r="I254" s="13"/>
      <c r="J254" s="13">
        <v>750</v>
      </c>
      <c r="K254" s="13">
        <v>1214.2</v>
      </c>
      <c r="L254" s="60">
        <v>3000</v>
      </c>
      <c r="M254" s="60">
        <v>690.6</v>
      </c>
      <c r="N254" s="60">
        <v>345.3</v>
      </c>
      <c r="O254" s="60">
        <v>33</v>
      </c>
      <c r="P254" s="60">
        <v>1931.1</v>
      </c>
      <c r="Q254" s="112">
        <f>U254</f>
        <v>7750</v>
      </c>
      <c r="R254" s="112"/>
      <c r="S254" s="112"/>
      <c r="T254" s="112"/>
      <c r="U254" s="112">
        <f>8000-250</f>
        <v>7750</v>
      </c>
      <c r="V254" s="60">
        <v>13000</v>
      </c>
      <c r="W254" s="60">
        <v>3000</v>
      </c>
      <c r="X254" s="490"/>
      <c r="Y254" s="490"/>
    </row>
    <row r="255" spans="1:25" ht="31.5" customHeight="1">
      <c r="A255" s="488"/>
      <c r="B255" s="12" t="s">
        <v>615</v>
      </c>
      <c r="C255" s="12"/>
      <c r="D255" s="12"/>
      <c r="E255" s="12"/>
      <c r="F255" s="12"/>
      <c r="G255" s="42">
        <v>0</v>
      </c>
      <c r="H255" s="42">
        <v>0</v>
      </c>
      <c r="I255" s="42">
        <v>0</v>
      </c>
      <c r="J255" s="42">
        <v>0</v>
      </c>
      <c r="K255" s="42">
        <v>0</v>
      </c>
      <c r="L255" s="60"/>
      <c r="M255" s="60"/>
      <c r="N255" s="60"/>
      <c r="O255" s="60"/>
      <c r="P255" s="60"/>
      <c r="Q255" s="112"/>
      <c r="R255" s="112"/>
      <c r="S255" s="112"/>
      <c r="T255" s="112"/>
      <c r="U255" s="112"/>
      <c r="V255" s="60"/>
      <c r="W255" s="60"/>
      <c r="X255" s="490"/>
      <c r="Y255" s="490"/>
    </row>
    <row r="256" spans="1:25" ht="35.25" customHeight="1">
      <c r="A256" s="488"/>
      <c r="B256" s="12" t="s">
        <v>614</v>
      </c>
      <c r="C256" s="12"/>
      <c r="D256" s="12"/>
      <c r="E256" s="12"/>
      <c r="F256" s="12"/>
      <c r="G256" s="42">
        <v>0</v>
      </c>
      <c r="H256" s="42">
        <v>0</v>
      </c>
      <c r="I256" s="42">
        <v>0</v>
      </c>
      <c r="J256" s="42">
        <v>0</v>
      </c>
      <c r="K256" s="42">
        <v>0</v>
      </c>
      <c r="L256" s="60"/>
      <c r="M256" s="60"/>
      <c r="N256" s="60"/>
      <c r="O256" s="60"/>
      <c r="P256" s="60"/>
      <c r="Q256" s="112"/>
      <c r="R256" s="112"/>
      <c r="S256" s="112"/>
      <c r="T256" s="112"/>
      <c r="U256" s="112"/>
      <c r="V256" s="60"/>
      <c r="W256" s="60"/>
      <c r="X256" s="490"/>
      <c r="Y256" s="490"/>
    </row>
    <row r="257" spans="1:25" ht="63" customHeight="1">
      <c r="A257" s="488"/>
      <c r="B257" s="12" t="s">
        <v>665</v>
      </c>
      <c r="C257" s="12"/>
      <c r="D257" s="12"/>
      <c r="E257" s="12"/>
      <c r="F257" s="12"/>
      <c r="G257" s="42">
        <v>0</v>
      </c>
      <c r="H257" s="42">
        <v>0</v>
      </c>
      <c r="I257" s="42">
        <v>0</v>
      </c>
      <c r="J257" s="42">
        <v>0</v>
      </c>
      <c r="K257" s="42">
        <v>0</v>
      </c>
      <c r="L257" s="60"/>
      <c r="M257" s="60"/>
      <c r="N257" s="60"/>
      <c r="O257" s="60"/>
      <c r="P257" s="60"/>
      <c r="Q257" s="112"/>
      <c r="R257" s="112"/>
      <c r="S257" s="112"/>
      <c r="T257" s="112"/>
      <c r="U257" s="112"/>
      <c r="V257" s="60"/>
      <c r="W257" s="60"/>
      <c r="X257" s="491"/>
      <c r="Y257" s="491"/>
    </row>
    <row r="258" spans="1:25" ht="18.75" customHeight="1">
      <c r="A258" s="501" t="s">
        <v>233</v>
      </c>
      <c r="B258" s="12" t="s">
        <v>195</v>
      </c>
      <c r="C258" s="12"/>
      <c r="D258" s="12"/>
      <c r="E258" s="12"/>
      <c r="F258" s="12"/>
      <c r="G258" s="42">
        <v>0</v>
      </c>
      <c r="H258" s="42">
        <v>0</v>
      </c>
      <c r="I258" s="42">
        <v>0</v>
      </c>
      <c r="J258" s="42">
        <v>0</v>
      </c>
      <c r="K258" s="42">
        <v>0</v>
      </c>
      <c r="L258" s="60" t="s">
        <v>348</v>
      </c>
      <c r="M258" s="60"/>
      <c r="N258" s="60"/>
      <c r="O258" s="60"/>
      <c r="P258" s="60"/>
      <c r="Q258" s="112" t="s">
        <v>348</v>
      </c>
      <c r="R258" s="112"/>
      <c r="S258" s="112"/>
      <c r="T258" s="112"/>
      <c r="U258" s="112"/>
      <c r="V258" s="60" t="s">
        <v>348</v>
      </c>
      <c r="W258" s="60"/>
      <c r="X258" s="489" t="s">
        <v>27</v>
      </c>
      <c r="Y258" s="489" t="s">
        <v>285</v>
      </c>
    </row>
    <row r="259" spans="1:25" ht="40.5" customHeight="1">
      <c r="A259" s="502"/>
      <c r="B259" s="12" t="s">
        <v>25</v>
      </c>
      <c r="C259" s="12"/>
      <c r="D259" s="12"/>
      <c r="E259" s="12"/>
      <c r="F259" s="12"/>
      <c r="G259" s="42">
        <v>0</v>
      </c>
      <c r="H259" s="42">
        <v>0</v>
      </c>
      <c r="I259" s="42">
        <v>0</v>
      </c>
      <c r="J259" s="42">
        <v>0</v>
      </c>
      <c r="K259" s="42">
        <v>0</v>
      </c>
      <c r="L259" s="60"/>
      <c r="M259" s="60"/>
      <c r="N259" s="60"/>
      <c r="O259" s="60"/>
      <c r="P259" s="60"/>
      <c r="Q259" s="112"/>
      <c r="R259" s="112"/>
      <c r="S259" s="112"/>
      <c r="T259" s="112"/>
      <c r="U259" s="112"/>
      <c r="V259" s="60"/>
      <c r="W259" s="60"/>
      <c r="X259" s="490"/>
      <c r="Y259" s="490"/>
    </row>
    <row r="260" spans="1:25" ht="38.25" customHeight="1">
      <c r="A260" s="502"/>
      <c r="B260" s="12" t="s">
        <v>26</v>
      </c>
      <c r="C260" s="12">
        <v>176</v>
      </c>
      <c r="D260" s="12" t="s">
        <v>16</v>
      </c>
      <c r="E260" s="12">
        <v>6100004040</v>
      </c>
      <c r="F260" s="12">
        <v>244</v>
      </c>
      <c r="G260" s="13">
        <f t="shared" ref="G260:U260" si="43">G262</f>
        <v>168484.3</v>
      </c>
      <c r="H260" s="13">
        <f t="shared" si="43"/>
        <v>109929.1</v>
      </c>
      <c r="I260" s="13">
        <f t="shared" si="43"/>
        <v>42072.010999999999</v>
      </c>
      <c r="J260" s="13">
        <f t="shared" si="43"/>
        <v>0</v>
      </c>
      <c r="K260" s="13">
        <f t="shared" si="43"/>
        <v>16483.188999999998</v>
      </c>
      <c r="L260" s="60">
        <f t="shared" si="43"/>
        <v>103238.5</v>
      </c>
      <c r="M260" s="60">
        <f t="shared" si="43"/>
        <v>19369.48</v>
      </c>
      <c r="N260" s="60">
        <f t="shared" si="43"/>
        <v>78791.08</v>
      </c>
      <c r="O260" s="60">
        <f t="shared" si="43"/>
        <v>3256.8220000000001</v>
      </c>
      <c r="P260" s="60">
        <f t="shared" si="43"/>
        <v>1821.1</v>
      </c>
      <c r="Q260" s="112">
        <f t="shared" si="43"/>
        <v>107600</v>
      </c>
      <c r="R260" s="112">
        <f t="shared" si="43"/>
        <v>1488.54</v>
      </c>
      <c r="S260" s="112">
        <f t="shared" si="43"/>
        <v>25116.799999999999</v>
      </c>
      <c r="T260" s="112">
        <f t="shared" si="43"/>
        <v>29737.24</v>
      </c>
      <c r="U260" s="112">
        <f t="shared" si="43"/>
        <v>51257.42</v>
      </c>
      <c r="V260" s="60">
        <f>V262</f>
        <v>100000</v>
      </c>
      <c r="W260" s="60">
        <f>W262</f>
        <v>96658.6</v>
      </c>
      <c r="X260" s="490"/>
      <c r="Y260" s="490"/>
    </row>
    <row r="261" spans="1:25" ht="14.4" customHeight="1">
      <c r="A261" s="502"/>
      <c r="B261" s="12" t="s">
        <v>10</v>
      </c>
      <c r="C261" s="12"/>
      <c r="D261" s="12"/>
      <c r="E261" s="12"/>
      <c r="F261" s="12"/>
      <c r="G261" s="13"/>
      <c r="H261" s="13"/>
      <c r="I261" s="13"/>
      <c r="J261" s="13"/>
      <c r="K261" s="13"/>
      <c r="L261" s="60"/>
      <c r="M261" s="60"/>
      <c r="N261" s="60"/>
      <c r="O261" s="60"/>
      <c r="P261" s="60"/>
      <c r="Q261" s="112"/>
      <c r="R261" s="112"/>
      <c r="S261" s="112"/>
      <c r="T261" s="112"/>
      <c r="U261" s="112"/>
      <c r="V261" s="60"/>
      <c r="W261" s="60"/>
      <c r="X261" s="490"/>
      <c r="Y261" s="490"/>
    </row>
    <row r="262" spans="1:25" ht="34.5" customHeight="1">
      <c r="A262" s="502"/>
      <c r="B262" s="12" t="s">
        <v>11</v>
      </c>
      <c r="C262" s="12">
        <v>176</v>
      </c>
      <c r="D262" s="12" t="s">
        <v>16</v>
      </c>
      <c r="E262" s="12">
        <v>6100004040</v>
      </c>
      <c r="F262" s="12">
        <v>244</v>
      </c>
      <c r="G262" s="13">
        <f>SUM(H262:K262)</f>
        <v>168484.3</v>
      </c>
      <c r="H262" s="13">
        <v>109929.1</v>
      </c>
      <c r="I262" s="13">
        <v>42072.010999999999</v>
      </c>
      <c r="J262" s="13">
        <v>0</v>
      </c>
      <c r="K262" s="13">
        <v>16483.188999999998</v>
      </c>
      <c r="L262" s="60">
        <f>179180.3-10000-11893.8-33596-20452</f>
        <v>103238.5</v>
      </c>
      <c r="M262" s="60">
        <v>19369.48</v>
      </c>
      <c r="N262" s="60">
        <v>78791.08</v>
      </c>
      <c r="O262" s="60">
        <v>3256.8220000000001</v>
      </c>
      <c r="P262" s="60">
        <v>1821.1</v>
      </c>
      <c r="Q262" s="112">
        <f>R262+S262+T262+U262</f>
        <v>107600</v>
      </c>
      <c r="R262" s="112">
        <v>1488.54</v>
      </c>
      <c r="S262" s="112">
        <v>25116.799999999999</v>
      </c>
      <c r="T262" s="112">
        <v>29737.24</v>
      </c>
      <c r="U262" s="112">
        <f>53657.42-2400</f>
        <v>51257.42</v>
      </c>
      <c r="V262" s="60">
        <v>100000</v>
      </c>
      <c r="W262" s="60">
        <v>96658.6</v>
      </c>
      <c r="X262" s="490"/>
      <c r="Y262" s="490"/>
    </row>
    <row r="263" spans="1:25" ht="30" customHeight="1">
      <c r="A263" s="41"/>
      <c r="B263" s="12" t="s">
        <v>615</v>
      </c>
      <c r="C263" s="12"/>
      <c r="D263" s="12"/>
      <c r="E263" s="12"/>
      <c r="F263" s="12"/>
      <c r="G263" s="42">
        <v>0</v>
      </c>
      <c r="H263" s="42">
        <v>0</v>
      </c>
      <c r="I263" s="42">
        <v>0</v>
      </c>
      <c r="J263" s="42">
        <v>0</v>
      </c>
      <c r="K263" s="42">
        <v>0</v>
      </c>
      <c r="L263" s="60"/>
      <c r="M263" s="60"/>
      <c r="N263" s="60"/>
      <c r="O263" s="60"/>
      <c r="P263" s="60"/>
      <c r="Q263" s="112"/>
      <c r="R263" s="112"/>
      <c r="S263" s="112"/>
      <c r="T263" s="112"/>
      <c r="U263" s="112"/>
      <c r="V263" s="60"/>
      <c r="W263" s="60"/>
      <c r="X263" s="38"/>
      <c r="Y263" s="490"/>
    </row>
    <row r="264" spans="1:25" ht="33.75" customHeight="1">
      <c r="A264" s="41"/>
      <c r="B264" s="12" t="s">
        <v>614</v>
      </c>
      <c r="C264" s="12"/>
      <c r="D264" s="12"/>
      <c r="E264" s="12"/>
      <c r="F264" s="12"/>
      <c r="G264" s="42">
        <v>0</v>
      </c>
      <c r="H264" s="42">
        <v>0</v>
      </c>
      <c r="I264" s="42">
        <v>0</v>
      </c>
      <c r="J264" s="42">
        <v>0</v>
      </c>
      <c r="K264" s="42">
        <v>0</v>
      </c>
      <c r="L264" s="60"/>
      <c r="M264" s="60"/>
      <c r="N264" s="60"/>
      <c r="O264" s="60"/>
      <c r="P264" s="60"/>
      <c r="Q264" s="112"/>
      <c r="R264" s="112"/>
      <c r="S264" s="112"/>
      <c r="T264" s="112"/>
      <c r="U264" s="112"/>
      <c r="V264" s="60"/>
      <c r="W264" s="60"/>
      <c r="X264" s="38"/>
      <c r="Y264" s="490"/>
    </row>
    <row r="265" spans="1:25" ht="36.6" customHeight="1">
      <c r="A265" s="50"/>
      <c r="B265" s="12" t="s">
        <v>665</v>
      </c>
      <c r="C265" s="12"/>
      <c r="D265" s="12"/>
      <c r="E265" s="12"/>
      <c r="F265" s="12"/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60"/>
      <c r="M265" s="60"/>
      <c r="N265" s="60"/>
      <c r="O265" s="60"/>
      <c r="P265" s="60"/>
      <c r="Q265" s="112"/>
      <c r="R265" s="112"/>
      <c r="S265" s="112"/>
      <c r="T265" s="112"/>
      <c r="U265" s="112"/>
      <c r="V265" s="60"/>
      <c r="W265" s="60"/>
      <c r="X265" s="49"/>
      <c r="Y265" s="491"/>
    </row>
    <row r="266" spans="1:25" ht="27" customHeight="1">
      <c r="A266" s="501" t="s">
        <v>234</v>
      </c>
      <c r="B266" s="12" t="s">
        <v>93</v>
      </c>
      <c r="C266" s="12"/>
      <c r="D266" s="12"/>
      <c r="E266" s="12"/>
      <c r="F266" s="12"/>
      <c r="G266" s="42">
        <v>0</v>
      </c>
      <c r="H266" s="42">
        <v>0</v>
      </c>
      <c r="I266" s="42">
        <v>0</v>
      </c>
      <c r="J266" s="42">
        <v>0</v>
      </c>
      <c r="K266" s="42">
        <v>0</v>
      </c>
      <c r="L266" s="60" t="s">
        <v>348</v>
      </c>
      <c r="M266" s="60"/>
      <c r="N266" s="60"/>
      <c r="O266" s="60"/>
      <c r="P266" s="60"/>
      <c r="Q266" s="112">
        <v>107.34194490411757</v>
      </c>
      <c r="R266" s="112"/>
      <c r="S266" s="112"/>
      <c r="T266" s="112"/>
      <c r="U266" s="112"/>
      <c r="V266" s="60">
        <v>53.6</v>
      </c>
      <c r="W266" s="60">
        <v>86.9</v>
      </c>
      <c r="X266" s="489" t="s">
        <v>27</v>
      </c>
      <c r="Y266" s="489" t="s">
        <v>212</v>
      </c>
    </row>
    <row r="267" spans="1:25" ht="43.5" customHeight="1">
      <c r="A267" s="502"/>
      <c r="B267" s="12" t="s">
        <v>25</v>
      </c>
      <c r="C267" s="12"/>
      <c r="D267" s="12"/>
      <c r="E267" s="12"/>
      <c r="F267" s="12"/>
      <c r="G267" s="42">
        <v>0</v>
      </c>
      <c r="H267" s="42">
        <v>0</v>
      </c>
      <c r="I267" s="42">
        <v>0</v>
      </c>
      <c r="J267" s="42">
        <v>0</v>
      </c>
      <c r="K267" s="42">
        <v>0</v>
      </c>
      <c r="L267" s="60"/>
      <c r="M267" s="60"/>
      <c r="N267" s="60"/>
      <c r="O267" s="60"/>
      <c r="P267" s="60"/>
      <c r="Q267" s="112">
        <f>Q268/Q266</f>
        <v>6262.7438006688535</v>
      </c>
      <c r="R267" s="112"/>
      <c r="S267" s="112"/>
      <c r="T267" s="112"/>
      <c r="U267" s="112"/>
      <c r="V267" s="112">
        <f t="shared" ref="V267:W267" si="44">V268/V266</f>
        <v>6658.4347014925379</v>
      </c>
      <c r="W267" s="112">
        <f t="shared" si="44"/>
        <v>6667.8400460299181</v>
      </c>
      <c r="X267" s="490"/>
      <c r="Y267" s="490"/>
    </row>
    <row r="268" spans="1:25" ht="33.75" customHeight="1">
      <c r="A268" s="41"/>
      <c r="B268" s="12" t="s">
        <v>26</v>
      </c>
      <c r="C268" s="12">
        <v>176</v>
      </c>
      <c r="D268" s="12" t="s">
        <v>16</v>
      </c>
      <c r="E268" s="12">
        <v>6100004040</v>
      </c>
      <c r="F268" s="12">
        <v>244</v>
      </c>
      <c r="G268" s="13">
        <f t="shared" ref="G268:U268" si="45">G270</f>
        <v>471538.50000000006</v>
      </c>
      <c r="H268" s="13">
        <f t="shared" si="45"/>
        <v>98825.3</v>
      </c>
      <c r="I268" s="13">
        <f t="shared" si="45"/>
        <v>186244.05599999995</v>
      </c>
      <c r="J268" s="13">
        <f t="shared" si="45"/>
        <v>93862.900000000023</v>
      </c>
      <c r="K268" s="13">
        <f t="shared" si="45"/>
        <v>92606.299999999974</v>
      </c>
      <c r="L268" s="60">
        <f t="shared" si="45"/>
        <v>613669.1</v>
      </c>
      <c r="M268" s="60">
        <f t="shared" si="45"/>
        <v>274168.0493502465</v>
      </c>
      <c r="N268" s="60">
        <f t="shared" si="45"/>
        <v>70347.058700493129</v>
      </c>
      <c r="O268" s="60">
        <f t="shared" si="45"/>
        <v>152928.4</v>
      </c>
      <c r="P268" s="60">
        <f t="shared" si="45"/>
        <v>116225.60519802752</v>
      </c>
      <c r="Q268" s="112">
        <f t="shared" si="45"/>
        <v>672255.1</v>
      </c>
      <c r="R268" s="112">
        <f t="shared" si="45"/>
        <v>17449.885999999999</v>
      </c>
      <c r="S268" s="112">
        <f t="shared" si="45"/>
        <v>223915.712</v>
      </c>
      <c r="T268" s="112">
        <f t="shared" si="45"/>
        <v>271352.25199999998</v>
      </c>
      <c r="U268" s="112">
        <f t="shared" si="45"/>
        <v>159537.24999999994</v>
      </c>
      <c r="V268" s="60">
        <f>V270</f>
        <v>356892.10000000003</v>
      </c>
      <c r="W268" s="60">
        <f>W270</f>
        <v>579435.29999999993</v>
      </c>
      <c r="X268" s="490"/>
      <c r="Y268" s="490"/>
    </row>
    <row r="269" spans="1:25">
      <c r="A269" s="41"/>
      <c r="B269" s="12" t="s">
        <v>10</v>
      </c>
      <c r="C269" s="12"/>
      <c r="D269" s="12"/>
      <c r="E269" s="12"/>
      <c r="F269" s="12"/>
      <c r="G269" s="13"/>
      <c r="H269" s="13"/>
      <c r="I269" s="13"/>
      <c r="J269" s="13"/>
      <c r="K269" s="13"/>
      <c r="L269" s="60"/>
      <c r="M269" s="60"/>
      <c r="N269" s="60"/>
      <c r="O269" s="60"/>
      <c r="P269" s="60"/>
      <c r="Q269" s="112"/>
      <c r="R269" s="112"/>
      <c r="S269" s="112"/>
      <c r="T269" s="112"/>
      <c r="U269" s="112"/>
      <c r="V269" s="60"/>
      <c r="W269" s="60"/>
      <c r="X269" s="490"/>
      <c r="Y269" s="490"/>
    </row>
    <row r="270" spans="1:25" ht="36.75" customHeight="1">
      <c r="A270" s="41"/>
      <c r="B270" s="12" t="s">
        <v>11</v>
      </c>
      <c r="C270" s="12">
        <v>176</v>
      </c>
      <c r="D270" s="12" t="s">
        <v>16</v>
      </c>
      <c r="E270" s="12">
        <v>6100004040</v>
      </c>
      <c r="F270" s="12">
        <v>244</v>
      </c>
      <c r="G270" s="13">
        <f>SUM(G275:G305)</f>
        <v>471538.50000000006</v>
      </c>
      <c r="H270" s="13">
        <f>SUM(H275:H305)</f>
        <v>98825.3</v>
      </c>
      <c r="I270" s="13">
        <f t="shared" ref="I270:W270" si="46">SUM(I275:I304)</f>
        <v>186244.05599999995</v>
      </c>
      <c r="J270" s="13">
        <f t="shared" si="46"/>
        <v>93862.900000000023</v>
      </c>
      <c r="K270" s="13">
        <f t="shared" si="46"/>
        <v>92606.299999999974</v>
      </c>
      <c r="L270" s="60">
        <f>SUM(L275:L305)</f>
        <v>613669.1</v>
      </c>
      <c r="M270" s="60">
        <f>SUM(M275:M305)</f>
        <v>274168.0493502465</v>
      </c>
      <c r="N270" s="60">
        <f t="shared" si="46"/>
        <v>70347.058700493129</v>
      </c>
      <c r="O270" s="60">
        <f t="shared" si="46"/>
        <v>152928.4</v>
      </c>
      <c r="P270" s="60">
        <f t="shared" si="46"/>
        <v>116225.60519802752</v>
      </c>
      <c r="Q270" s="112">
        <f>SUM(Q275:Q305)</f>
        <v>672255.1</v>
      </c>
      <c r="R270" s="112">
        <v>17449.885999999999</v>
      </c>
      <c r="S270" s="112">
        <v>223915.712</v>
      </c>
      <c r="T270" s="112">
        <v>271352.25199999998</v>
      </c>
      <c r="U270" s="112">
        <f>Q270-R270-S270-T270</f>
        <v>159537.24999999994</v>
      </c>
      <c r="V270" s="60">
        <f t="shared" si="46"/>
        <v>356892.10000000003</v>
      </c>
      <c r="W270" s="60">
        <f t="shared" si="46"/>
        <v>579435.29999999993</v>
      </c>
      <c r="X270" s="490"/>
      <c r="Y270" s="490"/>
    </row>
    <row r="271" spans="1:25" ht="33.75" customHeight="1">
      <c r="A271" s="41"/>
      <c r="B271" s="12" t="s">
        <v>615</v>
      </c>
      <c r="C271" s="12"/>
      <c r="D271" s="12"/>
      <c r="E271" s="12"/>
      <c r="F271" s="12"/>
      <c r="G271" s="42">
        <v>0</v>
      </c>
      <c r="H271" s="42">
        <v>0</v>
      </c>
      <c r="I271" s="42">
        <v>0</v>
      </c>
      <c r="J271" s="42">
        <v>0</v>
      </c>
      <c r="K271" s="42">
        <v>0</v>
      </c>
      <c r="L271" s="60"/>
      <c r="M271" s="60"/>
      <c r="N271" s="60"/>
      <c r="O271" s="60"/>
      <c r="P271" s="60"/>
      <c r="Q271" s="112"/>
      <c r="R271" s="112"/>
      <c r="S271" s="112"/>
      <c r="T271" s="112"/>
      <c r="U271" s="112"/>
      <c r="V271" s="60"/>
      <c r="W271" s="60"/>
      <c r="X271" s="490"/>
      <c r="Y271" s="490"/>
    </row>
    <row r="272" spans="1:25" ht="36.75" customHeight="1">
      <c r="A272" s="41"/>
      <c r="B272" s="12" t="s">
        <v>614</v>
      </c>
      <c r="C272" s="12"/>
      <c r="D272" s="12"/>
      <c r="E272" s="12"/>
      <c r="F272" s="12"/>
      <c r="G272" s="42">
        <v>0</v>
      </c>
      <c r="H272" s="42">
        <v>0</v>
      </c>
      <c r="I272" s="42">
        <v>0</v>
      </c>
      <c r="J272" s="42">
        <v>0</v>
      </c>
      <c r="K272" s="42">
        <v>0</v>
      </c>
      <c r="L272" s="60"/>
      <c r="M272" s="60"/>
      <c r="N272" s="60"/>
      <c r="O272" s="60"/>
      <c r="P272" s="60"/>
      <c r="Q272" s="112"/>
      <c r="R272" s="112"/>
      <c r="S272" s="112"/>
      <c r="T272" s="112"/>
      <c r="U272" s="112"/>
      <c r="V272" s="60"/>
      <c r="W272" s="60"/>
      <c r="X272" s="490"/>
      <c r="Y272" s="490"/>
    </row>
    <row r="273" spans="1:28" ht="33" customHeight="1">
      <c r="A273" s="50"/>
      <c r="B273" s="12" t="s">
        <v>665</v>
      </c>
      <c r="C273" s="12"/>
      <c r="D273" s="12"/>
      <c r="E273" s="12"/>
      <c r="F273" s="12"/>
      <c r="G273" s="42">
        <v>0</v>
      </c>
      <c r="H273" s="42">
        <v>0</v>
      </c>
      <c r="I273" s="42">
        <v>0</v>
      </c>
      <c r="J273" s="42">
        <v>0</v>
      </c>
      <c r="K273" s="42">
        <v>0</v>
      </c>
      <c r="L273" s="60"/>
      <c r="M273" s="60"/>
      <c r="N273" s="60"/>
      <c r="O273" s="60"/>
      <c r="P273" s="60"/>
      <c r="Q273" s="112"/>
      <c r="R273" s="112"/>
      <c r="S273" s="112"/>
      <c r="T273" s="112"/>
      <c r="U273" s="112"/>
      <c r="V273" s="60"/>
      <c r="W273" s="60"/>
      <c r="X273" s="491"/>
      <c r="Y273" s="491"/>
    </row>
    <row r="274" spans="1:28">
      <c r="A274" s="30" t="s">
        <v>42</v>
      </c>
      <c r="B274" s="63"/>
      <c r="C274" s="63"/>
      <c r="D274" s="63"/>
      <c r="E274" s="63"/>
      <c r="F274" s="63"/>
      <c r="G274" s="31"/>
      <c r="H274" s="31"/>
      <c r="I274" s="31"/>
      <c r="J274" s="31"/>
      <c r="K274" s="31"/>
      <c r="L274" s="87"/>
      <c r="M274" s="87"/>
      <c r="N274" s="87"/>
      <c r="O274" s="87"/>
      <c r="P274" s="87"/>
      <c r="Q274" s="113"/>
      <c r="R274" s="113"/>
      <c r="S274" s="113"/>
      <c r="T274" s="113"/>
      <c r="U274" s="113"/>
      <c r="V274" s="87"/>
      <c r="W274" s="87"/>
      <c r="X274" s="63"/>
      <c r="Y274" s="63"/>
    </row>
    <row r="275" spans="1:28">
      <c r="A275" s="22" t="s">
        <v>43</v>
      </c>
      <c r="B275" s="63" t="s">
        <v>34</v>
      </c>
      <c r="C275" s="63">
        <v>176</v>
      </c>
      <c r="D275" s="63" t="s">
        <v>16</v>
      </c>
      <c r="E275" s="63">
        <v>6100004040</v>
      </c>
      <c r="F275" s="63">
        <v>244</v>
      </c>
      <c r="G275" s="10">
        <v>10108.200000000001</v>
      </c>
      <c r="H275" s="10">
        <f>G275*32659.8/405373</f>
        <v>814.39017980970618</v>
      </c>
      <c r="I275" s="10">
        <f>G275*186244.056/405373</f>
        <v>4644.0985631978456</v>
      </c>
      <c r="J275" s="10">
        <f>G275*93862.9/405373</f>
        <v>2340.5233347558915</v>
      </c>
      <c r="K275" s="10">
        <f>G275*92606.3/405373</f>
        <v>2309.1893186275356</v>
      </c>
      <c r="L275" s="108">
        <f>214+6003.8+2760.65</f>
        <v>8978.4500000000007</v>
      </c>
      <c r="M275" s="89">
        <f>L275*205462.55/461713.6</f>
        <v>3995.410211108142</v>
      </c>
      <c r="N275" s="89">
        <f>L275*53097.06/461713.6</f>
        <v>1032.5216722162829</v>
      </c>
      <c r="O275" s="89">
        <f>L275*115428.4/461713.6</f>
        <v>2244.6125000000002</v>
      </c>
      <c r="P275" s="89">
        <f>L275*87725.6/461713.6</f>
        <v>1705.9058111348684</v>
      </c>
      <c r="Q275" s="113">
        <v>8425.1</v>
      </c>
      <c r="R275" s="113">
        <f>Q275*$Z$307/$Z$305</f>
        <v>190.09020559254671</v>
      </c>
      <c r="S275" s="113">
        <f>Q275*$S$270/$Z$305</f>
        <v>2816.0253492448805</v>
      </c>
      <c r="T275" s="113">
        <f>Q275*$T$270/$Z$305</f>
        <v>3412.6002743687982</v>
      </c>
      <c r="U275" s="113">
        <f>Q275*$U$270/$Z$305</f>
        <v>2006.3841707937747</v>
      </c>
      <c r="V275" s="87">
        <v>6510</v>
      </c>
      <c r="W275" s="87">
        <v>15012</v>
      </c>
      <c r="X275" s="63"/>
      <c r="Y275" s="63"/>
    </row>
    <row r="276" spans="1:28">
      <c r="A276" s="22" t="s">
        <v>44</v>
      </c>
      <c r="B276" s="63" t="s">
        <v>34</v>
      </c>
      <c r="C276" s="63">
        <v>176</v>
      </c>
      <c r="D276" s="63" t="s">
        <v>16</v>
      </c>
      <c r="E276" s="63">
        <v>6100004040</v>
      </c>
      <c r="F276" s="63">
        <v>244</v>
      </c>
      <c r="G276" s="10">
        <v>4909.7</v>
      </c>
      <c r="H276" s="10">
        <f t="shared" ref="H276:H304" si="47">G276*32659.8/405373</f>
        <v>395.56117467122874</v>
      </c>
      <c r="I276" s="10">
        <f t="shared" ref="I276:I304" si="48">G276*186244.056/405373</f>
        <v>2255.7063290924657</v>
      </c>
      <c r="J276" s="10">
        <f t="shared" ref="J276:J304" si="49">G276*93862.9/405373</f>
        <v>1136.8262813014185</v>
      </c>
      <c r="K276" s="10">
        <f t="shared" ref="K276:K304" si="50">G276*92606.3/405373</f>
        <v>1121.6068931823283</v>
      </c>
      <c r="L276" s="108">
        <f>267.5+9327.5+5521.09</f>
        <v>15116.09</v>
      </c>
      <c r="M276" s="89">
        <f t="shared" ref="M276:M304" si="51">L276*205462.55/461713.6</f>
        <v>6726.6599845217897</v>
      </c>
      <c r="N276" s="89">
        <f t="shared" ref="N276:N304" si="52">L276*53097.06/461713.6</f>
        <v>1738.3502190435804</v>
      </c>
      <c r="O276" s="89">
        <f t="shared" ref="O276:O304" si="53">L276*115428.4/461713.6</f>
        <v>3779.0225</v>
      </c>
      <c r="P276" s="89">
        <f t="shared" ref="P276:P304" si="54">L276*87725.6/461713.6</f>
        <v>2872.057623825679</v>
      </c>
      <c r="Q276" s="113">
        <v>10118.6</v>
      </c>
      <c r="R276" s="113">
        <f t="shared" ref="R276:R304" si="55">Q276*$Z$307/$Z$305</f>
        <v>228.29957559064499</v>
      </c>
      <c r="S276" s="113">
        <f t="shared" ref="S276:S304" si="56">Q276*$S$270/$Z$305</f>
        <v>3382.0647943489394</v>
      </c>
      <c r="T276" s="113">
        <f t="shared" ref="T276:T304" si="57">Q276*$T$270/$Z$305</f>
        <v>4098.555166850022</v>
      </c>
      <c r="U276" s="113">
        <f t="shared" ref="U276:U304" si="58">Q276*$U$270/$Z$305</f>
        <v>2409.6804632103936</v>
      </c>
      <c r="V276" s="87">
        <v>9000</v>
      </c>
      <c r="W276" s="87">
        <v>15042</v>
      </c>
      <c r="X276" s="63"/>
      <c r="Y276" s="63"/>
    </row>
    <row r="277" spans="1:28">
      <c r="A277" s="22" t="s">
        <v>45</v>
      </c>
      <c r="B277" s="63" t="s">
        <v>34</v>
      </c>
      <c r="C277" s="63">
        <v>176</v>
      </c>
      <c r="D277" s="63" t="s">
        <v>16</v>
      </c>
      <c r="E277" s="63">
        <v>6100004040</v>
      </c>
      <c r="F277" s="63">
        <v>244</v>
      </c>
      <c r="G277" s="10">
        <v>11100.1</v>
      </c>
      <c r="H277" s="10">
        <f t="shared" si="47"/>
        <v>894.30486485286394</v>
      </c>
      <c r="I277" s="10">
        <f t="shared" si="48"/>
        <v>5099.8158387598587</v>
      </c>
      <c r="J277" s="10">
        <f t="shared" si="49"/>
        <v>2570.1947990862736</v>
      </c>
      <c r="K277" s="10">
        <f t="shared" si="50"/>
        <v>2535.7860307173892</v>
      </c>
      <c r="L277" s="108">
        <f>2889+8000+12000</f>
        <v>22889</v>
      </c>
      <c r="M277" s="89">
        <f t="shared" si="51"/>
        <v>10185.604900851957</v>
      </c>
      <c r="N277" s="89">
        <f t="shared" si="52"/>
        <v>2632.2348017039135</v>
      </c>
      <c r="O277" s="89">
        <f t="shared" si="53"/>
        <v>5722.25</v>
      </c>
      <c r="P277" s="89">
        <f t="shared" si="54"/>
        <v>4348.9107931843464</v>
      </c>
      <c r="Q277" s="113">
        <v>42575.3</v>
      </c>
      <c r="R277" s="113">
        <f t="shared" si="55"/>
        <v>960.59958103338272</v>
      </c>
      <c r="S277" s="113">
        <f t="shared" si="56"/>
        <v>14230.468961995175</v>
      </c>
      <c r="T277" s="113">
        <f t="shared" si="57"/>
        <v>17245.193583617274</v>
      </c>
      <c r="U277" s="113">
        <f t="shared" si="58"/>
        <v>10139.037873354167</v>
      </c>
      <c r="V277" s="87">
        <v>8000</v>
      </c>
      <c r="W277" s="87">
        <v>10294</v>
      </c>
      <c r="X277" s="63"/>
      <c r="Y277" s="63"/>
    </row>
    <row r="278" spans="1:28">
      <c r="A278" s="22" t="s">
        <v>46</v>
      </c>
      <c r="B278" s="63" t="s">
        <v>34</v>
      </c>
      <c r="C278" s="63">
        <v>176</v>
      </c>
      <c r="D278" s="63" t="s">
        <v>16</v>
      </c>
      <c r="E278" s="63">
        <v>6100004040</v>
      </c>
      <c r="F278" s="63">
        <v>244</v>
      </c>
      <c r="G278" s="10">
        <v>6324.2</v>
      </c>
      <c r="H278" s="10">
        <f t="shared" si="47"/>
        <v>509.5235922471403</v>
      </c>
      <c r="I278" s="10">
        <f t="shared" si="48"/>
        <v>2905.5824116435974</v>
      </c>
      <c r="J278" s="10">
        <f t="shared" si="49"/>
        <v>1464.3495057144901</v>
      </c>
      <c r="K278" s="10">
        <f t="shared" si="50"/>
        <v>1444.745364047433</v>
      </c>
      <c r="L278" s="108">
        <f>1605+6510+7500</f>
        <v>15615</v>
      </c>
      <c r="M278" s="89">
        <f t="shared" si="51"/>
        <v>6948.6749323606673</v>
      </c>
      <c r="N278" s="89">
        <f t="shared" si="52"/>
        <v>1795.7248647213337</v>
      </c>
      <c r="O278" s="89">
        <f t="shared" si="53"/>
        <v>3903.75</v>
      </c>
      <c r="P278" s="89">
        <f t="shared" si="54"/>
        <v>2966.8505411146652</v>
      </c>
      <c r="Q278" s="113">
        <v>10109.1</v>
      </c>
      <c r="R278" s="113">
        <f t="shared" si="55"/>
        <v>228.08523309582245</v>
      </c>
      <c r="S278" s="113">
        <f t="shared" si="56"/>
        <v>3378.8894918815708</v>
      </c>
      <c r="T278" s="113">
        <f t="shared" si="57"/>
        <v>4094.7071766058111</v>
      </c>
      <c r="U278" s="113">
        <f t="shared" si="58"/>
        <v>2407.4180984167956</v>
      </c>
      <c r="V278" s="87">
        <v>10810</v>
      </c>
      <c r="W278" s="87">
        <v>18580</v>
      </c>
      <c r="X278" s="63"/>
      <c r="Y278" s="63"/>
    </row>
    <row r="279" spans="1:28">
      <c r="A279" s="22" t="s">
        <v>47</v>
      </c>
      <c r="B279" s="63" t="s">
        <v>34</v>
      </c>
      <c r="C279" s="63">
        <v>176</v>
      </c>
      <c r="D279" s="63" t="s">
        <v>16</v>
      </c>
      <c r="E279" s="63">
        <v>6100004040</v>
      </c>
      <c r="F279" s="63">
        <v>244</v>
      </c>
      <c r="G279" s="10">
        <v>7310.1</v>
      </c>
      <c r="H279" s="10">
        <f t="shared" si="47"/>
        <v>588.95487361023061</v>
      </c>
      <c r="I279" s="10">
        <f t="shared" si="48"/>
        <v>3358.5430548299964</v>
      </c>
      <c r="J279" s="10">
        <f t="shared" si="49"/>
        <v>1692.6316880749334</v>
      </c>
      <c r="K279" s="10">
        <f t="shared" si="50"/>
        <v>1669.9713933340408</v>
      </c>
      <c r="L279" s="108">
        <f>267.5+9010</f>
        <v>9277.5</v>
      </c>
      <c r="M279" s="89">
        <f t="shared" si="51"/>
        <v>4128.4874598127499</v>
      </c>
      <c r="N279" s="89">
        <f t="shared" si="52"/>
        <v>1066.9124196254995</v>
      </c>
      <c r="O279" s="89">
        <f t="shared" si="53"/>
        <v>2319.375</v>
      </c>
      <c r="P279" s="89">
        <f t="shared" si="54"/>
        <v>1762.7253214980024</v>
      </c>
      <c r="Q279" s="113">
        <v>8467.5</v>
      </c>
      <c r="R279" s="113">
        <f t="shared" si="55"/>
        <v>191.04684999049141</v>
      </c>
      <c r="S279" s="113">
        <f t="shared" si="56"/>
        <v>2830.1972255202932</v>
      </c>
      <c r="T279" s="113">
        <f t="shared" si="57"/>
        <v>3429.7744624061197</v>
      </c>
      <c r="U279" s="113">
        <f t="shared" si="58"/>
        <v>2016.4814620830953</v>
      </c>
      <c r="V279" s="87">
        <v>9000</v>
      </c>
      <c r="W279" s="87">
        <v>14715</v>
      </c>
      <c r="X279" s="63"/>
      <c r="Y279" s="63"/>
    </row>
    <row r="280" spans="1:28">
      <c r="A280" s="22" t="s">
        <v>48</v>
      </c>
      <c r="B280" s="63" t="s">
        <v>34</v>
      </c>
      <c r="C280" s="63">
        <v>176</v>
      </c>
      <c r="D280" s="63" t="s">
        <v>16</v>
      </c>
      <c r="E280" s="63">
        <v>6100004040</v>
      </c>
      <c r="F280" s="63">
        <v>244</v>
      </c>
      <c r="G280" s="10">
        <v>10630</v>
      </c>
      <c r="H280" s="10">
        <f t="shared" si="47"/>
        <v>856.43018651957584</v>
      </c>
      <c r="I280" s="10">
        <f t="shared" si="48"/>
        <v>4883.8336921304581</v>
      </c>
      <c r="J280" s="10">
        <f t="shared" si="49"/>
        <v>2461.3445567415688</v>
      </c>
      <c r="K280" s="10">
        <f t="shared" si="50"/>
        <v>2428.3930330831113</v>
      </c>
      <c r="L280" s="108">
        <f>963+14696.8+6013.86</f>
        <v>21673.66</v>
      </c>
      <c r="M280" s="89">
        <f t="shared" si="51"/>
        <v>9644.7786061164315</v>
      </c>
      <c r="N280" s="89">
        <f t="shared" si="52"/>
        <v>2492.470712232865</v>
      </c>
      <c r="O280" s="89">
        <f t="shared" si="53"/>
        <v>5418.415</v>
      </c>
      <c r="P280" s="89">
        <f t="shared" si="54"/>
        <v>4117.9961510685416</v>
      </c>
      <c r="Q280" s="113">
        <v>18510</v>
      </c>
      <c r="R280" s="113">
        <f t="shared" si="55"/>
        <v>417.62942938576862</v>
      </c>
      <c r="S280" s="113">
        <f t="shared" si="56"/>
        <v>6186.8261758937861</v>
      </c>
      <c r="T280" s="113">
        <f t="shared" si="57"/>
        <v>7497.505202141986</v>
      </c>
      <c r="U280" s="113">
        <f t="shared" si="58"/>
        <v>4408.0391925784579</v>
      </c>
      <c r="V280" s="87">
        <v>13000</v>
      </c>
      <c r="W280" s="87">
        <v>18816</v>
      </c>
      <c r="X280" s="63"/>
      <c r="Y280" s="63"/>
    </row>
    <row r="281" spans="1:28">
      <c r="A281" s="22" t="s">
        <v>49</v>
      </c>
      <c r="B281" s="63" t="s">
        <v>34</v>
      </c>
      <c r="C281" s="63">
        <v>176</v>
      </c>
      <c r="D281" s="63" t="s">
        <v>16</v>
      </c>
      <c r="E281" s="63">
        <v>6100004040</v>
      </c>
      <c r="F281" s="63">
        <v>244</v>
      </c>
      <c r="G281" s="10">
        <v>14297.1</v>
      </c>
      <c r="H281" s="10">
        <f t="shared" si="47"/>
        <v>1151.8784590488267</v>
      </c>
      <c r="I281" s="10">
        <f t="shared" si="48"/>
        <v>6568.6414562331483</v>
      </c>
      <c r="J281" s="10">
        <f t="shared" si="49"/>
        <v>3310.4505420686623</v>
      </c>
      <c r="K281" s="10">
        <f t="shared" si="50"/>
        <v>3266.131517713316</v>
      </c>
      <c r="L281" s="108">
        <f>5350+5393</f>
        <v>10743</v>
      </c>
      <c r="M281" s="89">
        <f t="shared" si="51"/>
        <v>4780.6349534646588</v>
      </c>
      <c r="N281" s="89">
        <f t="shared" si="52"/>
        <v>1235.4449069293171</v>
      </c>
      <c r="O281" s="89">
        <f t="shared" si="53"/>
        <v>2685.7500000000005</v>
      </c>
      <c r="P281" s="89">
        <f t="shared" si="54"/>
        <v>2041.1703722827315</v>
      </c>
      <c r="Q281" s="113">
        <v>15259</v>
      </c>
      <c r="R281" s="113">
        <f t="shared" si="55"/>
        <v>344.2791714207155</v>
      </c>
      <c r="S281" s="113">
        <f t="shared" si="56"/>
        <v>5100.2042473237861</v>
      </c>
      <c r="T281" s="113">
        <f t="shared" si="57"/>
        <v>6180.6824354124565</v>
      </c>
      <c r="U281" s="113">
        <f t="shared" si="58"/>
        <v>3633.8341458430409</v>
      </c>
      <c r="V281" s="87">
        <v>14660</v>
      </c>
      <c r="W281" s="87">
        <v>25252</v>
      </c>
      <c r="X281" s="63"/>
      <c r="Y281" s="63"/>
    </row>
    <row r="282" spans="1:28">
      <c r="A282" s="22" t="s">
        <v>50</v>
      </c>
      <c r="B282" s="63" t="s">
        <v>34</v>
      </c>
      <c r="C282" s="63">
        <v>176</v>
      </c>
      <c r="D282" s="63" t="s">
        <v>16</v>
      </c>
      <c r="E282" s="63">
        <v>6100004040</v>
      </c>
      <c r="F282" s="63">
        <v>244</v>
      </c>
      <c r="G282" s="10">
        <v>10412.700000000001</v>
      </c>
      <c r="H282" s="10">
        <f t="shared" si="47"/>
        <v>838.92291657313149</v>
      </c>
      <c r="I282" s="10">
        <f t="shared" si="48"/>
        <v>4783.9976562602842</v>
      </c>
      <c r="J282" s="10">
        <f t="shared" si="49"/>
        <v>2411.0293947302857</v>
      </c>
      <c r="K282" s="10">
        <f t="shared" si="50"/>
        <v>2378.7514708922404</v>
      </c>
      <c r="L282" s="108">
        <f>3210+16861.1+7959.96</f>
        <v>28031.059999999998</v>
      </c>
      <c r="M282" s="89">
        <f t="shared" si="51"/>
        <v>12473.821578578149</v>
      </c>
      <c r="N282" s="89">
        <f t="shared" si="52"/>
        <v>3223.5716571562971</v>
      </c>
      <c r="O282" s="89">
        <f t="shared" si="53"/>
        <v>7007.7649999999994</v>
      </c>
      <c r="P282" s="89">
        <f t="shared" si="54"/>
        <v>5325.9023713748093</v>
      </c>
      <c r="Q282" s="113">
        <v>29385.1</v>
      </c>
      <c r="R282" s="113">
        <f t="shared" si="55"/>
        <v>662.99743627464886</v>
      </c>
      <c r="S282" s="113">
        <f t="shared" si="56"/>
        <v>9821.7453193547535</v>
      </c>
      <c r="T282" s="113">
        <f t="shared" si="57"/>
        <v>11902.481907912614</v>
      </c>
      <c r="U282" s="113">
        <f t="shared" si="58"/>
        <v>6997.8753364579825</v>
      </c>
      <c r="V282" s="87">
        <v>9000</v>
      </c>
      <c r="W282" s="87">
        <v>21202</v>
      </c>
      <c r="X282" s="63"/>
      <c r="Y282" s="63"/>
    </row>
    <row r="283" spans="1:28">
      <c r="A283" s="22" t="s">
        <v>51</v>
      </c>
      <c r="B283" s="63" t="s">
        <v>34</v>
      </c>
      <c r="C283" s="63">
        <v>176</v>
      </c>
      <c r="D283" s="63" t="s">
        <v>16</v>
      </c>
      <c r="E283" s="63">
        <v>6100004040</v>
      </c>
      <c r="F283" s="63">
        <v>244</v>
      </c>
      <c r="G283" s="10">
        <v>12044.6</v>
      </c>
      <c r="H283" s="10">
        <f t="shared" si="47"/>
        <v>970.40066082348847</v>
      </c>
      <c r="I283" s="10">
        <f t="shared" si="48"/>
        <v>5533.7557185545165</v>
      </c>
      <c r="J283" s="10">
        <f t="shared" si="49"/>
        <v>2788.8909358541391</v>
      </c>
      <c r="K283" s="10">
        <f t="shared" si="50"/>
        <v>2751.5543486616029</v>
      </c>
      <c r="L283" s="108">
        <f>29914.3+6260+24887.87</f>
        <v>61062.17</v>
      </c>
      <c r="M283" s="89">
        <f t="shared" si="51"/>
        <v>27172.665385497632</v>
      </c>
      <c r="N283" s="89">
        <f t="shared" si="52"/>
        <v>7022.1490209952653</v>
      </c>
      <c r="O283" s="89">
        <f t="shared" si="53"/>
        <v>15265.5425</v>
      </c>
      <c r="P283" s="89">
        <f t="shared" si="54"/>
        <v>11601.814416018935</v>
      </c>
      <c r="Q283" s="113">
        <v>29324.9</v>
      </c>
      <c r="R283" s="113">
        <f t="shared" si="55"/>
        <v>661.63918172851038</v>
      </c>
      <c r="S283" s="113">
        <f t="shared" si="56"/>
        <v>9801.623928982588</v>
      </c>
      <c r="T283" s="113">
        <f t="shared" si="57"/>
        <v>11878.097801312455</v>
      </c>
      <c r="U283" s="113">
        <f t="shared" si="58"/>
        <v>6983.5390879764473</v>
      </c>
      <c r="V283" s="87">
        <v>18810</v>
      </c>
      <c r="W283" s="87">
        <v>19040</v>
      </c>
      <c r="X283" s="63"/>
      <c r="Y283" s="63"/>
      <c r="Z283" s="54"/>
      <c r="AA283" s="54"/>
      <c r="AB283" s="54"/>
    </row>
    <row r="284" spans="1:28">
      <c r="A284" s="22" t="s">
        <v>52</v>
      </c>
      <c r="B284" s="63" t="s">
        <v>34</v>
      </c>
      <c r="C284" s="63">
        <v>176</v>
      </c>
      <c r="D284" s="63" t="s">
        <v>16</v>
      </c>
      <c r="E284" s="63">
        <v>6100004040</v>
      </c>
      <c r="F284" s="63">
        <v>244</v>
      </c>
      <c r="G284" s="10">
        <v>13399.6</v>
      </c>
      <c r="H284" s="10">
        <f t="shared" si="47"/>
        <v>1079.5693252387307</v>
      </c>
      <c r="I284" s="10">
        <f t="shared" si="48"/>
        <v>6156.295196714138</v>
      </c>
      <c r="J284" s="10">
        <f t="shared" si="49"/>
        <v>3102.6371140653173</v>
      </c>
      <c r="K284" s="10">
        <f t="shared" si="50"/>
        <v>3061.1002150611907</v>
      </c>
      <c r="L284" s="108">
        <f>12170+10135.5+11211.96</f>
        <v>33517.46</v>
      </c>
      <c r="M284" s="89">
        <f t="shared" si="51"/>
        <v>14915.269554812767</v>
      </c>
      <c r="N284" s="89">
        <f t="shared" si="52"/>
        <v>3854.5076096255343</v>
      </c>
      <c r="O284" s="89">
        <f t="shared" si="53"/>
        <v>8379.3649999999998</v>
      </c>
      <c r="P284" s="89">
        <f t="shared" si="54"/>
        <v>6368.3185614978647</v>
      </c>
      <c r="Q284" s="113">
        <v>17947.7</v>
      </c>
      <c r="R284" s="113">
        <f t="shared" si="55"/>
        <v>404.94260992906317</v>
      </c>
      <c r="S284" s="113">
        <f t="shared" si="56"/>
        <v>5998.8816940620691</v>
      </c>
      <c r="T284" s="113">
        <f t="shared" si="57"/>
        <v>7269.7446848451509</v>
      </c>
      <c r="U284" s="113">
        <f t="shared" si="58"/>
        <v>4274.1310111637167</v>
      </c>
      <c r="V284" s="87">
        <v>13137.5</v>
      </c>
      <c r="W284" s="87">
        <v>22028</v>
      </c>
      <c r="X284" s="63"/>
      <c r="Y284" s="63"/>
    </row>
    <row r="285" spans="1:28">
      <c r="A285" s="22" t="s">
        <v>53</v>
      </c>
      <c r="B285" s="63" t="s">
        <v>34</v>
      </c>
      <c r="C285" s="63">
        <v>176</v>
      </c>
      <c r="D285" s="63" t="s">
        <v>16</v>
      </c>
      <c r="E285" s="63">
        <v>6100004040</v>
      </c>
      <c r="F285" s="63">
        <v>244</v>
      </c>
      <c r="G285" s="10">
        <v>13254.2</v>
      </c>
      <c r="H285" s="10">
        <f t="shared" si="47"/>
        <v>1067.8548427250953</v>
      </c>
      <c r="I285" s="10">
        <f t="shared" si="48"/>
        <v>6089.4928054784114</v>
      </c>
      <c r="J285" s="10">
        <f t="shared" si="49"/>
        <v>3068.970180993801</v>
      </c>
      <c r="K285" s="10">
        <f t="shared" si="50"/>
        <v>3027.8840017958769</v>
      </c>
      <c r="L285" s="108">
        <f>7490+9509+5655.74</f>
        <v>22654.739999999998</v>
      </c>
      <c r="M285" s="89">
        <f t="shared" si="51"/>
        <v>10081.359201866699</v>
      </c>
      <c r="N285" s="89">
        <f t="shared" si="52"/>
        <v>2605.2949037333965</v>
      </c>
      <c r="O285" s="89">
        <f t="shared" si="53"/>
        <v>5663.6849999999995</v>
      </c>
      <c r="P285" s="89">
        <f t="shared" si="54"/>
        <v>4304.4013850664132</v>
      </c>
      <c r="Q285" s="113">
        <v>39435.200000000004</v>
      </c>
      <c r="R285" s="113">
        <f t="shared" si="55"/>
        <v>889.75148966578411</v>
      </c>
      <c r="S285" s="113">
        <f t="shared" si="56"/>
        <v>13180.914511702142</v>
      </c>
      <c r="T285" s="113">
        <f t="shared" si="57"/>
        <v>15973.291039843851</v>
      </c>
      <c r="U285" s="113">
        <f t="shared" si="58"/>
        <v>9391.2429587882252</v>
      </c>
      <c r="V285" s="87">
        <v>15642.9</v>
      </c>
      <c r="W285" s="87">
        <v>16244</v>
      </c>
      <c r="X285" s="63"/>
      <c r="Y285" s="63"/>
    </row>
    <row r="286" spans="1:28">
      <c r="A286" s="22" t="s">
        <v>54</v>
      </c>
      <c r="B286" s="63" t="s">
        <v>34</v>
      </c>
      <c r="C286" s="63">
        <v>176</v>
      </c>
      <c r="D286" s="63" t="s">
        <v>16</v>
      </c>
      <c r="E286" s="63">
        <v>6100004040</v>
      </c>
      <c r="F286" s="63">
        <v>244</v>
      </c>
      <c r="G286" s="10">
        <v>12672</v>
      </c>
      <c r="H286" s="10">
        <f t="shared" si="47"/>
        <v>1020.9485723025459</v>
      </c>
      <c r="I286" s="10">
        <f t="shared" si="48"/>
        <v>5822.0075772979453</v>
      </c>
      <c r="J286" s="10">
        <f t="shared" si="49"/>
        <v>2934.1635205107395</v>
      </c>
      <c r="K286" s="10">
        <f t="shared" si="50"/>
        <v>2894.8820804542979</v>
      </c>
      <c r="L286" s="108">
        <f>6580+855</f>
        <v>7435</v>
      </c>
      <c r="M286" s="89">
        <f t="shared" si="51"/>
        <v>3308.5749677938879</v>
      </c>
      <c r="N286" s="89">
        <f t="shared" si="52"/>
        <v>855.02493558777564</v>
      </c>
      <c r="O286" s="89">
        <f t="shared" si="53"/>
        <v>1858.75</v>
      </c>
      <c r="P286" s="89">
        <f t="shared" si="54"/>
        <v>1412.6502576488977</v>
      </c>
      <c r="Q286" s="113">
        <v>15235.4</v>
      </c>
      <c r="R286" s="113">
        <f t="shared" si="55"/>
        <v>343.74669953884057</v>
      </c>
      <c r="S286" s="113">
        <f t="shared" si="56"/>
        <v>5092.316127510112</v>
      </c>
      <c r="T286" s="113">
        <f t="shared" si="57"/>
        <v>6171.1232175426267</v>
      </c>
      <c r="U286" s="113">
        <f t="shared" si="58"/>
        <v>3628.2139554084192</v>
      </c>
      <c r="V286" s="87">
        <v>9510</v>
      </c>
      <c r="W286" s="87">
        <v>14042</v>
      </c>
      <c r="X286" s="63"/>
      <c r="Y286" s="63"/>
      <c r="Z286" s="54"/>
    </row>
    <row r="287" spans="1:28">
      <c r="A287" s="22" t="s">
        <v>55</v>
      </c>
      <c r="B287" s="63" t="s">
        <v>34</v>
      </c>
      <c r="C287" s="63">
        <v>176</v>
      </c>
      <c r="D287" s="63" t="s">
        <v>16</v>
      </c>
      <c r="E287" s="63">
        <v>6100004040</v>
      </c>
      <c r="F287" s="63">
        <v>244</v>
      </c>
      <c r="G287" s="10">
        <v>6034.9</v>
      </c>
      <c r="H287" s="10">
        <f t="shared" si="47"/>
        <v>486.21547813988593</v>
      </c>
      <c r="I287" s="10">
        <f t="shared" si="48"/>
        <v>2772.6667872660487</v>
      </c>
      <c r="J287" s="10">
        <f t="shared" si="49"/>
        <v>1397.3629600639408</v>
      </c>
      <c r="K287" s="10">
        <f t="shared" si="50"/>
        <v>1378.6556082176169</v>
      </c>
      <c r="L287" s="108">
        <f>1605+38223.7+9999.59</f>
        <v>49828.289999999994</v>
      </c>
      <c r="M287" s="89">
        <f t="shared" si="51"/>
        <v>22173.588834159309</v>
      </c>
      <c r="N287" s="89">
        <f t="shared" si="52"/>
        <v>5730.252918318628</v>
      </c>
      <c r="O287" s="89">
        <f t="shared" si="53"/>
        <v>12457.072499999998</v>
      </c>
      <c r="P287" s="89">
        <f t="shared" si="54"/>
        <v>9467.3768267254854</v>
      </c>
      <c r="Q287" s="113">
        <v>54853.2</v>
      </c>
      <c r="R287" s="113">
        <f t="shared" si="55"/>
        <v>1237.6180775787921</v>
      </c>
      <c r="S287" s="113">
        <f t="shared" si="56"/>
        <v>18334.263295058725</v>
      </c>
      <c r="T287" s="113">
        <f t="shared" si="57"/>
        <v>22218.376680396261</v>
      </c>
      <c r="U287" s="113">
        <f t="shared" si="58"/>
        <v>13062.941946966217</v>
      </c>
      <c r="V287" s="87">
        <v>9800</v>
      </c>
      <c r="W287" s="87">
        <v>20456</v>
      </c>
      <c r="X287" s="63"/>
      <c r="Y287" s="63"/>
    </row>
    <row r="288" spans="1:28">
      <c r="A288" s="22" t="s">
        <v>56</v>
      </c>
      <c r="B288" s="63" t="s">
        <v>34</v>
      </c>
      <c r="C288" s="63">
        <v>176</v>
      </c>
      <c r="D288" s="63" t="s">
        <v>16</v>
      </c>
      <c r="E288" s="63">
        <v>6100004040</v>
      </c>
      <c r="F288" s="63">
        <v>244</v>
      </c>
      <c r="G288" s="10">
        <v>11407.9</v>
      </c>
      <c r="H288" s="10">
        <f t="shared" si="47"/>
        <v>919.10347364032623</v>
      </c>
      <c r="I288" s="10">
        <f t="shared" si="48"/>
        <v>5241.2310796288848</v>
      </c>
      <c r="J288" s="10">
        <f t="shared" si="49"/>
        <v>2641.4649641441333</v>
      </c>
      <c r="K288" s="10">
        <f t="shared" si="50"/>
        <v>2606.102058523878</v>
      </c>
      <c r="L288" s="108">
        <f>7490+8000+10060.73</f>
        <v>25550.73</v>
      </c>
      <c r="M288" s="89">
        <f t="shared" si="51"/>
        <v>11370.074739322168</v>
      </c>
      <c r="N288" s="89">
        <f t="shared" si="52"/>
        <v>2938.333728644337</v>
      </c>
      <c r="O288" s="89">
        <f t="shared" si="53"/>
        <v>6387.6824999999999</v>
      </c>
      <c r="P288" s="89">
        <f t="shared" si="54"/>
        <v>4854.6395854226521</v>
      </c>
      <c r="Q288" s="113">
        <v>48346.7</v>
      </c>
      <c r="R288" s="113">
        <f t="shared" si="55"/>
        <v>1090.8160309932437</v>
      </c>
      <c r="S288" s="113">
        <f t="shared" si="56"/>
        <v>16159.515347276287</v>
      </c>
      <c r="T288" s="113">
        <f t="shared" si="57"/>
        <v>19582.908414716258</v>
      </c>
      <c r="U288" s="113">
        <f t="shared" si="58"/>
        <v>11513.460207014205</v>
      </c>
      <c r="V288" s="87">
        <v>10000</v>
      </c>
      <c r="W288" s="87">
        <v>26212</v>
      </c>
      <c r="X288" s="63"/>
      <c r="Y288" s="63"/>
    </row>
    <row r="289" spans="1:25">
      <c r="A289" s="22" t="s">
        <v>57</v>
      </c>
      <c r="B289" s="63" t="s">
        <v>34</v>
      </c>
      <c r="C289" s="63">
        <v>176</v>
      </c>
      <c r="D289" s="63" t="s">
        <v>16</v>
      </c>
      <c r="E289" s="63">
        <v>6100004040</v>
      </c>
      <c r="F289" s="63">
        <v>244</v>
      </c>
      <c r="G289" s="10">
        <v>11000</v>
      </c>
      <c r="H289" s="10">
        <f t="shared" si="47"/>
        <v>886.24008012373793</v>
      </c>
      <c r="I289" s="10">
        <f t="shared" si="48"/>
        <v>5053.8260219600224</v>
      </c>
      <c r="J289" s="10">
        <f t="shared" si="49"/>
        <v>2547.0169448877946</v>
      </c>
      <c r="K289" s="10">
        <f t="shared" si="50"/>
        <v>2512.9184726165777</v>
      </c>
      <c r="L289" s="108">
        <f>267.5+6510+7950</f>
        <v>14727.5</v>
      </c>
      <c r="M289" s="89">
        <f t="shared" si="51"/>
        <v>6553.7374362050414</v>
      </c>
      <c r="N289" s="89">
        <f t="shared" si="52"/>
        <v>1693.6623724100828</v>
      </c>
      <c r="O289" s="89">
        <f t="shared" si="53"/>
        <v>3681.875</v>
      </c>
      <c r="P289" s="89">
        <f t="shared" si="54"/>
        <v>2798.225510359669</v>
      </c>
      <c r="Q289" s="113">
        <v>8340.2999999999993</v>
      </c>
      <c r="R289" s="113">
        <f t="shared" si="55"/>
        <v>188.17691679665725</v>
      </c>
      <c r="S289" s="113">
        <f t="shared" si="56"/>
        <v>2787.681596694054</v>
      </c>
      <c r="T289" s="113">
        <f t="shared" si="57"/>
        <v>3378.2518982941542</v>
      </c>
      <c r="U289" s="113">
        <f t="shared" si="58"/>
        <v>1986.189588215133</v>
      </c>
      <c r="V289" s="87">
        <v>13510</v>
      </c>
      <c r="W289" s="87">
        <v>23600</v>
      </c>
      <c r="X289" s="63"/>
      <c r="Y289" s="63"/>
    </row>
    <row r="290" spans="1:25">
      <c r="A290" s="22" t="s">
        <v>58</v>
      </c>
      <c r="B290" s="63" t="s">
        <v>34</v>
      </c>
      <c r="C290" s="63">
        <v>176</v>
      </c>
      <c r="D290" s="63" t="s">
        <v>16</v>
      </c>
      <c r="E290" s="63">
        <v>6100004040</v>
      </c>
      <c r="F290" s="63">
        <v>244</v>
      </c>
      <c r="G290" s="10">
        <v>19949.3</v>
      </c>
      <c r="H290" s="10">
        <f t="shared" si="47"/>
        <v>1607.2608391284077</v>
      </c>
      <c r="I290" s="10">
        <f t="shared" si="48"/>
        <v>9165.481041807916</v>
      </c>
      <c r="J290" s="10">
        <f t="shared" si="49"/>
        <v>4619.2004671500072</v>
      </c>
      <c r="K290" s="10">
        <f t="shared" si="50"/>
        <v>4557.3604077972632</v>
      </c>
      <c r="L290" s="108">
        <f>9095+10714+14000.08</f>
        <v>33809.08</v>
      </c>
      <c r="M290" s="89">
        <f t="shared" si="51"/>
        <v>15045.04045354956</v>
      </c>
      <c r="N290" s="89">
        <f t="shared" si="52"/>
        <v>3888.0439070991197</v>
      </c>
      <c r="O290" s="89">
        <f t="shared" si="53"/>
        <v>8452.27</v>
      </c>
      <c r="P290" s="89">
        <f t="shared" si="54"/>
        <v>6423.7263716035231</v>
      </c>
      <c r="Q290" s="113">
        <v>40910.5</v>
      </c>
      <c r="R290" s="113">
        <f t="shared" si="55"/>
        <v>923.03775099332722</v>
      </c>
      <c r="S290" s="113">
        <f t="shared" si="56"/>
        <v>13674.022272766219</v>
      </c>
      <c r="T290" s="113">
        <f t="shared" si="57"/>
        <v>16570.863672189615</v>
      </c>
      <c r="U290" s="113">
        <f t="shared" si="58"/>
        <v>9742.5763040508391</v>
      </c>
      <c r="V290" s="87">
        <v>10214</v>
      </c>
      <c r="W290" s="87">
        <v>17129</v>
      </c>
      <c r="X290" s="63"/>
      <c r="Y290" s="63"/>
    </row>
    <row r="291" spans="1:25">
      <c r="A291" s="22" t="s">
        <v>59</v>
      </c>
      <c r="B291" s="63" t="s">
        <v>34</v>
      </c>
      <c r="C291" s="63">
        <v>176</v>
      </c>
      <c r="D291" s="63" t="s">
        <v>16</v>
      </c>
      <c r="E291" s="63">
        <v>6100004040</v>
      </c>
      <c r="F291" s="63">
        <v>244</v>
      </c>
      <c r="G291" s="10">
        <v>15290</v>
      </c>
      <c r="H291" s="10">
        <f t="shared" si="47"/>
        <v>1231.8737113719956</v>
      </c>
      <c r="I291" s="10">
        <f t="shared" si="48"/>
        <v>7024.8181705244315</v>
      </c>
      <c r="J291" s="10">
        <f t="shared" si="49"/>
        <v>3540.3535533940344</v>
      </c>
      <c r="K291" s="10">
        <f t="shared" si="50"/>
        <v>3492.9566769370431</v>
      </c>
      <c r="L291" s="108">
        <f>3210+8396.6+2992.38</f>
        <v>14598.98</v>
      </c>
      <c r="M291" s="89">
        <f t="shared" si="51"/>
        <v>6496.5460367617507</v>
      </c>
      <c r="N291" s="89">
        <f t="shared" si="52"/>
        <v>1678.8825735235002</v>
      </c>
      <c r="O291" s="89">
        <f t="shared" si="53"/>
        <v>3649.7449999999999</v>
      </c>
      <c r="P291" s="89">
        <f t="shared" si="54"/>
        <v>2773.806705905999</v>
      </c>
      <c r="Q291" s="113">
        <v>10000</v>
      </c>
      <c r="R291" s="113">
        <f t="shared" si="55"/>
        <v>225.62367876054492</v>
      </c>
      <c r="S291" s="113">
        <f t="shared" si="56"/>
        <v>3342.4236498615805</v>
      </c>
      <c r="T291" s="113">
        <f t="shared" si="57"/>
        <v>4050.5160465380804</v>
      </c>
      <c r="U291" s="113">
        <f t="shared" si="58"/>
        <v>2381.4366248397937</v>
      </c>
      <c r="V291" s="87">
        <v>8500</v>
      </c>
      <c r="W291" s="87">
        <v>14243.6</v>
      </c>
      <c r="X291" s="63"/>
      <c r="Y291" s="63"/>
    </row>
    <row r="292" spans="1:25">
      <c r="A292" s="22" t="s">
        <v>60</v>
      </c>
      <c r="B292" s="63" t="s">
        <v>34</v>
      </c>
      <c r="C292" s="63">
        <v>176</v>
      </c>
      <c r="D292" s="63" t="s">
        <v>16</v>
      </c>
      <c r="E292" s="63">
        <v>6100004040</v>
      </c>
      <c r="F292" s="63">
        <v>244</v>
      </c>
      <c r="G292" s="10">
        <v>17326.900000000001</v>
      </c>
      <c r="H292" s="10">
        <f t="shared" si="47"/>
        <v>1395.9812040269085</v>
      </c>
      <c r="I292" s="10">
        <f t="shared" si="48"/>
        <v>7960.6489181726474</v>
      </c>
      <c r="J292" s="10">
        <f t="shared" si="49"/>
        <v>4011.9916274887573</v>
      </c>
      <c r="K292" s="10">
        <f t="shared" si="50"/>
        <v>3958.2806439254718</v>
      </c>
      <c r="L292" s="108">
        <f>4280+8188.5+8167.37</f>
        <v>20635.87</v>
      </c>
      <c r="M292" s="89">
        <f t="shared" si="51"/>
        <v>9182.9620606118151</v>
      </c>
      <c r="N292" s="89">
        <f t="shared" si="52"/>
        <v>2373.1248712236329</v>
      </c>
      <c r="O292" s="89">
        <f t="shared" si="53"/>
        <v>5158.9674999999997</v>
      </c>
      <c r="P292" s="89">
        <f t="shared" si="54"/>
        <v>3920.8160151054685</v>
      </c>
      <c r="Q292" s="113">
        <v>37839.299999999996</v>
      </c>
      <c r="R292" s="113">
        <f t="shared" si="55"/>
        <v>853.74420677238857</v>
      </c>
      <c r="S292" s="113">
        <f t="shared" si="56"/>
        <v>12647.497121420731</v>
      </c>
      <c r="T292" s="113">
        <f t="shared" si="57"/>
        <v>15326.869183976836</v>
      </c>
      <c r="U292" s="113">
        <f t="shared" si="58"/>
        <v>9011.1894878300391</v>
      </c>
      <c r="V292" s="87">
        <v>10788.5</v>
      </c>
      <c r="W292" s="87">
        <v>11319.6</v>
      </c>
      <c r="X292" s="63"/>
      <c r="Y292" s="63"/>
    </row>
    <row r="293" spans="1:25">
      <c r="A293" s="22" t="s">
        <v>61</v>
      </c>
      <c r="B293" s="63" t="s">
        <v>34</v>
      </c>
      <c r="C293" s="63">
        <v>176</v>
      </c>
      <c r="D293" s="63" t="s">
        <v>16</v>
      </c>
      <c r="E293" s="63">
        <v>6100004040</v>
      </c>
      <c r="F293" s="63">
        <v>244</v>
      </c>
      <c r="G293" s="10">
        <v>44424.9</v>
      </c>
      <c r="H293" s="10">
        <f t="shared" si="47"/>
        <v>3579.1933577717314</v>
      </c>
      <c r="I293" s="10">
        <f t="shared" si="48"/>
        <v>20410.519603906527</v>
      </c>
      <c r="J293" s="10">
        <f t="shared" si="49"/>
        <v>10286.452097722346</v>
      </c>
      <c r="K293" s="10">
        <f t="shared" si="50"/>
        <v>10148.741077649474</v>
      </c>
      <c r="L293" s="108">
        <f>7490+11980.2</f>
        <v>19470.2</v>
      </c>
      <c r="M293" s="89">
        <f t="shared" si="51"/>
        <v>8664.2389156611371</v>
      </c>
      <c r="N293" s="89">
        <f t="shared" si="52"/>
        <v>2239.0728313222744</v>
      </c>
      <c r="O293" s="89">
        <f t="shared" si="53"/>
        <v>4867.55</v>
      </c>
      <c r="P293" s="89">
        <f t="shared" si="54"/>
        <v>3699.3386747109034</v>
      </c>
      <c r="Q293" s="113">
        <v>59292.5</v>
      </c>
      <c r="R293" s="113">
        <f t="shared" si="55"/>
        <v>1337.7791972909611</v>
      </c>
      <c r="S293" s="113">
        <f t="shared" si="56"/>
        <v>19818.065425941779</v>
      </c>
      <c r="T293" s="113">
        <f t="shared" si="57"/>
        <v>24016.522268935911</v>
      </c>
      <c r="U293" s="113">
        <f t="shared" si="58"/>
        <v>14120.133107831345</v>
      </c>
      <c r="V293" s="87">
        <v>25100</v>
      </c>
      <c r="W293" s="87">
        <v>30004.7</v>
      </c>
      <c r="X293" s="63"/>
      <c r="Y293" s="63"/>
    </row>
    <row r="294" spans="1:25">
      <c r="A294" s="22" t="s">
        <v>62</v>
      </c>
      <c r="B294" s="63" t="s">
        <v>34</v>
      </c>
      <c r="C294" s="63">
        <v>176</v>
      </c>
      <c r="D294" s="63" t="s">
        <v>16</v>
      </c>
      <c r="E294" s="63">
        <v>6100004040</v>
      </c>
      <c r="F294" s="63">
        <v>244</v>
      </c>
      <c r="G294" s="10">
        <v>22166.9</v>
      </c>
      <c r="H294" s="10">
        <f t="shared" si="47"/>
        <v>1785.9268392813533</v>
      </c>
      <c r="I294" s="10">
        <f t="shared" si="48"/>
        <v>10184.332367835057</v>
      </c>
      <c r="J294" s="10">
        <f t="shared" si="49"/>
        <v>5132.6790832393872</v>
      </c>
      <c r="K294" s="10">
        <f t="shared" si="50"/>
        <v>5063.9647718767665</v>
      </c>
      <c r="L294" s="108">
        <f>13340+745</f>
        <v>14085</v>
      </c>
      <c r="M294" s="89">
        <f t="shared" si="51"/>
        <v>6267.8249389881521</v>
      </c>
      <c r="N294" s="89">
        <f t="shared" si="52"/>
        <v>1619.774877976304</v>
      </c>
      <c r="O294" s="89">
        <f t="shared" si="53"/>
        <v>3521.25</v>
      </c>
      <c r="P294" s="89">
        <f t="shared" si="54"/>
        <v>2676.1504880947846</v>
      </c>
      <c r="Q294" s="113">
        <v>19994.300000000003</v>
      </c>
      <c r="R294" s="113">
        <f t="shared" si="55"/>
        <v>451.11875202419634</v>
      </c>
      <c r="S294" s="113">
        <f t="shared" si="56"/>
        <v>6682.9421182427413</v>
      </c>
      <c r="T294" s="113">
        <f t="shared" si="57"/>
        <v>8098.7232989296344</v>
      </c>
      <c r="U294" s="113">
        <f t="shared" si="58"/>
        <v>4761.5158308034288</v>
      </c>
      <c r="V294" s="87">
        <v>10867</v>
      </c>
      <c r="W294" s="87">
        <v>22623</v>
      </c>
      <c r="X294" s="63"/>
      <c r="Y294" s="63"/>
    </row>
    <row r="295" spans="1:25">
      <c r="A295" s="22" t="s">
        <v>63</v>
      </c>
      <c r="B295" s="63" t="s">
        <v>34</v>
      </c>
      <c r="C295" s="63">
        <v>176</v>
      </c>
      <c r="D295" s="63" t="s">
        <v>16</v>
      </c>
      <c r="E295" s="63">
        <v>6100004040</v>
      </c>
      <c r="F295" s="63">
        <v>244</v>
      </c>
      <c r="G295" s="10">
        <v>17125</v>
      </c>
      <c r="H295" s="10">
        <f t="shared" si="47"/>
        <v>1379.7146701926374</v>
      </c>
      <c r="I295" s="10">
        <f t="shared" si="48"/>
        <v>7867.888238733216</v>
      </c>
      <c r="J295" s="10">
        <f t="shared" si="49"/>
        <v>3965.2422892003169</v>
      </c>
      <c r="K295" s="10">
        <f t="shared" si="50"/>
        <v>3912.1571675962632</v>
      </c>
      <c r="L295" s="108">
        <f>5350+11080.01</f>
        <v>16430.010000000002</v>
      </c>
      <c r="M295" s="89">
        <f t="shared" si="51"/>
        <v>7311.3543788302977</v>
      </c>
      <c r="N295" s="89">
        <f t="shared" si="52"/>
        <v>1889.4510076605934</v>
      </c>
      <c r="O295" s="89">
        <f t="shared" si="53"/>
        <v>4107.5025000000005</v>
      </c>
      <c r="P295" s="89">
        <f t="shared" si="54"/>
        <v>3121.7024693576286</v>
      </c>
      <c r="Q295" s="113">
        <v>10612</v>
      </c>
      <c r="R295" s="113">
        <f t="shared" si="55"/>
        <v>239.43184790069026</v>
      </c>
      <c r="S295" s="113">
        <f t="shared" si="56"/>
        <v>3546.9799772331094</v>
      </c>
      <c r="T295" s="113">
        <f t="shared" si="57"/>
        <v>4298.4076285862111</v>
      </c>
      <c r="U295" s="113">
        <f t="shared" si="58"/>
        <v>2527.1805462799889</v>
      </c>
      <c r="V295" s="87">
        <v>12612</v>
      </c>
      <c r="W295" s="87">
        <v>19420</v>
      </c>
      <c r="X295" s="63"/>
      <c r="Y295" s="63"/>
    </row>
    <row r="296" spans="1:25">
      <c r="A296" s="22" t="s">
        <v>64</v>
      </c>
      <c r="B296" s="63" t="s">
        <v>34</v>
      </c>
      <c r="C296" s="63">
        <v>176</v>
      </c>
      <c r="D296" s="63" t="s">
        <v>16</v>
      </c>
      <c r="E296" s="63">
        <v>6100004040</v>
      </c>
      <c r="F296" s="63">
        <v>244</v>
      </c>
      <c r="G296" s="10">
        <v>8734.7999999999993</v>
      </c>
      <c r="H296" s="10">
        <f t="shared" si="47"/>
        <v>703.73907744225676</v>
      </c>
      <c r="I296" s="10">
        <f t="shared" si="48"/>
        <v>4013.1054124196726</v>
      </c>
      <c r="J296" s="10">
        <f t="shared" si="49"/>
        <v>2022.5166918369005</v>
      </c>
      <c r="K296" s="10">
        <f t="shared" si="50"/>
        <v>1995.4400249646621</v>
      </c>
      <c r="L296" s="108">
        <f>5350+8811.79</f>
        <v>14161.79</v>
      </c>
      <c r="M296" s="89">
        <f t="shared" si="51"/>
        <v>6301.9964886555217</v>
      </c>
      <c r="N296" s="89">
        <f t="shared" si="52"/>
        <v>1628.605727311043</v>
      </c>
      <c r="O296" s="89">
        <f t="shared" si="53"/>
        <v>3540.4475000000002</v>
      </c>
      <c r="P296" s="89">
        <f t="shared" si="54"/>
        <v>2690.7405907558282</v>
      </c>
      <c r="Q296" s="113">
        <v>13829.3</v>
      </c>
      <c r="R296" s="113">
        <f t="shared" si="55"/>
        <v>312.02175406832038</v>
      </c>
      <c r="S296" s="113">
        <f t="shared" si="56"/>
        <v>4622.3379381030754</v>
      </c>
      <c r="T296" s="113">
        <f t="shared" si="57"/>
        <v>5601.580156238907</v>
      </c>
      <c r="U296" s="113">
        <f t="shared" si="58"/>
        <v>3293.3601515896958</v>
      </c>
      <c r="V296" s="87">
        <v>8810</v>
      </c>
      <c r="W296" s="87">
        <v>19770</v>
      </c>
      <c r="X296" s="63"/>
      <c r="Y296" s="63"/>
    </row>
    <row r="297" spans="1:25">
      <c r="A297" s="22" t="s">
        <v>65</v>
      </c>
      <c r="B297" s="63" t="s">
        <v>34</v>
      </c>
      <c r="C297" s="63">
        <v>176</v>
      </c>
      <c r="D297" s="63" t="s">
        <v>16</v>
      </c>
      <c r="E297" s="63">
        <v>6100004040</v>
      </c>
      <c r="F297" s="63">
        <v>244</v>
      </c>
      <c r="G297" s="10">
        <v>15175</v>
      </c>
      <c r="H297" s="10">
        <f t="shared" si="47"/>
        <v>1222.608474170702</v>
      </c>
      <c r="I297" s="10">
        <f t="shared" si="48"/>
        <v>6971.9827166584855</v>
      </c>
      <c r="J297" s="10">
        <f t="shared" si="49"/>
        <v>3513.7256489702077</v>
      </c>
      <c r="K297" s="10">
        <f t="shared" si="50"/>
        <v>3466.6852565415061</v>
      </c>
      <c r="L297" s="108">
        <f>267.5+3000+7527.69</f>
        <v>10795.189999999999</v>
      </c>
      <c r="M297" s="89">
        <f t="shared" si="51"/>
        <v>4803.8595032385874</v>
      </c>
      <c r="N297" s="89">
        <f t="shared" si="52"/>
        <v>1241.4467564771753</v>
      </c>
      <c r="O297" s="89">
        <f t="shared" si="53"/>
        <v>2698.7974999999992</v>
      </c>
      <c r="P297" s="89">
        <f t="shared" si="54"/>
        <v>2051.086474091298</v>
      </c>
      <c r="Q297" s="113">
        <v>15000</v>
      </c>
      <c r="R297" s="113">
        <f t="shared" si="55"/>
        <v>338.43551814081735</v>
      </c>
      <c r="S297" s="113">
        <f t="shared" si="56"/>
        <v>5013.6354747923715</v>
      </c>
      <c r="T297" s="113">
        <f t="shared" si="57"/>
        <v>6075.7740698071202</v>
      </c>
      <c r="U297" s="113">
        <f t="shared" si="58"/>
        <v>3572.1549372596905</v>
      </c>
      <c r="V297" s="87">
        <v>11300</v>
      </c>
      <c r="W297" s="87">
        <v>22411</v>
      </c>
      <c r="X297" s="63"/>
      <c r="Y297" s="63"/>
    </row>
    <row r="298" spans="1:25">
      <c r="A298" s="22" t="s">
        <v>66</v>
      </c>
      <c r="B298" s="63" t="s">
        <v>34</v>
      </c>
      <c r="C298" s="63">
        <v>176</v>
      </c>
      <c r="D298" s="63" t="s">
        <v>16</v>
      </c>
      <c r="E298" s="63">
        <v>6100004040</v>
      </c>
      <c r="F298" s="63">
        <v>244</v>
      </c>
      <c r="G298" s="10">
        <v>26650.400000000001</v>
      </c>
      <c r="H298" s="10">
        <f t="shared" si="47"/>
        <v>2147.1502392117877</v>
      </c>
      <c r="I298" s="10">
        <f t="shared" si="48"/>
        <v>12244.225910513036</v>
      </c>
      <c r="J298" s="10">
        <f t="shared" si="49"/>
        <v>6170.8200352761523</v>
      </c>
      <c r="K298" s="10">
        <f t="shared" si="50"/>
        <v>6088.2074966018954</v>
      </c>
      <c r="L298" s="108">
        <f>12305+18023.8+5164.76</f>
        <v>35493.56</v>
      </c>
      <c r="M298" s="89">
        <f t="shared" si="51"/>
        <v>15794.634046252915</v>
      </c>
      <c r="N298" s="89">
        <f t="shared" si="52"/>
        <v>4081.7590925058298</v>
      </c>
      <c r="O298" s="89">
        <f t="shared" si="53"/>
        <v>8873.39</v>
      </c>
      <c r="P298" s="89">
        <f t="shared" si="54"/>
        <v>6743.7776299766792</v>
      </c>
      <c r="Q298" s="113">
        <v>26142.399999999998</v>
      </c>
      <c r="R298" s="113">
        <f t="shared" si="55"/>
        <v>589.83444596296692</v>
      </c>
      <c r="S298" s="113">
        <f t="shared" si="56"/>
        <v>8737.8976024141375</v>
      </c>
      <c r="T298" s="113">
        <f t="shared" si="57"/>
        <v>10589.02106950171</v>
      </c>
      <c r="U298" s="113">
        <f t="shared" si="58"/>
        <v>6225.646882121182</v>
      </c>
      <c r="V298" s="87">
        <v>19890</v>
      </c>
      <c r="W298" s="87">
        <v>40413</v>
      </c>
      <c r="X298" s="63"/>
      <c r="Y298" s="63"/>
    </row>
    <row r="299" spans="1:25">
      <c r="A299" s="22" t="s">
        <v>67</v>
      </c>
      <c r="B299" s="63" t="s">
        <v>34</v>
      </c>
      <c r="C299" s="63">
        <v>176</v>
      </c>
      <c r="D299" s="63" t="s">
        <v>16</v>
      </c>
      <c r="E299" s="63">
        <v>6100004040</v>
      </c>
      <c r="F299" s="63">
        <v>244</v>
      </c>
      <c r="G299" s="10">
        <v>9217.4</v>
      </c>
      <c r="H299" s="10">
        <f t="shared" si="47"/>
        <v>742.62084677568555</v>
      </c>
      <c r="I299" s="10">
        <f t="shared" si="48"/>
        <v>4234.8305431649369</v>
      </c>
      <c r="J299" s="10">
        <f t="shared" si="49"/>
        <v>2134.2612716189778</v>
      </c>
      <c r="K299" s="10">
        <f t="shared" si="50"/>
        <v>2105.6886117723675</v>
      </c>
      <c r="L299" s="108">
        <f>802.5+6510+9950</f>
        <v>17262.5</v>
      </c>
      <c r="M299" s="89">
        <f t="shared" si="51"/>
        <v>7681.8124252242087</v>
      </c>
      <c r="N299" s="89">
        <f t="shared" si="52"/>
        <v>1985.1873504484165</v>
      </c>
      <c r="O299" s="89">
        <f t="shared" si="53"/>
        <v>4315.625</v>
      </c>
      <c r="P299" s="89">
        <f t="shared" si="54"/>
        <v>3279.875598206334</v>
      </c>
      <c r="Q299" s="113">
        <v>8502.2000000000007</v>
      </c>
      <c r="R299" s="113">
        <f t="shared" si="55"/>
        <v>191.82976415579051</v>
      </c>
      <c r="S299" s="113">
        <f t="shared" si="56"/>
        <v>2841.795435585313</v>
      </c>
      <c r="T299" s="113">
        <f t="shared" si="57"/>
        <v>3443.8297530876071</v>
      </c>
      <c r="U299" s="113">
        <f t="shared" si="58"/>
        <v>2024.7450471712893</v>
      </c>
      <c r="V299" s="87">
        <v>10260</v>
      </c>
      <c r="W299" s="87">
        <v>14586</v>
      </c>
      <c r="X299" s="63"/>
      <c r="Y299" s="63"/>
    </row>
    <row r="300" spans="1:25">
      <c r="A300" s="22" t="s">
        <v>68</v>
      </c>
      <c r="B300" s="63" t="s">
        <v>34</v>
      </c>
      <c r="C300" s="63">
        <v>176</v>
      </c>
      <c r="D300" s="63" t="s">
        <v>16</v>
      </c>
      <c r="E300" s="63">
        <v>6100004040</v>
      </c>
      <c r="F300" s="63">
        <v>244</v>
      </c>
      <c r="G300" s="10">
        <v>13800</v>
      </c>
      <c r="H300" s="10">
        <f t="shared" si="47"/>
        <v>1111.8284641552348</v>
      </c>
      <c r="I300" s="10">
        <f t="shared" si="48"/>
        <v>6340.2544639134831</v>
      </c>
      <c r="J300" s="10">
        <f t="shared" si="49"/>
        <v>3195.3485308592335</v>
      </c>
      <c r="K300" s="10">
        <f t="shared" si="50"/>
        <v>3152.570447464434</v>
      </c>
      <c r="L300" s="108">
        <f>4280+7505</f>
        <v>11785</v>
      </c>
      <c r="M300" s="89">
        <f t="shared" si="51"/>
        <v>5244.3249489510381</v>
      </c>
      <c r="N300" s="89">
        <f t="shared" si="52"/>
        <v>1355.2748979020762</v>
      </c>
      <c r="O300" s="89">
        <f t="shared" si="53"/>
        <v>2946.25</v>
      </c>
      <c r="P300" s="89">
        <f t="shared" si="54"/>
        <v>2239.1504083916961</v>
      </c>
      <c r="Q300" s="113">
        <v>7999.2000000000007</v>
      </c>
      <c r="R300" s="113">
        <f t="shared" si="55"/>
        <v>180.48089311413509</v>
      </c>
      <c r="S300" s="113">
        <f t="shared" si="56"/>
        <v>2673.6715259972757</v>
      </c>
      <c r="T300" s="113">
        <f t="shared" si="57"/>
        <v>3240.0887959467414</v>
      </c>
      <c r="U300" s="113">
        <f t="shared" si="58"/>
        <v>1904.9587849418479</v>
      </c>
      <c r="V300" s="87">
        <v>13928.4</v>
      </c>
      <c r="W300" s="87">
        <v>17703</v>
      </c>
      <c r="X300" s="63"/>
      <c r="Y300" s="63"/>
    </row>
    <row r="301" spans="1:25">
      <c r="A301" s="22" t="s">
        <v>69</v>
      </c>
      <c r="B301" s="63" t="s">
        <v>34</v>
      </c>
      <c r="C301" s="63">
        <v>176</v>
      </c>
      <c r="D301" s="63" t="s">
        <v>16</v>
      </c>
      <c r="E301" s="63">
        <v>6100004040</v>
      </c>
      <c r="F301" s="63">
        <v>244</v>
      </c>
      <c r="G301" s="10">
        <v>6330.2</v>
      </c>
      <c r="H301" s="10">
        <f t="shared" si="47"/>
        <v>510.00699592720775</v>
      </c>
      <c r="I301" s="10">
        <f t="shared" si="48"/>
        <v>2908.3390440192115</v>
      </c>
      <c r="J301" s="10">
        <f t="shared" si="49"/>
        <v>1465.7387876844286</v>
      </c>
      <c r="K301" s="10">
        <f t="shared" si="50"/>
        <v>1446.1160468506782</v>
      </c>
      <c r="L301" s="108">
        <f>2140+8749.99</f>
        <v>10889.99</v>
      </c>
      <c r="M301" s="89">
        <f t="shared" si="51"/>
        <v>4846.045502827943</v>
      </c>
      <c r="N301" s="89">
        <f t="shared" si="52"/>
        <v>1252.3487556558871</v>
      </c>
      <c r="O301" s="89">
        <f t="shared" si="53"/>
        <v>2722.4974999999999</v>
      </c>
      <c r="P301" s="89">
        <f t="shared" si="54"/>
        <v>2069.0984773764517</v>
      </c>
      <c r="Q301" s="113">
        <v>10361.700000000001</v>
      </c>
      <c r="R301" s="113">
        <f t="shared" si="55"/>
        <v>233.78448722131384</v>
      </c>
      <c r="S301" s="113">
        <f t="shared" si="56"/>
        <v>3463.3191132770744</v>
      </c>
      <c r="T301" s="113">
        <f t="shared" si="57"/>
        <v>4197.0232119413631</v>
      </c>
      <c r="U301" s="113">
        <f t="shared" si="58"/>
        <v>2467.5731875602492</v>
      </c>
      <c r="V301" s="87">
        <v>9320</v>
      </c>
      <c r="W301" s="87">
        <v>21242.400000000001</v>
      </c>
      <c r="X301" s="63"/>
      <c r="Y301" s="63"/>
    </row>
    <row r="302" spans="1:25">
      <c r="A302" s="22" t="s">
        <v>70</v>
      </c>
      <c r="B302" s="63" t="s">
        <v>34</v>
      </c>
      <c r="C302" s="63">
        <v>176</v>
      </c>
      <c r="D302" s="63" t="s">
        <v>16</v>
      </c>
      <c r="E302" s="63">
        <v>6100004040</v>
      </c>
      <c r="F302" s="63">
        <v>244</v>
      </c>
      <c r="G302" s="10">
        <v>19339</v>
      </c>
      <c r="H302" s="10">
        <f t="shared" si="47"/>
        <v>1558.0906281375424</v>
      </c>
      <c r="I302" s="10">
        <f t="shared" si="48"/>
        <v>8885.0855853349876</v>
      </c>
      <c r="J302" s="10">
        <f t="shared" si="49"/>
        <v>4477.8873361077331</v>
      </c>
      <c r="K302" s="10">
        <f t="shared" si="50"/>
        <v>4417.9391219938179</v>
      </c>
      <c r="L302" s="108">
        <f>12251.5+4862.6+431.18</f>
        <v>17545.28</v>
      </c>
      <c r="M302" s="89">
        <f t="shared" si="51"/>
        <v>7807.6495239992919</v>
      </c>
      <c r="N302" s="89">
        <f t="shared" si="52"/>
        <v>2017.7070479985862</v>
      </c>
      <c r="O302" s="89">
        <f t="shared" si="53"/>
        <v>4386.32</v>
      </c>
      <c r="P302" s="89">
        <f t="shared" si="54"/>
        <v>3333.6038080056555</v>
      </c>
      <c r="Q302" s="113">
        <v>17436.099999999999</v>
      </c>
      <c r="R302" s="113">
        <f t="shared" si="55"/>
        <v>393.39970252367368</v>
      </c>
      <c r="S302" s="113">
        <f t="shared" si="56"/>
        <v>5827.8833001351504</v>
      </c>
      <c r="T302" s="113">
        <f t="shared" si="57"/>
        <v>7062.5202839042613</v>
      </c>
      <c r="U302" s="113">
        <f t="shared" si="58"/>
        <v>4152.2967134369128</v>
      </c>
      <c r="V302" s="87">
        <v>14400</v>
      </c>
      <c r="W302" s="87">
        <v>12508</v>
      </c>
      <c r="X302" s="63"/>
      <c r="Y302" s="63"/>
    </row>
    <row r="303" spans="1:25">
      <c r="A303" s="22" t="s">
        <v>71</v>
      </c>
      <c r="B303" s="63" t="s">
        <v>34</v>
      </c>
      <c r="C303" s="63">
        <v>176</v>
      </c>
      <c r="D303" s="63" t="s">
        <v>16</v>
      </c>
      <c r="E303" s="63">
        <v>6100004040</v>
      </c>
      <c r="F303" s="63">
        <v>244</v>
      </c>
      <c r="G303" s="10">
        <v>7453.9</v>
      </c>
      <c r="H303" s="10">
        <f t="shared" si="47"/>
        <v>600.54044847584805</v>
      </c>
      <c r="I303" s="10">
        <f t="shared" si="48"/>
        <v>3424.6103440988913</v>
      </c>
      <c r="J303" s="10">
        <f t="shared" si="49"/>
        <v>1725.9281459544666</v>
      </c>
      <c r="K303" s="10">
        <f t="shared" si="50"/>
        <v>1702.8220911851552</v>
      </c>
      <c r="L303" s="108"/>
      <c r="M303" s="89"/>
      <c r="N303" s="89"/>
      <c r="O303" s="89"/>
      <c r="P303" s="89"/>
      <c r="Q303" s="113">
        <v>8499.6</v>
      </c>
      <c r="R303" s="113">
        <f t="shared" si="55"/>
        <v>191.77110199931275</v>
      </c>
      <c r="S303" s="113">
        <f t="shared" si="56"/>
        <v>2840.9264054363493</v>
      </c>
      <c r="T303" s="113">
        <f t="shared" si="57"/>
        <v>3442.7766189155063</v>
      </c>
      <c r="U303" s="113">
        <f t="shared" si="58"/>
        <v>2024.1258736488312</v>
      </c>
      <c r="V303" s="87">
        <v>8000</v>
      </c>
      <c r="W303" s="87">
        <v>14760</v>
      </c>
      <c r="X303" s="63"/>
      <c r="Y303" s="63"/>
    </row>
    <row r="304" spans="1:25" ht="24" customHeight="1">
      <c r="A304" s="22" t="s">
        <v>72</v>
      </c>
      <c r="B304" s="63" t="s">
        <v>34</v>
      </c>
      <c r="C304" s="63">
        <v>176</v>
      </c>
      <c r="D304" s="63" t="s">
        <v>16</v>
      </c>
      <c r="E304" s="63">
        <v>6100004040</v>
      </c>
      <c r="F304" s="63">
        <v>244</v>
      </c>
      <c r="G304" s="10">
        <v>7484</v>
      </c>
      <c r="H304" s="10">
        <f t="shared" si="47"/>
        <v>602.96552360418673</v>
      </c>
      <c r="I304" s="10">
        <f t="shared" si="48"/>
        <v>3438.4394498498914</v>
      </c>
      <c r="J304" s="10">
        <f t="shared" si="49"/>
        <v>1732.8977105036593</v>
      </c>
      <c r="K304" s="10">
        <f t="shared" si="50"/>
        <v>1709.69834991477</v>
      </c>
      <c r="L304" s="108">
        <f>3210+24441.5</f>
        <v>27651.5</v>
      </c>
      <c r="M304" s="89">
        <f t="shared" si="51"/>
        <v>12304.917380222285</v>
      </c>
      <c r="N304" s="89">
        <f t="shared" si="52"/>
        <v>3179.9222604445699</v>
      </c>
      <c r="O304" s="89">
        <f t="shared" si="53"/>
        <v>6912.875</v>
      </c>
      <c r="P304" s="89">
        <f t="shared" si="54"/>
        <v>5253.7859582217206</v>
      </c>
      <c r="Q304" s="113">
        <v>27168</v>
      </c>
      <c r="R304" s="113">
        <f t="shared" si="55"/>
        <v>612.97441045664834</v>
      </c>
      <c r="S304" s="113">
        <f t="shared" si="56"/>
        <v>9080.6965719439431</v>
      </c>
      <c r="T304" s="113">
        <f t="shared" si="57"/>
        <v>11004.441995234656</v>
      </c>
      <c r="U304" s="113">
        <f t="shared" si="58"/>
        <v>6469.8870223647509</v>
      </c>
      <c r="V304" s="87">
        <v>12511.8</v>
      </c>
      <c r="W304" s="87">
        <v>20767</v>
      </c>
      <c r="X304" s="63"/>
      <c r="Y304" s="63"/>
    </row>
    <row r="305" spans="1:26" ht="68.400000000000006" customHeight="1">
      <c r="A305" s="22" t="s">
        <v>252</v>
      </c>
      <c r="B305" s="63" t="s">
        <v>34</v>
      </c>
      <c r="C305" s="63">
        <v>176</v>
      </c>
      <c r="D305" s="63" t="s">
        <v>16</v>
      </c>
      <c r="E305" s="63">
        <v>6100004040</v>
      </c>
      <c r="F305" s="63">
        <v>244</v>
      </c>
      <c r="G305" s="10">
        <v>66165.5</v>
      </c>
      <c r="H305" s="10">
        <v>66165.5</v>
      </c>
      <c r="I305" s="10">
        <v>0</v>
      </c>
      <c r="J305" s="10">
        <v>0</v>
      </c>
      <c r="K305" s="10">
        <v>0</v>
      </c>
      <c r="L305" s="108">
        <v>1955.5</v>
      </c>
      <c r="M305" s="89">
        <v>1955.5</v>
      </c>
      <c r="N305" s="89"/>
      <c r="O305" s="89"/>
      <c r="P305" s="89"/>
      <c r="Q305" s="113">
        <v>2334.9</v>
      </c>
      <c r="R305" s="113">
        <v>2334.9</v>
      </c>
      <c r="S305" s="113"/>
      <c r="T305" s="113"/>
      <c r="U305" s="113"/>
      <c r="V305" s="87"/>
      <c r="W305" s="87"/>
      <c r="X305" s="63"/>
      <c r="Y305" s="441" t="s">
        <v>650</v>
      </c>
      <c r="Z305" s="455">
        <f>Q268-Q305</f>
        <v>669920.19999999995</v>
      </c>
    </row>
    <row r="306" spans="1:26" ht="10.199999999999999" hidden="1" customHeight="1">
      <c r="A306" s="22"/>
      <c r="B306" s="63"/>
      <c r="C306" s="63"/>
      <c r="D306" s="63"/>
      <c r="E306" s="63"/>
      <c r="F306" s="63"/>
      <c r="G306" s="1"/>
      <c r="H306" s="1"/>
      <c r="I306" s="1"/>
      <c r="J306" s="1"/>
      <c r="K306" s="1"/>
      <c r="L306" s="77"/>
      <c r="M306" s="77"/>
      <c r="N306" s="77"/>
      <c r="O306" s="77"/>
      <c r="P306" s="77"/>
      <c r="Q306" s="118"/>
      <c r="R306" s="118"/>
      <c r="S306" s="118"/>
      <c r="T306" s="118"/>
      <c r="U306" s="118"/>
      <c r="V306" s="76"/>
      <c r="W306" s="76"/>
      <c r="X306" s="63"/>
      <c r="Y306" s="63"/>
      <c r="Z306" s="456"/>
    </row>
    <row r="307" spans="1:26" ht="44.4" customHeight="1">
      <c r="A307" s="498" t="s">
        <v>452</v>
      </c>
      <c r="B307" s="12" t="s">
        <v>75</v>
      </c>
      <c r="C307" s="12"/>
      <c r="D307" s="12"/>
      <c r="E307" s="12"/>
      <c r="F307" s="12"/>
      <c r="G307" s="8">
        <v>35</v>
      </c>
      <c r="H307" s="8">
        <v>30</v>
      </c>
      <c r="I307" s="8">
        <v>29</v>
      </c>
      <c r="J307" s="8">
        <v>31</v>
      </c>
      <c r="K307" s="8">
        <v>31</v>
      </c>
      <c r="L307" s="96">
        <v>35</v>
      </c>
      <c r="M307" s="96"/>
      <c r="N307" s="96"/>
      <c r="O307" s="96"/>
      <c r="P307" s="96"/>
      <c r="Q307" s="112">
        <v>35</v>
      </c>
      <c r="R307" s="112"/>
      <c r="S307" s="112"/>
      <c r="T307" s="112"/>
      <c r="U307" s="112"/>
      <c r="V307" s="60">
        <v>35</v>
      </c>
      <c r="W307" s="60">
        <v>35</v>
      </c>
      <c r="X307" s="489" t="s">
        <v>214</v>
      </c>
      <c r="Y307" s="489" t="s">
        <v>213</v>
      </c>
      <c r="Z307" s="455">
        <f>R270-R305</f>
        <v>15114.985999999999</v>
      </c>
    </row>
    <row r="308" spans="1:26" ht="1.2" hidden="1" customHeight="1">
      <c r="A308" s="499"/>
      <c r="B308" s="12" t="s">
        <v>25</v>
      </c>
      <c r="C308" s="12"/>
      <c r="D308" s="12"/>
      <c r="E308" s="12"/>
      <c r="F308" s="12"/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1"/>
      <c r="M308" s="91"/>
      <c r="N308" s="91"/>
      <c r="O308" s="91"/>
      <c r="P308" s="91"/>
      <c r="Q308" s="112"/>
      <c r="R308" s="112"/>
      <c r="S308" s="112"/>
      <c r="T308" s="112"/>
      <c r="U308" s="112"/>
      <c r="V308" s="60"/>
      <c r="W308" s="60"/>
      <c r="X308" s="490"/>
      <c r="Y308" s="490"/>
      <c r="Z308" s="456"/>
    </row>
    <row r="309" spans="1:26" ht="30" customHeight="1">
      <c r="A309" s="15"/>
      <c r="B309" s="12" t="s">
        <v>26</v>
      </c>
      <c r="C309" s="12">
        <v>176</v>
      </c>
      <c r="D309" s="12" t="s">
        <v>16</v>
      </c>
      <c r="E309" s="12" t="s">
        <v>673</v>
      </c>
      <c r="F309" s="12" t="s">
        <v>674</v>
      </c>
      <c r="G309" s="7">
        <f t="shared" ref="G309:P309" si="59">SUM(G313:G316)</f>
        <v>338311.1</v>
      </c>
      <c r="H309" s="7">
        <f t="shared" si="59"/>
        <v>23511.642</v>
      </c>
      <c r="I309" s="7">
        <f t="shared" si="59"/>
        <v>50374.6</v>
      </c>
      <c r="J309" s="7">
        <f t="shared" si="59"/>
        <v>50374.6</v>
      </c>
      <c r="K309" s="7">
        <f t="shared" si="59"/>
        <v>214050.258</v>
      </c>
      <c r="L309" s="91" t="e">
        <f t="shared" si="59"/>
        <v>#REF!</v>
      </c>
      <c r="M309" s="91" t="e">
        <f t="shared" si="59"/>
        <v>#REF!</v>
      </c>
      <c r="N309" s="91" t="e">
        <f t="shared" si="59"/>
        <v>#REF!</v>
      </c>
      <c r="O309" s="91" t="e">
        <f t="shared" si="59"/>
        <v>#REF!</v>
      </c>
      <c r="P309" s="91" t="e">
        <f t="shared" si="59"/>
        <v>#REF!</v>
      </c>
      <c r="Q309" s="114">
        <f>SUM(Q311:Q315)</f>
        <v>2968342.4123894731</v>
      </c>
      <c r="R309" s="114">
        <f t="shared" ref="R309:W309" si="60">SUM(R311:R315)</f>
        <v>286872.31578947371</v>
      </c>
      <c r="S309" s="114">
        <f t="shared" si="60"/>
        <v>434335.68421052635</v>
      </c>
      <c r="T309" s="114">
        <f t="shared" si="60"/>
        <v>1282276.5176526315</v>
      </c>
      <c r="U309" s="114">
        <f t="shared" si="60"/>
        <v>964857.89473684214</v>
      </c>
      <c r="V309" s="114">
        <f t="shared" si="60"/>
        <v>2096445.7894736843</v>
      </c>
      <c r="W309" s="114">
        <f t="shared" si="60"/>
        <v>1709697.7894736836</v>
      </c>
      <c r="X309" s="490"/>
      <c r="Y309" s="490"/>
      <c r="Z309" s="456"/>
    </row>
    <row r="310" spans="1:26">
      <c r="A310" s="15"/>
      <c r="B310" s="12" t="s">
        <v>10</v>
      </c>
      <c r="C310" s="12"/>
      <c r="D310" s="12"/>
      <c r="E310" s="12"/>
      <c r="F310" s="12"/>
      <c r="G310" s="7"/>
      <c r="H310" s="7"/>
      <c r="I310" s="7"/>
      <c r="J310" s="7"/>
      <c r="K310" s="7"/>
      <c r="L310" s="91"/>
      <c r="M310" s="91"/>
      <c r="N310" s="91"/>
      <c r="O310" s="91"/>
      <c r="P310" s="91"/>
      <c r="Q310" s="112"/>
      <c r="R310" s="112"/>
      <c r="S310" s="112"/>
      <c r="T310" s="112"/>
      <c r="U310" s="112"/>
      <c r="V310" s="60"/>
      <c r="W310" s="60"/>
      <c r="X310" s="490"/>
      <c r="Y310" s="490"/>
      <c r="Z310" s="456"/>
    </row>
    <row r="311" spans="1:26" ht="25.95" customHeight="1">
      <c r="A311" s="15"/>
      <c r="B311" s="12" t="s">
        <v>11</v>
      </c>
      <c r="C311" s="12">
        <v>176</v>
      </c>
      <c r="D311" s="12" t="s">
        <v>16</v>
      </c>
      <c r="E311" s="12">
        <v>6100070760</v>
      </c>
      <c r="F311" s="12" t="s">
        <v>674</v>
      </c>
      <c r="G311" s="7"/>
      <c r="H311" s="7"/>
      <c r="I311" s="7"/>
      <c r="J311" s="7"/>
      <c r="K311" s="7"/>
      <c r="L311" s="91"/>
      <c r="M311" s="91"/>
      <c r="N311" s="91"/>
      <c r="O311" s="91"/>
      <c r="P311" s="91"/>
      <c r="Q311" s="112">
        <f>Q318+Q319+Q320+Q321+Q322+Q323+Q324+Q325+Q326+Q327+Q332+Q334+Q335+Q336+Q337+Q338+Q339+Q340+Q341+Q342+Q348+Q350+Q351+Q352+Q353+Q354+Q355+Q356+Q357+Q359+Q362+Q365+Q368+Q371+Q372+Q343</f>
        <v>2043831.7</v>
      </c>
      <c r="R311" s="112">
        <f t="shared" ref="R311:U311" si="61">R318+R319+R320+R321+R322+R323+R324+R325+R326+R327+R332+R334+R335+R336+R337+R338+R339+R340+R341+R342+R348+R350+R351+R352+R353+R354+R355+R356+R357+R359+R362+R365+R368+R371+R372+R343</f>
        <v>252528.7</v>
      </c>
      <c r="S311" s="112">
        <f t="shared" si="61"/>
        <v>270895.5</v>
      </c>
      <c r="T311" s="112">
        <f t="shared" si="61"/>
        <v>850622.39999999991</v>
      </c>
      <c r="U311" s="112">
        <f t="shared" si="61"/>
        <v>669785.1</v>
      </c>
      <c r="V311" s="112">
        <f>V318+V319+V320+V321+V322+V323+V324+V325+V326+V327+V332+V334+V335+V336+V337+V338+V339+V340+V341+V342+V343+V348+V350+V351+V352+V353+V354+V355+V356+V357+V359+V362+V365+V368+V372</f>
        <v>1391623.5</v>
      </c>
      <c r="W311" s="112">
        <f>W318+W319+W320+W321+W322+W323+W324+W325+W326+W327+W332+W334+W335+W336+W337+W338+W339+W340+W341+W342+W343+W348+W350+W351+W352+W353+W354+W355+W356+W357+W359+W362+W365+W368+W372</f>
        <v>1624212.8999999994</v>
      </c>
      <c r="X311" s="490"/>
      <c r="Y311" s="490"/>
      <c r="Z311" s="456"/>
    </row>
    <row r="312" spans="1:26" ht="25.95" customHeight="1">
      <c r="A312" s="15"/>
      <c r="B312" s="12" t="s">
        <v>11</v>
      </c>
      <c r="C312" s="12">
        <v>176</v>
      </c>
      <c r="D312" s="12" t="s">
        <v>16</v>
      </c>
      <c r="E312" s="12" t="s">
        <v>616</v>
      </c>
      <c r="F312" s="12">
        <v>522</v>
      </c>
      <c r="G312" s="7"/>
      <c r="H312" s="7"/>
      <c r="I312" s="7"/>
      <c r="J312" s="7"/>
      <c r="K312" s="7"/>
      <c r="L312" s="91"/>
      <c r="M312" s="91"/>
      <c r="N312" s="91"/>
      <c r="O312" s="91"/>
      <c r="P312" s="91"/>
      <c r="Q312" s="112">
        <f>Q331+Q347</f>
        <v>86565.891770000017</v>
      </c>
      <c r="R312" s="112">
        <f>R331+R347</f>
        <v>20000</v>
      </c>
      <c r="S312" s="112">
        <f>S331+S347</f>
        <v>3753.4</v>
      </c>
      <c r="T312" s="112">
        <f t="shared" ref="T312:W312" si="62">T331+T347</f>
        <v>62812.491770000008</v>
      </c>
      <c r="U312" s="112">
        <f>U331+U347</f>
        <v>0</v>
      </c>
      <c r="V312" s="112">
        <f t="shared" si="62"/>
        <v>0</v>
      </c>
      <c r="W312" s="112">
        <f t="shared" si="62"/>
        <v>0</v>
      </c>
      <c r="X312" s="490"/>
      <c r="Y312" s="490"/>
      <c r="Z312" s="456"/>
    </row>
    <row r="313" spans="1:26" ht="30.75" customHeight="1">
      <c r="A313" s="15"/>
      <c r="B313" s="12" t="s">
        <v>476</v>
      </c>
      <c r="C313" s="12">
        <v>176</v>
      </c>
      <c r="D313" s="187" t="s">
        <v>16</v>
      </c>
      <c r="E313" s="12">
        <v>6100053901</v>
      </c>
      <c r="F313" s="12">
        <v>521</v>
      </c>
      <c r="G313" s="7">
        <v>0</v>
      </c>
      <c r="H313" s="7">
        <v>0</v>
      </c>
      <c r="I313" s="7">
        <v>0</v>
      </c>
      <c r="J313" s="35">
        <v>0</v>
      </c>
      <c r="K313" s="35">
        <v>0</v>
      </c>
      <c r="L313" s="97"/>
      <c r="M313" s="97"/>
      <c r="N313" s="97"/>
      <c r="O313" s="97"/>
      <c r="P313" s="97"/>
      <c r="Q313" s="119">
        <f>Q360+Q363+Q366+Q369+Q373</f>
        <v>596829.9</v>
      </c>
      <c r="R313" s="119">
        <f t="shared" ref="R313:U313" si="63">R360+R363+R366+R369+R373</f>
        <v>0</v>
      </c>
      <c r="S313" s="119">
        <f t="shared" si="63"/>
        <v>100000</v>
      </c>
      <c r="T313" s="119">
        <f t="shared" si="63"/>
        <v>250000</v>
      </c>
      <c r="U313" s="119">
        <f t="shared" si="63"/>
        <v>246829.9</v>
      </c>
      <c r="V313" s="119">
        <f t="shared" ref="V313:W313" si="64">V360+V363+V366+V369+V373</f>
        <v>600000</v>
      </c>
      <c r="W313" s="119">
        <f t="shared" si="64"/>
        <v>0</v>
      </c>
      <c r="X313" s="490"/>
      <c r="Y313" s="490"/>
      <c r="Z313" s="456"/>
    </row>
    <row r="314" spans="1:26" ht="30.75" customHeight="1">
      <c r="A314" s="15"/>
      <c r="B314" s="12" t="s">
        <v>35</v>
      </c>
      <c r="C314" s="12">
        <v>176</v>
      </c>
      <c r="D314" s="187" t="s">
        <v>16</v>
      </c>
      <c r="E314" s="12" t="s">
        <v>616</v>
      </c>
      <c r="F314" s="12">
        <v>522</v>
      </c>
      <c r="G314" s="7"/>
      <c r="H314" s="7"/>
      <c r="I314" s="7"/>
      <c r="J314" s="35"/>
      <c r="K314" s="35"/>
      <c r="L314" s="97"/>
      <c r="M314" s="97"/>
      <c r="N314" s="97"/>
      <c r="O314" s="97"/>
      <c r="P314" s="97"/>
      <c r="Q314" s="119">
        <f>Q330+Q346</f>
        <v>92697.8</v>
      </c>
      <c r="R314" s="119">
        <f t="shared" ref="R314:U314" si="65">R330+R346</f>
        <v>0</v>
      </c>
      <c r="S314" s="119">
        <f t="shared" si="65"/>
        <v>37970</v>
      </c>
      <c r="T314" s="119">
        <f t="shared" si="65"/>
        <v>54727.8</v>
      </c>
      <c r="U314" s="119">
        <f t="shared" si="65"/>
        <v>0</v>
      </c>
      <c r="V314" s="119">
        <f>V330+V346</f>
        <v>0</v>
      </c>
      <c r="W314" s="119">
        <f>W330+W346</f>
        <v>0</v>
      </c>
      <c r="X314" s="490"/>
      <c r="Y314" s="490"/>
      <c r="Z314" s="456"/>
    </row>
    <row r="315" spans="1:26" ht="33.75" customHeight="1">
      <c r="A315" s="15"/>
      <c r="B315" s="12" t="s">
        <v>12</v>
      </c>
      <c r="C315" s="12"/>
      <c r="D315" s="12"/>
      <c r="E315" s="12"/>
      <c r="F315" s="12"/>
      <c r="G315" s="7">
        <v>338311.1</v>
      </c>
      <c r="H315" s="7">
        <f>8011.642+15500</f>
        <v>23511.642</v>
      </c>
      <c r="I315" s="7">
        <v>50374.6</v>
      </c>
      <c r="J315" s="7">
        <v>50374.6</v>
      </c>
      <c r="K315" s="7">
        <f>G315-H315-I315-J315</f>
        <v>214050.258</v>
      </c>
      <c r="L315" s="60" t="e">
        <f>#REF!/0.95*0.05</f>
        <v>#REF!</v>
      </c>
      <c r="M315" s="60" t="e">
        <f>#REF!/0.95*0.05</f>
        <v>#REF!</v>
      </c>
      <c r="N315" s="60" t="e">
        <f>#REF!/0.95*0.05</f>
        <v>#REF!</v>
      </c>
      <c r="O315" s="60" t="e">
        <f>#REF!/0.95*0.05</f>
        <v>#REF!</v>
      </c>
      <c r="P315" s="60" t="e">
        <f>#REF!/0.95*0.05</f>
        <v>#REF!</v>
      </c>
      <c r="Q315" s="112">
        <f>(Q311+Q312+Q313+Q314)/0.95*0.05</f>
        <v>148417.12061947369</v>
      </c>
      <c r="R315" s="112">
        <f t="shared" ref="R315:U315" si="66">(R311+R312+R313+R314)/0.95*0.05</f>
        <v>14343.615789473686</v>
      </c>
      <c r="S315" s="112">
        <f t="shared" si="66"/>
        <v>21716.784210526319</v>
      </c>
      <c r="T315" s="112">
        <f t="shared" si="66"/>
        <v>64113.82588263158</v>
      </c>
      <c r="U315" s="112">
        <f t="shared" si="66"/>
        <v>48242.894736842107</v>
      </c>
      <c r="V315" s="60">
        <f>(V311/0.95*0.05)+(V313/0.95*0.05)</f>
        <v>104822.28947368421</v>
      </c>
      <c r="W315" s="60">
        <f>W311/0.95*0.05</f>
        <v>85484.88947368419</v>
      </c>
      <c r="X315" s="490"/>
      <c r="Y315" s="490"/>
      <c r="Z315" s="456"/>
    </row>
    <row r="316" spans="1:26" ht="29.4" customHeight="1">
      <c r="A316" s="16"/>
      <c r="B316" s="12" t="s">
        <v>665</v>
      </c>
      <c r="C316" s="12"/>
      <c r="D316" s="12"/>
      <c r="E316" s="12"/>
      <c r="F316" s="12"/>
      <c r="G316" s="7">
        <v>0</v>
      </c>
      <c r="H316" s="7">
        <v>0</v>
      </c>
      <c r="I316" s="7">
        <v>0</v>
      </c>
      <c r="J316" s="36">
        <v>0</v>
      </c>
      <c r="K316" s="36">
        <v>0</v>
      </c>
      <c r="L316" s="98" t="s">
        <v>298</v>
      </c>
      <c r="M316" s="98"/>
      <c r="N316" s="98"/>
      <c r="O316" s="98"/>
      <c r="P316" s="98"/>
      <c r="Q316" s="120"/>
      <c r="R316" s="120"/>
      <c r="S316" s="120"/>
      <c r="T316" s="120"/>
      <c r="U316" s="120"/>
      <c r="V316" s="86"/>
      <c r="W316" s="60"/>
      <c r="X316" s="491"/>
      <c r="Y316" s="491"/>
      <c r="Z316" s="456"/>
    </row>
    <row r="317" spans="1:26">
      <c r="A317" s="22" t="s">
        <v>42</v>
      </c>
      <c r="B317" s="63"/>
      <c r="C317" s="63"/>
      <c r="D317" s="63"/>
      <c r="E317" s="63"/>
      <c r="F317" s="63"/>
      <c r="G317" s="6"/>
      <c r="H317" s="6"/>
      <c r="I317" s="6"/>
      <c r="J317" s="6"/>
      <c r="K317" s="6"/>
      <c r="L317" s="94"/>
      <c r="M317" s="94"/>
      <c r="N317" s="94"/>
      <c r="O317" s="94"/>
      <c r="P317" s="94"/>
      <c r="Q317" s="113"/>
      <c r="R317" s="113"/>
      <c r="S317" s="113"/>
      <c r="T317" s="113"/>
      <c r="U317" s="113"/>
      <c r="V317" s="87"/>
      <c r="W317" s="87"/>
      <c r="X317" s="63"/>
      <c r="Y317" s="63"/>
      <c r="Z317" s="456"/>
    </row>
    <row r="318" spans="1:26" ht="13.95" customHeight="1">
      <c r="A318" s="24" t="s">
        <v>43</v>
      </c>
      <c r="B318" s="63" t="s">
        <v>11</v>
      </c>
      <c r="C318" s="63">
        <v>176</v>
      </c>
      <c r="D318" s="63" t="s">
        <v>16</v>
      </c>
      <c r="E318" s="63">
        <v>6100070760</v>
      </c>
      <c r="F318" s="63">
        <v>521</v>
      </c>
      <c r="G318" s="25">
        <v>24508</v>
      </c>
      <c r="H318" s="26">
        <v>7125.1819999999998</v>
      </c>
      <c r="I318" s="25">
        <f>7500-0.0002</f>
        <v>7499.9997999999996</v>
      </c>
      <c r="J318" s="25">
        <v>9869.5759999999991</v>
      </c>
      <c r="K318" s="25">
        <f>G318-H318-I318-J318</f>
        <v>13.242200000000594</v>
      </c>
      <c r="L318" s="99">
        <v>30742.400000000001</v>
      </c>
      <c r="M318" s="99">
        <v>2663.4</v>
      </c>
      <c r="N318" s="99"/>
      <c r="O318" s="99">
        <f t="shared" ref="O318:O328" si="67">Z318-N318-M318</f>
        <v>-2663.4</v>
      </c>
      <c r="P318" s="99">
        <f>L318-M318-N318-O318</f>
        <v>30742.400000000001</v>
      </c>
      <c r="Q318" s="121">
        <v>17976.3</v>
      </c>
      <c r="R318" s="121">
        <v>0</v>
      </c>
      <c r="S318" s="121">
        <v>2696.5</v>
      </c>
      <c r="T318" s="121">
        <v>9886.9</v>
      </c>
      <c r="U318" s="121">
        <v>5392.9</v>
      </c>
      <c r="V318" s="52">
        <v>14726.099999999999</v>
      </c>
      <c r="W318" s="52">
        <v>19328</v>
      </c>
      <c r="X318" s="45"/>
      <c r="Y318" s="63"/>
      <c r="Z318" s="457"/>
    </row>
    <row r="319" spans="1:26">
      <c r="A319" s="24" t="s">
        <v>44</v>
      </c>
      <c r="B319" s="63" t="s">
        <v>11</v>
      </c>
      <c r="C319" s="63">
        <v>176</v>
      </c>
      <c r="D319" s="63" t="s">
        <v>16</v>
      </c>
      <c r="E319" s="63">
        <v>6100070760</v>
      </c>
      <c r="F319" s="63">
        <v>521</v>
      </c>
      <c r="G319" s="25">
        <v>19723.599999999999</v>
      </c>
      <c r="H319" s="26">
        <v>5553.4560000000001</v>
      </c>
      <c r="I319" s="25">
        <v>0</v>
      </c>
      <c r="J319" s="25">
        <v>10696</v>
      </c>
      <c r="K319" s="25">
        <f t="shared" ref="K319:K370" si="68">G319-H319-I319-J319</f>
        <v>3474.1439999999984</v>
      </c>
      <c r="L319" s="99">
        <v>30826.2</v>
      </c>
      <c r="M319" s="99">
        <v>1290.51</v>
      </c>
      <c r="N319" s="99"/>
      <c r="O319" s="99">
        <f t="shared" si="67"/>
        <v>-1290.51</v>
      </c>
      <c r="P319" s="99">
        <f t="shared" ref="P319:P370" si="69">L319-M319-N319-O319</f>
        <v>30826.2</v>
      </c>
      <c r="Q319" s="121">
        <v>35878.800000000003</v>
      </c>
      <c r="R319" s="121">
        <v>0</v>
      </c>
      <c r="S319" s="121">
        <v>5000</v>
      </c>
      <c r="T319" s="121">
        <v>19800</v>
      </c>
      <c r="U319" s="121">
        <v>11078.8</v>
      </c>
      <c r="V319" s="52">
        <v>25243.200000000004</v>
      </c>
      <c r="W319" s="52">
        <v>32687.500000000004</v>
      </c>
      <c r="X319" s="45"/>
      <c r="Y319" s="63"/>
      <c r="Z319" s="457"/>
    </row>
    <row r="320" spans="1:26">
      <c r="A320" s="24" t="s">
        <v>45</v>
      </c>
      <c r="B320" s="63" t="s">
        <v>11</v>
      </c>
      <c r="C320" s="63">
        <v>176</v>
      </c>
      <c r="D320" s="63" t="s">
        <v>16</v>
      </c>
      <c r="E320" s="63">
        <v>6100070760</v>
      </c>
      <c r="F320" s="448" t="s">
        <v>684</v>
      </c>
      <c r="G320" s="25">
        <v>27619.3</v>
      </c>
      <c r="H320" s="26">
        <f>3566.323+0.02281</f>
        <v>3566.3458099999998</v>
      </c>
      <c r="I320" s="25">
        <v>4989.1400000000003</v>
      </c>
      <c r="J320" s="25">
        <f>10382.2+0.03-0.02281</f>
        <v>10382.207190000001</v>
      </c>
      <c r="K320" s="25">
        <f t="shared" si="68"/>
        <v>8681.607</v>
      </c>
      <c r="L320" s="99">
        <f>33974.2+9072.7</f>
        <v>43046.899999999994</v>
      </c>
      <c r="M320" s="99">
        <v>824.77</v>
      </c>
      <c r="N320" s="99">
        <v>1473.9280000000001</v>
      </c>
      <c r="O320" s="99">
        <f t="shared" si="67"/>
        <v>-2298.6980000000003</v>
      </c>
      <c r="P320" s="99">
        <f t="shared" si="69"/>
        <v>43046.899999999994</v>
      </c>
      <c r="Q320" s="121">
        <v>58765.8</v>
      </c>
      <c r="R320" s="121">
        <v>2000</v>
      </c>
      <c r="S320" s="121">
        <v>8800</v>
      </c>
      <c r="T320" s="121">
        <v>30400</v>
      </c>
      <c r="U320" s="121">
        <v>17565.8</v>
      </c>
      <c r="V320" s="52">
        <v>38688.800000000003</v>
      </c>
      <c r="W320" s="52">
        <v>49793.100000000006</v>
      </c>
      <c r="X320" s="45"/>
      <c r="Y320" s="63"/>
      <c r="Z320" s="457"/>
    </row>
    <row r="321" spans="1:26">
      <c r="A321" s="24" t="s">
        <v>46</v>
      </c>
      <c r="B321" s="63" t="s">
        <v>11</v>
      </c>
      <c r="C321" s="63">
        <v>176</v>
      </c>
      <c r="D321" s="63" t="s">
        <v>16</v>
      </c>
      <c r="E321" s="63">
        <v>6100070760</v>
      </c>
      <c r="F321" s="448">
        <v>521</v>
      </c>
      <c r="G321" s="25">
        <f>30194.7</f>
        <v>30194.7</v>
      </c>
      <c r="H321" s="26">
        <v>4034.8229999999999</v>
      </c>
      <c r="I321" s="25">
        <f>5388.581-0.003</f>
        <v>5388.5780000000004</v>
      </c>
      <c r="J321" s="25">
        <v>16782.23</v>
      </c>
      <c r="K321" s="25">
        <f t="shared" si="68"/>
        <v>3989.0689999999995</v>
      </c>
      <c r="L321" s="99">
        <f>68408.3+2500</f>
        <v>70908.3</v>
      </c>
      <c r="M321" s="99">
        <v>8302.17</v>
      </c>
      <c r="N321" s="99">
        <v>5000</v>
      </c>
      <c r="O321" s="99">
        <f t="shared" si="67"/>
        <v>-13302.17</v>
      </c>
      <c r="P321" s="99">
        <f t="shared" si="69"/>
        <v>70908.3</v>
      </c>
      <c r="Q321" s="121">
        <v>24789</v>
      </c>
      <c r="R321" s="121">
        <v>0</v>
      </c>
      <c r="S321" s="121">
        <v>3700</v>
      </c>
      <c r="T321" s="121">
        <v>16700</v>
      </c>
      <c r="U321" s="121">
        <v>4389</v>
      </c>
      <c r="V321" s="52">
        <v>18728.2</v>
      </c>
      <c r="W321" s="52">
        <v>24399.1</v>
      </c>
      <c r="X321" s="45"/>
      <c r="Y321" s="63"/>
      <c r="Z321" s="457"/>
    </row>
    <row r="322" spans="1:26">
      <c r="A322" s="24" t="s">
        <v>47</v>
      </c>
      <c r="B322" s="63" t="s">
        <v>11</v>
      </c>
      <c r="C322" s="63">
        <v>176</v>
      </c>
      <c r="D322" s="63" t="s">
        <v>16</v>
      </c>
      <c r="E322" s="63">
        <v>6100070760</v>
      </c>
      <c r="F322" s="448">
        <v>521</v>
      </c>
      <c r="G322" s="25">
        <v>28039.8</v>
      </c>
      <c r="H322" s="26">
        <v>0</v>
      </c>
      <c r="I322" s="25">
        <f>949.384-0.004</f>
        <v>949.38</v>
      </c>
      <c r="J322" s="25">
        <v>13872.55</v>
      </c>
      <c r="K322" s="25">
        <f t="shared" si="68"/>
        <v>13217.869999999999</v>
      </c>
      <c r="L322" s="99">
        <v>34306.6</v>
      </c>
      <c r="M322" s="99"/>
      <c r="N322" s="99"/>
      <c r="O322" s="99">
        <f t="shared" si="67"/>
        <v>0</v>
      </c>
      <c r="P322" s="99">
        <f t="shared" si="69"/>
        <v>34306.6</v>
      </c>
      <c r="Q322" s="121">
        <v>32167.7</v>
      </c>
      <c r="R322" s="121">
        <v>0</v>
      </c>
      <c r="S322" s="121">
        <v>4800</v>
      </c>
      <c r="T322" s="121">
        <v>17700</v>
      </c>
      <c r="U322" s="121">
        <v>9667.7000000000007</v>
      </c>
      <c r="V322" s="52">
        <v>23062.999999999996</v>
      </c>
      <c r="W322" s="52">
        <v>29913.899999999998</v>
      </c>
      <c r="X322" s="45"/>
      <c r="Y322" s="63"/>
      <c r="Z322" s="457"/>
    </row>
    <row r="323" spans="1:26">
      <c r="A323" s="24" t="s">
        <v>48</v>
      </c>
      <c r="B323" s="63" t="s">
        <v>11</v>
      </c>
      <c r="C323" s="63">
        <v>176</v>
      </c>
      <c r="D323" s="63" t="s">
        <v>16</v>
      </c>
      <c r="E323" s="63">
        <v>6100070760</v>
      </c>
      <c r="F323" s="448">
        <v>521</v>
      </c>
      <c r="G323" s="25">
        <v>20913.7</v>
      </c>
      <c r="H323" s="26">
        <v>59.9</v>
      </c>
      <c r="I323" s="25">
        <v>8559.0319999999992</v>
      </c>
      <c r="J323" s="25">
        <v>8112.0680000000002</v>
      </c>
      <c r="K323" s="25">
        <f t="shared" si="68"/>
        <v>4182.7</v>
      </c>
      <c r="L323" s="99">
        <v>27115.100000000002</v>
      </c>
      <c r="M323" s="99">
        <v>328.27</v>
      </c>
      <c r="N323" s="99">
        <v>3181.33</v>
      </c>
      <c r="O323" s="99">
        <f t="shared" si="67"/>
        <v>-3509.6</v>
      </c>
      <c r="P323" s="99">
        <f t="shared" si="69"/>
        <v>27115.1</v>
      </c>
      <c r="Q323" s="121">
        <v>22710.400000000001</v>
      </c>
      <c r="R323" s="121">
        <v>2928.7</v>
      </c>
      <c r="S323" s="121">
        <v>6299</v>
      </c>
      <c r="T323" s="121">
        <v>9932.7000000000007</v>
      </c>
      <c r="U323" s="121">
        <v>3550</v>
      </c>
      <c r="V323" s="52">
        <v>17507.100000000002</v>
      </c>
      <c r="W323" s="52">
        <v>22845.600000000002</v>
      </c>
      <c r="X323" s="45"/>
      <c r="Y323" s="63"/>
      <c r="Z323" s="457"/>
    </row>
    <row r="324" spans="1:26">
      <c r="A324" s="24" t="s">
        <v>49</v>
      </c>
      <c r="B324" s="63" t="s">
        <v>11</v>
      </c>
      <c r="C324" s="63">
        <v>176</v>
      </c>
      <c r="D324" s="63" t="s">
        <v>16</v>
      </c>
      <c r="E324" s="63">
        <v>6100070760</v>
      </c>
      <c r="F324" s="448" t="s">
        <v>684</v>
      </c>
      <c r="G324" s="25">
        <v>32946.400000000001</v>
      </c>
      <c r="H324" s="26">
        <v>0</v>
      </c>
      <c r="I324" s="25">
        <v>0</v>
      </c>
      <c r="J324" s="25">
        <v>26000</v>
      </c>
      <c r="K324" s="25">
        <f t="shared" si="68"/>
        <v>6946.4000000000015</v>
      </c>
      <c r="L324" s="99">
        <v>39258.699999999997</v>
      </c>
      <c r="M324" s="99"/>
      <c r="N324" s="99"/>
      <c r="O324" s="99">
        <f t="shared" si="67"/>
        <v>0</v>
      </c>
      <c r="P324" s="99">
        <f t="shared" si="69"/>
        <v>39258.699999999997</v>
      </c>
      <c r="Q324" s="121">
        <v>64812.100000000006</v>
      </c>
      <c r="R324" s="121">
        <v>0</v>
      </c>
      <c r="S324" s="121">
        <v>9700</v>
      </c>
      <c r="T324" s="121">
        <v>35700</v>
      </c>
      <c r="U324" s="121">
        <v>19412.099999999999</v>
      </c>
      <c r="V324" s="52">
        <v>45178.3</v>
      </c>
      <c r="W324" s="52">
        <v>58049.000000000007</v>
      </c>
      <c r="X324" s="45"/>
      <c r="Y324" s="63"/>
      <c r="Z324" s="457"/>
    </row>
    <row r="325" spans="1:26">
      <c r="A325" s="24" t="s">
        <v>50</v>
      </c>
      <c r="B325" s="63" t="s">
        <v>11</v>
      </c>
      <c r="C325" s="63">
        <v>176</v>
      </c>
      <c r="D325" s="63" t="s">
        <v>16</v>
      </c>
      <c r="E325" s="63">
        <v>6100070760</v>
      </c>
      <c r="F325" s="448">
        <v>521</v>
      </c>
      <c r="G325" s="25">
        <f>21639.8</f>
        <v>21639.8</v>
      </c>
      <c r="H325" s="26">
        <v>21639.8</v>
      </c>
      <c r="I325" s="25">
        <v>0</v>
      </c>
      <c r="J325" s="25">
        <v>0</v>
      </c>
      <c r="K325" s="25">
        <f t="shared" si="68"/>
        <v>0</v>
      </c>
      <c r="L325" s="99">
        <f>28963+2000</f>
        <v>30963</v>
      </c>
      <c r="M325" s="99">
        <v>2230.1999999999998</v>
      </c>
      <c r="N325" s="99"/>
      <c r="O325" s="99">
        <f t="shared" si="67"/>
        <v>-2230.1999999999998</v>
      </c>
      <c r="P325" s="99">
        <f t="shared" si="69"/>
        <v>30963</v>
      </c>
      <c r="Q325" s="121">
        <v>39372.300000000003</v>
      </c>
      <c r="R325" s="121">
        <v>0</v>
      </c>
      <c r="S325" s="121">
        <v>5900</v>
      </c>
      <c r="T325" s="121">
        <v>21700</v>
      </c>
      <c r="U325" s="121">
        <v>11772.3</v>
      </c>
      <c r="V325" s="52">
        <v>27295.600000000002</v>
      </c>
      <c r="W325" s="52">
        <v>35298.5</v>
      </c>
      <c r="X325" s="45"/>
      <c r="Y325" s="63"/>
      <c r="Z325" s="457"/>
    </row>
    <row r="326" spans="1:26">
      <c r="A326" s="24" t="s">
        <v>51</v>
      </c>
      <c r="B326" s="63" t="s">
        <v>11</v>
      </c>
      <c r="C326" s="63">
        <v>176</v>
      </c>
      <c r="D326" s="63" t="s">
        <v>16</v>
      </c>
      <c r="E326" s="63">
        <v>6100070760</v>
      </c>
      <c r="F326" s="448">
        <v>521</v>
      </c>
      <c r="G326" s="25">
        <v>22060.3</v>
      </c>
      <c r="H326" s="26">
        <v>47.16</v>
      </c>
      <c r="I326" s="25">
        <v>2430.5</v>
      </c>
      <c r="J326" s="25">
        <v>14476.28</v>
      </c>
      <c r="K326" s="25">
        <f t="shared" si="68"/>
        <v>5106.3599999999988</v>
      </c>
      <c r="L326" s="99">
        <v>28181</v>
      </c>
      <c r="M326" s="99">
        <v>156.4</v>
      </c>
      <c r="N326" s="99">
        <v>11116</v>
      </c>
      <c r="O326" s="99">
        <f t="shared" si="67"/>
        <v>-11272.4</v>
      </c>
      <c r="P326" s="99">
        <f t="shared" si="69"/>
        <v>28181</v>
      </c>
      <c r="Q326" s="121">
        <v>23309</v>
      </c>
      <c r="R326" s="121">
        <v>0</v>
      </c>
      <c r="S326" s="121">
        <v>3400</v>
      </c>
      <c r="T326" s="121">
        <v>12800</v>
      </c>
      <c r="U326" s="121">
        <v>7109</v>
      </c>
      <c r="V326" s="52">
        <v>17858.7</v>
      </c>
      <c r="W326" s="52">
        <v>23293</v>
      </c>
      <c r="X326" s="45"/>
      <c r="Y326" s="63"/>
      <c r="Z326" s="457"/>
    </row>
    <row r="327" spans="1:26">
      <c r="A327" s="24" t="s">
        <v>52</v>
      </c>
      <c r="B327" s="63" t="s">
        <v>11</v>
      </c>
      <c r="C327" s="63">
        <v>176</v>
      </c>
      <c r="D327" s="63" t="s">
        <v>16</v>
      </c>
      <c r="E327" s="63">
        <v>6100070760</v>
      </c>
      <c r="F327" s="448" t="s">
        <v>684</v>
      </c>
      <c r="G327" s="25">
        <f>24859.7</f>
        <v>24859.7</v>
      </c>
      <c r="H327" s="26">
        <v>0</v>
      </c>
      <c r="I327" s="25">
        <v>18165.41</v>
      </c>
      <c r="J327" s="25">
        <v>1722.39</v>
      </c>
      <c r="K327" s="25">
        <f t="shared" si="68"/>
        <v>4971.9000000000005</v>
      </c>
      <c r="L327" s="99">
        <f>35597.3+2500</f>
        <v>38097.300000000003</v>
      </c>
      <c r="M327" s="99">
        <v>12279.986000000001</v>
      </c>
      <c r="N327" s="99">
        <v>464.46300000000002</v>
      </c>
      <c r="O327" s="99">
        <f t="shared" si="67"/>
        <v>-12744.449000000001</v>
      </c>
      <c r="P327" s="99">
        <f t="shared" si="69"/>
        <v>38097.300000000003</v>
      </c>
      <c r="Q327" s="121">
        <v>68739.5</v>
      </c>
      <c r="R327" s="121">
        <v>8000</v>
      </c>
      <c r="S327" s="121">
        <v>9000</v>
      </c>
      <c r="T327" s="121">
        <v>30900</v>
      </c>
      <c r="U327" s="121">
        <v>20839.5</v>
      </c>
      <c r="V327" s="52">
        <v>32122.7</v>
      </c>
      <c r="W327" s="52">
        <v>41439.599999999999</v>
      </c>
      <c r="X327" s="45"/>
      <c r="Y327" s="63"/>
      <c r="Z327" s="457"/>
    </row>
    <row r="328" spans="1:26" ht="11.4" hidden="1" customHeight="1">
      <c r="A328" s="484" t="s">
        <v>53</v>
      </c>
      <c r="B328" s="171" t="s">
        <v>26</v>
      </c>
      <c r="C328" s="63">
        <v>176</v>
      </c>
      <c r="D328" s="63" t="s">
        <v>16</v>
      </c>
      <c r="E328" s="63" t="s">
        <v>330</v>
      </c>
      <c r="F328" s="448">
        <v>520</v>
      </c>
      <c r="G328" s="25">
        <f>34883.3</f>
        <v>34883.300000000003</v>
      </c>
      <c r="H328" s="26">
        <v>4596.0709999999999</v>
      </c>
      <c r="I328" s="25">
        <f>793-0.001</f>
        <v>792.99900000000002</v>
      </c>
      <c r="J328" s="25">
        <v>22517.63</v>
      </c>
      <c r="K328" s="25">
        <f t="shared" si="68"/>
        <v>6976.6000000000022</v>
      </c>
      <c r="L328" s="99">
        <v>39695.599999999999</v>
      </c>
      <c r="M328" s="99">
        <v>2244.8000000000002</v>
      </c>
      <c r="N328" s="99">
        <v>13433.44</v>
      </c>
      <c r="O328" s="99">
        <f t="shared" si="67"/>
        <v>-15678.240000000002</v>
      </c>
      <c r="P328" s="99">
        <f t="shared" si="69"/>
        <v>39695.599999999991</v>
      </c>
      <c r="Q328" s="121">
        <v>0</v>
      </c>
      <c r="R328" s="121">
        <v>8500000</v>
      </c>
      <c r="S328" s="121">
        <v>13000000</v>
      </c>
      <c r="T328" s="121">
        <v>38400000</v>
      </c>
      <c r="U328" s="121">
        <v>25404100</v>
      </c>
      <c r="V328" s="52">
        <v>0</v>
      </c>
      <c r="W328" s="52">
        <v>0</v>
      </c>
      <c r="X328" s="45"/>
      <c r="Y328" s="63"/>
      <c r="Z328" s="457"/>
    </row>
    <row r="329" spans="1:26" ht="18" customHeight="1">
      <c r="A329" s="485"/>
      <c r="B329" s="393" t="s">
        <v>26</v>
      </c>
      <c r="C329" s="393">
        <v>176</v>
      </c>
      <c r="D329" s="405" t="s">
        <v>16</v>
      </c>
      <c r="E329" s="393" t="s">
        <v>330</v>
      </c>
      <c r="F329" s="448" t="s">
        <v>674</v>
      </c>
      <c r="G329" s="25"/>
      <c r="H329" s="26"/>
      <c r="I329" s="25"/>
      <c r="J329" s="25"/>
      <c r="K329" s="25"/>
      <c r="L329" s="99"/>
      <c r="M329" s="99"/>
      <c r="N329" s="99"/>
      <c r="O329" s="99"/>
      <c r="P329" s="99"/>
      <c r="Q329" s="121">
        <f>SUM(Q330:Q332)</f>
        <v>138318.99177000002</v>
      </c>
      <c r="R329" s="121">
        <v>8500</v>
      </c>
      <c r="S329" s="121">
        <f>S330+S332</f>
        <v>28970</v>
      </c>
      <c r="T329" s="121">
        <f>T330+T332+T331</f>
        <v>94796.491769999993</v>
      </c>
      <c r="U329" s="121">
        <f>U330+U332+U331</f>
        <v>6052.5</v>
      </c>
      <c r="V329" s="52">
        <f>V330+V332</f>
        <v>33529.199999999997</v>
      </c>
      <c r="W329" s="52">
        <f>W330+W332</f>
        <v>43229</v>
      </c>
      <c r="X329" s="45"/>
      <c r="Y329" s="393"/>
      <c r="Z329" s="457"/>
    </row>
    <row r="330" spans="1:26" ht="15.6" customHeight="1">
      <c r="A330" s="485"/>
      <c r="B330" s="393" t="s">
        <v>301</v>
      </c>
      <c r="C330" s="393">
        <v>176</v>
      </c>
      <c r="D330" s="393" t="s">
        <v>16</v>
      </c>
      <c r="E330" s="393" t="s">
        <v>616</v>
      </c>
      <c r="F330" s="448">
        <v>522</v>
      </c>
      <c r="G330" s="25"/>
      <c r="H330" s="26"/>
      <c r="I330" s="25"/>
      <c r="J330" s="25"/>
      <c r="K330" s="25"/>
      <c r="L330" s="99"/>
      <c r="M330" s="99"/>
      <c r="N330" s="99"/>
      <c r="O330" s="99"/>
      <c r="P330" s="99"/>
      <c r="Q330" s="121">
        <f>'Подробный перечень'!$Q$914</f>
        <v>52132.9</v>
      </c>
      <c r="R330" s="121"/>
      <c r="S330" s="121">
        <v>15970</v>
      </c>
      <c r="T330" s="121">
        <f>'Подробный перечень'!T919</f>
        <v>36162.9</v>
      </c>
      <c r="U330" s="121"/>
      <c r="V330" s="52">
        <v>0</v>
      </c>
      <c r="W330" s="52">
        <v>0</v>
      </c>
      <c r="X330" s="45"/>
      <c r="Y330" s="393"/>
      <c r="Z330" s="457"/>
    </row>
    <row r="331" spans="1:26" ht="15.6" customHeight="1">
      <c r="A331" s="485"/>
      <c r="B331" s="444" t="s">
        <v>11</v>
      </c>
      <c r="C331" s="444">
        <v>176</v>
      </c>
      <c r="D331" s="444" t="s">
        <v>16</v>
      </c>
      <c r="E331" s="444" t="s">
        <v>616</v>
      </c>
      <c r="F331" s="448">
        <v>522</v>
      </c>
      <c r="G331" s="25"/>
      <c r="H331" s="26"/>
      <c r="I331" s="25"/>
      <c r="J331" s="25"/>
      <c r="K331" s="25"/>
      <c r="L331" s="99"/>
      <c r="M331" s="99"/>
      <c r="N331" s="99"/>
      <c r="O331" s="99"/>
      <c r="P331" s="99"/>
      <c r="Q331" s="121">
        <f>T331</f>
        <v>48030.791770000003</v>
      </c>
      <c r="R331" s="121"/>
      <c r="S331" s="121"/>
      <c r="T331" s="121">
        <f>'Подробный перечень'!T918</f>
        <v>48030.791770000003</v>
      </c>
      <c r="U331" s="121"/>
      <c r="V331" s="52"/>
      <c r="W331" s="52"/>
      <c r="X331" s="45"/>
      <c r="Y331" s="221"/>
      <c r="Z331" s="457"/>
    </row>
    <row r="332" spans="1:26" ht="13.2" customHeight="1">
      <c r="A332" s="485"/>
      <c r="B332" s="171" t="s">
        <v>11</v>
      </c>
      <c r="C332" s="171">
        <v>176</v>
      </c>
      <c r="D332" s="171" t="s">
        <v>16</v>
      </c>
      <c r="E332" s="171">
        <v>6100070760</v>
      </c>
      <c r="F332" s="448">
        <v>521</v>
      </c>
      <c r="G332" s="25"/>
      <c r="H332" s="26"/>
      <c r="I332" s="25"/>
      <c r="J332" s="25"/>
      <c r="K332" s="25"/>
      <c r="L332" s="99"/>
      <c r="M332" s="99"/>
      <c r="N332" s="99"/>
      <c r="O332" s="99"/>
      <c r="P332" s="99"/>
      <c r="Q332" s="121">
        <f>R332+S332+T332+U332</f>
        <v>38155.300000000003</v>
      </c>
      <c r="R332" s="121">
        <v>8500</v>
      </c>
      <c r="S332" s="121">
        <v>13000</v>
      </c>
      <c r="T332" s="121">
        <v>10602.8</v>
      </c>
      <c r="U332" s="121">
        <f>5493.4+559.1</f>
        <v>6052.5</v>
      </c>
      <c r="V332" s="52">
        <v>33529.199999999997</v>
      </c>
      <c r="W332" s="52">
        <v>43229</v>
      </c>
      <c r="X332" s="45"/>
      <c r="Y332" s="171"/>
      <c r="Z332" s="457"/>
    </row>
    <row r="333" spans="1:26" ht="13.2" hidden="1" customHeight="1">
      <c r="A333" s="486"/>
      <c r="B333" s="171" t="s">
        <v>35</v>
      </c>
      <c r="C333" s="171">
        <v>176</v>
      </c>
      <c r="D333" s="171" t="s">
        <v>16</v>
      </c>
      <c r="E333" s="171" t="s">
        <v>331</v>
      </c>
      <c r="F333" s="448">
        <v>520</v>
      </c>
      <c r="G333" s="25"/>
      <c r="H333" s="26"/>
      <c r="I333" s="25"/>
      <c r="J333" s="25"/>
      <c r="K333" s="25"/>
      <c r="L333" s="99"/>
      <c r="M333" s="99"/>
      <c r="N333" s="99"/>
      <c r="O333" s="99"/>
      <c r="P333" s="99"/>
      <c r="Q333" s="121">
        <v>0</v>
      </c>
      <c r="R333" s="121"/>
      <c r="S333" s="121"/>
      <c r="T333" s="121"/>
      <c r="U333" s="121"/>
      <c r="V333" s="191">
        <v>0</v>
      </c>
      <c r="W333" s="191">
        <v>0</v>
      </c>
      <c r="X333" s="45"/>
      <c r="Y333" s="171"/>
      <c r="Z333" s="457"/>
    </row>
    <row r="334" spans="1:26" ht="13.2" customHeight="1">
      <c r="A334" s="24" t="s">
        <v>54</v>
      </c>
      <c r="B334" s="63" t="s">
        <v>11</v>
      </c>
      <c r="C334" s="63">
        <v>176</v>
      </c>
      <c r="D334" s="63" t="s">
        <v>16</v>
      </c>
      <c r="E334" s="63">
        <v>6100070760</v>
      </c>
      <c r="F334" s="448" t="s">
        <v>684</v>
      </c>
      <c r="G334" s="25">
        <f>30287.4</f>
        <v>30287.4</v>
      </c>
      <c r="H334" s="26">
        <v>15039.482</v>
      </c>
      <c r="I334" s="25">
        <v>4831.6940000000004</v>
      </c>
      <c r="J334" s="25">
        <v>7844.8710000000001</v>
      </c>
      <c r="K334" s="25">
        <f t="shared" si="68"/>
        <v>2571.3530000000019</v>
      </c>
      <c r="L334" s="99">
        <f>22044.5+3852.8</f>
        <v>25897.3</v>
      </c>
      <c r="M334" s="99">
        <v>9294.5849999999991</v>
      </c>
      <c r="N334" s="99">
        <v>87.68</v>
      </c>
      <c r="O334" s="99">
        <f t="shared" ref="O334:O344" si="70">Z334-N334-M334</f>
        <v>-9382.2649999999994</v>
      </c>
      <c r="P334" s="99">
        <f t="shared" si="69"/>
        <v>25897.3</v>
      </c>
      <c r="Q334" s="121">
        <f>R334+S334+T334+U334</f>
        <v>23983.9</v>
      </c>
      <c r="R334" s="121">
        <v>0</v>
      </c>
      <c r="S334" s="121">
        <v>3400</v>
      </c>
      <c r="T334" s="121">
        <v>12700</v>
      </c>
      <c r="U334" s="121">
        <f>7045.7+838.2</f>
        <v>7883.9</v>
      </c>
      <c r="V334" s="52">
        <v>17778.599999999999</v>
      </c>
      <c r="W334" s="52">
        <v>23164.1</v>
      </c>
      <c r="X334" s="45"/>
      <c r="Y334" s="63"/>
      <c r="Z334" s="457"/>
    </row>
    <row r="335" spans="1:26">
      <c r="A335" s="24" t="s">
        <v>55</v>
      </c>
      <c r="B335" s="63" t="s">
        <v>11</v>
      </c>
      <c r="C335" s="63">
        <v>176</v>
      </c>
      <c r="D335" s="63" t="s">
        <v>16</v>
      </c>
      <c r="E335" s="63">
        <v>6100070760</v>
      </c>
      <c r="F335" s="448">
        <v>521</v>
      </c>
      <c r="G335" s="25">
        <v>30565.3</v>
      </c>
      <c r="H335" s="26">
        <v>18649.994999999999</v>
      </c>
      <c r="I335" s="25">
        <v>6928.5</v>
      </c>
      <c r="J335" s="25">
        <v>4986.8050000000003</v>
      </c>
      <c r="K335" s="25">
        <f t="shared" si="68"/>
        <v>0</v>
      </c>
      <c r="L335" s="99">
        <v>35956.300000000003</v>
      </c>
      <c r="M335" s="99">
        <v>3700.34</v>
      </c>
      <c r="N335" s="99">
        <v>7191.3059999999996</v>
      </c>
      <c r="O335" s="99">
        <f t="shared" si="70"/>
        <v>-10891.646000000001</v>
      </c>
      <c r="P335" s="99">
        <f t="shared" si="69"/>
        <v>35956.300000000003</v>
      </c>
      <c r="Q335" s="121">
        <v>55122.2</v>
      </c>
      <c r="R335" s="121">
        <v>12000</v>
      </c>
      <c r="S335" s="121">
        <v>8200</v>
      </c>
      <c r="T335" s="121">
        <v>18300</v>
      </c>
      <c r="U335" s="121">
        <v>16622.2</v>
      </c>
      <c r="V335" s="52">
        <v>32435.899999999998</v>
      </c>
      <c r="W335" s="52">
        <v>41838.1</v>
      </c>
      <c r="X335" s="45"/>
      <c r="Y335" s="63"/>
      <c r="Z335" s="457"/>
    </row>
    <row r="336" spans="1:26">
      <c r="A336" s="24" t="s">
        <v>56</v>
      </c>
      <c r="B336" s="63" t="s">
        <v>11</v>
      </c>
      <c r="C336" s="63">
        <v>176</v>
      </c>
      <c r="D336" s="63" t="s">
        <v>16</v>
      </c>
      <c r="E336" s="63">
        <v>6100070760</v>
      </c>
      <c r="F336" s="448">
        <v>521</v>
      </c>
      <c r="G336" s="25">
        <v>30658.7</v>
      </c>
      <c r="H336" s="26">
        <v>12421.8</v>
      </c>
      <c r="I336" s="25">
        <v>3312.47</v>
      </c>
      <c r="J336" s="25">
        <v>13578.2</v>
      </c>
      <c r="K336" s="25">
        <f t="shared" si="68"/>
        <v>1346.2300000000014</v>
      </c>
      <c r="L336" s="99">
        <v>67041.600000000006</v>
      </c>
      <c r="M336" s="99">
        <v>27197.643</v>
      </c>
      <c r="N336" s="99">
        <v>1446.3</v>
      </c>
      <c r="O336" s="99">
        <f t="shared" si="70"/>
        <v>-28643.942999999999</v>
      </c>
      <c r="P336" s="99">
        <f t="shared" si="69"/>
        <v>67041.600000000006</v>
      </c>
      <c r="Q336" s="121">
        <v>76391.8</v>
      </c>
      <c r="R336" s="121">
        <v>25000</v>
      </c>
      <c r="S336" s="121">
        <v>11500</v>
      </c>
      <c r="T336" s="121">
        <v>17000</v>
      </c>
      <c r="U336" s="121">
        <v>22891.8</v>
      </c>
      <c r="V336" s="52">
        <v>31419.4</v>
      </c>
      <c r="W336" s="52">
        <v>40544.9</v>
      </c>
      <c r="X336" s="45"/>
      <c r="Y336" s="63"/>
      <c r="Z336" s="457"/>
    </row>
    <row r="337" spans="1:26">
      <c r="A337" s="24" t="s">
        <v>57</v>
      </c>
      <c r="B337" s="63" t="s">
        <v>11</v>
      </c>
      <c r="C337" s="63">
        <v>176</v>
      </c>
      <c r="D337" s="63" t="s">
        <v>16</v>
      </c>
      <c r="E337" s="63">
        <v>6100070760</v>
      </c>
      <c r="F337" s="448" t="s">
        <v>684</v>
      </c>
      <c r="G337" s="25">
        <v>22749.599999999999</v>
      </c>
      <c r="H337" s="26">
        <v>8077.2969999999996</v>
      </c>
      <c r="I337" s="25">
        <f>2923.968-0.005</f>
        <v>2923.9629999999997</v>
      </c>
      <c r="J337" s="25">
        <v>11138.74</v>
      </c>
      <c r="K337" s="25">
        <f t="shared" si="68"/>
        <v>609.60000000000036</v>
      </c>
      <c r="L337" s="99">
        <v>28968.2</v>
      </c>
      <c r="M337" s="99">
        <v>612.80899999999997</v>
      </c>
      <c r="N337" s="99">
        <v>10974.48</v>
      </c>
      <c r="O337" s="99">
        <f t="shared" si="70"/>
        <v>-11587.288999999999</v>
      </c>
      <c r="P337" s="99">
        <f t="shared" si="69"/>
        <v>28968.199999999997</v>
      </c>
      <c r="Q337" s="121">
        <v>36216.199999999997</v>
      </c>
      <c r="R337" s="121">
        <v>5000</v>
      </c>
      <c r="S337" s="121">
        <v>4000</v>
      </c>
      <c r="T337" s="121">
        <v>16300</v>
      </c>
      <c r="U337" s="121">
        <v>10916.2</v>
      </c>
      <c r="V337" s="52">
        <v>25441.399999999998</v>
      </c>
      <c r="W337" s="52">
        <v>32939.699999999997</v>
      </c>
      <c r="X337" s="45"/>
      <c r="Y337" s="63"/>
      <c r="Z337" s="457"/>
    </row>
    <row r="338" spans="1:26">
      <c r="A338" s="24" t="s">
        <v>58</v>
      </c>
      <c r="B338" s="63" t="s">
        <v>11</v>
      </c>
      <c r="C338" s="63">
        <v>176</v>
      </c>
      <c r="D338" s="63" t="s">
        <v>16</v>
      </c>
      <c r="E338" s="63">
        <v>6100070760</v>
      </c>
      <c r="F338" s="448">
        <v>521</v>
      </c>
      <c r="G338" s="25">
        <v>26906.6</v>
      </c>
      <c r="H338" s="26">
        <v>6479.3050000000003</v>
      </c>
      <c r="I338" s="25">
        <v>0</v>
      </c>
      <c r="J338" s="25">
        <f>17520.69+0.005</f>
        <v>17520.695</v>
      </c>
      <c r="K338" s="25">
        <f t="shared" si="68"/>
        <v>2906.5999999999985</v>
      </c>
      <c r="L338" s="99">
        <v>33163.300000000003</v>
      </c>
      <c r="M338" s="99">
        <v>3097.68</v>
      </c>
      <c r="N338" s="99"/>
      <c r="O338" s="99">
        <f t="shared" si="70"/>
        <v>-3097.68</v>
      </c>
      <c r="P338" s="99">
        <f t="shared" si="69"/>
        <v>33163.300000000003</v>
      </c>
      <c r="Q338" s="121">
        <v>25877.3</v>
      </c>
      <c r="R338" s="121">
        <v>2500</v>
      </c>
      <c r="S338" s="121">
        <v>3800</v>
      </c>
      <c r="T338" s="121">
        <v>11700</v>
      </c>
      <c r="U338" s="121">
        <v>7877.3</v>
      </c>
      <c r="V338" s="52">
        <v>19367.600000000002</v>
      </c>
      <c r="W338" s="52">
        <v>25212.500000000004</v>
      </c>
      <c r="X338" s="45"/>
      <c r="Y338" s="63"/>
      <c r="Z338" s="457"/>
    </row>
    <row r="339" spans="1:26">
      <c r="A339" s="24" t="s">
        <v>59</v>
      </c>
      <c r="B339" s="63" t="s">
        <v>11</v>
      </c>
      <c r="C339" s="63">
        <v>176</v>
      </c>
      <c r="D339" s="63" t="s">
        <v>16</v>
      </c>
      <c r="E339" s="63">
        <v>6100070760</v>
      </c>
      <c r="F339" s="448">
        <v>521</v>
      </c>
      <c r="G339" s="25">
        <v>20913.7</v>
      </c>
      <c r="H339" s="26">
        <v>7079.7997999999998</v>
      </c>
      <c r="I339" s="25">
        <f>2766.404+0.00184</f>
        <v>2766.4058399999999</v>
      </c>
      <c r="J339" s="25">
        <f>7992.76-0.00164</f>
        <v>7992.7583599999998</v>
      </c>
      <c r="K339" s="25">
        <f t="shared" si="68"/>
        <v>3074.7360000000008</v>
      </c>
      <c r="L339" s="99">
        <v>32115.1</v>
      </c>
      <c r="M339" s="99"/>
      <c r="N339" s="99"/>
      <c r="O339" s="99">
        <f t="shared" si="70"/>
        <v>0</v>
      </c>
      <c r="P339" s="99">
        <f t="shared" si="69"/>
        <v>32115.1</v>
      </c>
      <c r="Q339" s="121">
        <v>35780.9</v>
      </c>
      <c r="R339" s="121">
        <v>7000</v>
      </c>
      <c r="S339" s="121">
        <v>5300</v>
      </c>
      <c r="T339" s="121">
        <v>12700</v>
      </c>
      <c r="U339" s="121">
        <v>10780.9</v>
      </c>
      <c r="V339" s="52">
        <v>25185.7</v>
      </c>
      <c r="W339" s="52">
        <v>32614.400000000001</v>
      </c>
      <c r="X339" s="45"/>
      <c r="Y339" s="63"/>
      <c r="Z339" s="457"/>
    </row>
    <row r="340" spans="1:26">
      <c r="A340" s="24" t="s">
        <v>60</v>
      </c>
      <c r="B340" s="63" t="s">
        <v>11</v>
      </c>
      <c r="C340" s="63">
        <v>176</v>
      </c>
      <c r="D340" s="63" t="s">
        <v>16</v>
      </c>
      <c r="E340" s="63">
        <v>6100070760</v>
      </c>
      <c r="F340" s="448">
        <v>521</v>
      </c>
      <c r="G340" s="25">
        <v>21749.200000000001</v>
      </c>
      <c r="H340" s="26">
        <v>10089.971</v>
      </c>
      <c r="I340" s="25">
        <v>3333.625</v>
      </c>
      <c r="J340" s="25">
        <v>4576.4040000000005</v>
      </c>
      <c r="K340" s="25">
        <f t="shared" si="68"/>
        <v>3749.2000000000007</v>
      </c>
      <c r="L340" s="99">
        <v>32958.9</v>
      </c>
      <c r="M340" s="99">
        <v>19104.877</v>
      </c>
      <c r="N340" s="99"/>
      <c r="O340" s="99">
        <f t="shared" si="70"/>
        <v>-19104.877</v>
      </c>
      <c r="P340" s="99">
        <f t="shared" si="69"/>
        <v>32958.9</v>
      </c>
      <c r="Q340" s="121">
        <v>44781.2</v>
      </c>
      <c r="R340" s="121">
        <v>8000</v>
      </c>
      <c r="S340" s="121">
        <v>3000</v>
      </c>
      <c r="T340" s="121">
        <v>20200</v>
      </c>
      <c r="U340" s="121">
        <v>13581.2</v>
      </c>
      <c r="V340" s="52">
        <v>30473.199999999997</v>
      </c>
      <c r="W340" s="52">
        <v>39340.899999999994</v>
      </c>
      <c r="X340" s="45"/>
      <c r="Y340" s="63"/>
      <c r="Z340" s="457"/>
    </row>
    <row r="341" spans="1:26">
      <c r="A341" s="24" t="s">
        <v>61</v>
      </c>
      <c r="B341" s="63" t="s">
        <v>11</v>
      </c>
      <c r="C341" s="63">
        <v>176</v>
      </c>
      <c r="D341" s="63" t="s">
        <v>16</v>
      </c>
      <c r="E341" s="63">
        <v>6100070760</v>
      </c>
      <c r="F341" s="448" t="s">
        <v>684</v>
      </c>
      <c r="G341" s="25">
        <f>42682.9</f>
        <v>42682.9</v>
      </c>
      <c r="H341" s="26">
        <v>1000</v>
      </c>
      <c r="I341" s="25">
        <v>8795.3089999999993</v>
      </c>
      <c r="J341" s="25">
        <f>28204.69+0.001</f>
        <v>28204.690999999999</v>
      </c>
      <c r="K341" s="25">
        <f t="shared" si="68"/>
        <v>4682.9000000000015</v>
      </c>
      <c r="L341" s="99">
        <v>85083.9</v>
      </c>
      <c r="M341" s="99">
        <v>6416.7479999999996</v>
      </c>
      <c r="N341" s="99">
        <v>14594.87</v>
      </c>
      <c r="O341" s="99">
        <f t="shared" si="70"/>
        <v>-21011.618000000002</v>
      </c>
      <c r="P341" s="99">
        <f t="shared" si="69"/>
        <v>85083.9</v>
      </c>
      <c r="Q341" s="121">
        <v>103105.9</v>
      </c>
      <c r="R341" s="121">
        <v>10000</v>
      </c>
      <c r="S341" s="121">
        <v>12200</v>
      </c>
      <c r="T341" s="121">
        <v>50000</v>
      </c>
      <c r="U341" s="121">
        <v>30905.9</v>
      </c>
      <c r="V341" s="52">
        <v>55212.800000000003</v>
      </c>
      <c r="W341" s="52">
        <v>70242</v>
      </c>
      <c r="X341" s="45"/>
      <c r="Y341" s="63"/>
      <c r="Z341" s="457"/>
    </row>
    <row r="342" spans="1:26">
      <c r="A342" s="24" t="s">
        <v>62</v>
      </c>
      <c r="B342" s="63" t="s">
        <v>11</v>
      </c>
      <c r="C342" s="63">
        <v>176</v>
      </c>
      <c r="D342" s="63" t="s">
        <v>16</v>
      </c>
      <c r="E342" s="63">
        <v>6100070760</v>
      </c>
      <c r="F342" s="448" t="s">
        <v>684</v>
      </c>
      <c r="G342" s="25">
        <v>30983.3</v>
      </c>
      <c r="H342" s="26">
        <v>5142.3068000000003</v>
      </c>
      <c r="I342" s="25">
        <v>0</v>
      </c>
      <c r="J342" s="25">
        <f>19644.39+0.0032</f>
        <v>19644.393199999999</v>
      </c>
      <c r="K342" s="25">
        <f t="shared" si="68"/>
        <v>6196.5999999999985</v>
      </c>
      <c r="L342" s="99">
        <f>33148.8+14500</f>
        <v>47648.800000000003</v>
      </c>
      <c r="M342" s="99">
        <v>8087.1090000000004</v>
      </c>
      <c r="N342" s="99">
        <v>9832.85</v>
      </c>
      <c r="O342" s="99">
        <f t="shared" si="70"/>
        <v>-17919.959000000003</v>
      </c>
      <c r="P342" s="99">
        <f t="shared" si="69"/>
        <v>47648.80000000001</v>
      </c>
      <c r="Q342" s="121">
        <v>76835.7</v>
      </c>
      <c r="R342" s="121">
        <v>15000</v>
      </c>
      <c r="S342" s="121">
        <v>11500</v>
      </c>
      <c r="T342" s="121">
        <v>24000</v>
      </c>
      <c r="U342" s="121">
        <v>26335.7</v>
      </c>
      <c r="V342" s="52">
        <v>37463.199999999997</v>
      </c>
      <c r="W342" s="52">
        <v>48033.100000000006</v>
      </c>
      <c r="X342" s="45"/>
      <c r="Y342" s="63"/>
      <c r="Z342" s="457"/>
    </row>
    <row r="343" spans="1:26" ht="18" customHeight="1">
      <c r="A343" s="24" t="s">
        <v>63</v>
      </c>
      <c r="B343" s="63" t="s">
        <v>11</v>
      </c>
      <c r="C343" s="63">
        <v>176</v>
      </c>
      <c r="D343" s="63" t="s">
        <v>16</v>
      </c>
      <c r="E343" s="63">
        <v>6100070760</v>
      </c>
      <c r="F343" s="448" t="s">
        <v>684</v>
      </c>
      <c r="G343" s="449">
        <v>22655</v>
      </c>
      <c r="H343" s="450">
        <v>2161.13</v>
      </c>
      <c r="I343" s="449">
        <v>8240.6370000000006</v>
      </c>
      <c r="J343" s="449">
        <v>7722.2330000000002</v>
      </c>
      <c r="K343" s="449">
        <f t="shared" si="68"/>
        <v>4530.9999999999982</v>
      </c>
      <c r="L343" s="451">
        <v>27817.599999999999</v>
      </c>
      <c r="M343" s="451"/>
      <c r="N343" s="451">
        <v>10968.106</v>
      </c>
      <c r="O343" s="451">
        <f t="shared" si="70"/>
        <v>-10968.106</v>
      </c>
      <c r="P343" s="451">
        <f t="shared" si="69"/>
        <v>27817.599999999999</v>
      </c>
      <c r="Q343" s="452">
        <v>21001.8</v>
      </c>
      <c r="R343" s="121">
        <v>0</v>
      </c>
      <c r="S343" s="121">
        <v>3000</v>
      </c>
      <c r="T343" s="121">
        <v>11500</v>
      </c>
      <c r="U343" s="121">
        <v>6501.8</v>
      </c>
      <c r="V343" s="52">
        <v>16503.3</v>
      </c>
      <c r="W343" s="52">
        <v>21568.6</v>
      </c>
      <c r="X343" s="45"/>
      <c r="Y343" s="63"/>
      <c r="Z343" s="457"/>
    </row>
    <row r="344" spans="1:26" ht="19.2" hidden="1" customHeight="1">
      <c r="A344" s="484" t="s">
        <v>64</v>
      </c>
      <c r="B344" s="63" t="s">
        <v>26</v>
      </c>
      <c r="C344" s="63">
        <v>176</v>
      </c>
      <c r="D344" s="63" t="s">
        <v>16</v>
      </c>
      <c r="E344" s="63" t="s">
        <v>330</v>
      </c>
      <c r="F344" s="448">
        <v>520</v>
      </c>
      <c r="G344" s="25">
        <v>31524.7</v>
      </c>
      <c r="H344" s="26">
        <v>2725.0079999999998</v>
      </c>
      <c r="I344" s="25">
        <v>7963.04</v>
      </c>
      <c r="J344" s="25">
        <f>14434.89+0.002</f>
        <v>14434.892</v>
      </c>
      <c r="K344" s="25">
        <f t="shared" si="68"/>
        <v>6401.760000000002</v>
      </c>
      <c r="L344" s="99">
        <v>32823.5</v>
      </c>
      <c r="M344" s="99">
        <v>343.06200000000001</v>
      </c>
      <c r="N344" s="99">
        <v>12786.3</v>
      </c>
      <c r="O344" s="99">
        <f t="shared" si="70"/>
        <v>-13129.361999999999</v>
      </c>
      <c r="P344" s="99">
        <f t="shared" si="69"/>
        <v>32823.5</v>
      </c>
      <c r="Q344" s="121">
        <v>0</v>
      </c>
      <c r="R344" s="121"/>
      <c r="S344" s="121"/>
      <c r="T344" s="121"/>
      <c r="U344" s="121"/>
      <c r="V344" s="191">
        <v>0</v>
      </c>
      <c r="W344" s="191">
        <v>0</v>
      </c>
      <c r="X344" s="45"/>
      <c r="Y344" s="63"/>
      <c r="Z344" s="457"/>
    </row>
    <row r="345" spans="1:26" ht="19.2" customHeight="1">
      <c r="A345" s="485"/>
      <c r="B345" s="393" t="s">
        <v>26</v>
      </c>
      <c r="C345" s="393">
        <v>176</v>
      </c>
      <c r="D345" s="405" t="s">
        <v>16</v>
      </c>
      <c r="E345" s="393" t="s">
        <v>675</v>
      </c>
      <c r="F345" s="448" t="s">
        <v>674</v>
      </c>
      <c r="G345" s="25"/>
      <c r="H345" s="26"/>
      <c r="I345" s="25"/>
      <c r="J345" s="25"/>
      <c r="K345" s="25"/>
      <c r="L345" s="99"/>
      <c r="M345" s="99"/>
      <c r="N345" s="99"/>
      <c r="O345" s="99"/>
      <c r="P345" s="99"/>
      <c r="Q345" s="121">
        <f>SUM(Q346:Q348)</f>
        <v>158266</v>
      </c>
      <c r="R345" s="121">
        <f>R347+R348</f>
        <v>55000</v>
      </c>
      <c r="S345" s="121">
        <f>S346+S347+S348</f>
        <v>28753.4</v>
      </c>
      <c r="T345" s="121">
        <f t="shared" ref="T345:U345" si="71">T346+T347+T348</f>
        <v>64346.600000000006</v>
      </c>
      <c r="U345" s="121">
        <f t="shared" si="71"/>
        <v>10166</v>
      </c>
      <c r="V345" s="191">
        <f>V346+V348</f>
        <v>44526.1</v>
      </c>
      <c r="W345" s="191">
        <f>W346+W348</f>
        <v>57219.3</v>
      </c>
      <c r="X345" s="45"/>
      <c r="Y345" s="393"/>
      <c r="Z345" s="457"/>
    </row>
    <row r="346" spans="1:26" ht="19.2" customHeight="1">
      <c r="A346" s="485"/>
      <c r="B346" s="393" t="s">
        <v>301</v>
      </c>
      <c r="C346" s="393">
        <v>176</v>
      </c>
      <c r="D346" s="393" t="s">
        <v>16</v>
      </c>
      <c r="E346" s="393" t="s">
        <v>616</v>
      </c>
      <c r="F346" s="448">
        <v>522</v>
      </c>
      <c r="G346" s="25"/>
      <c r="H346" s="26"/>
      <c r="I346" s="25"/>
      <c r="J346" s="25"/>
      <c r="K346" s="25"/>
      <c r="L346" s="99"/>
      <c r="M346" s="99"/>
      <c r="N346" s="99"/>
      <c r="O346" s="99"/>
      <c r="P346" s="99"/>
      <c r="Q346" s="121">
        <f>'Подробный перечень'!$Q$924</f>
        <v>40564.9</v>
      </c>
      <c r="R346" s="121"/>
      <c r="S346" s="121">
        <f>'Подробный перечень'!$S$929</f>
        <v>22000</v>
      </c>
      <c r="T346" s="121">
        <f>'Подробный перечень'!$T$929</f>
        <v>18564.900000000001</v>
      </c>
      <c r="U346" s="121"/>
      <c r="V346" s="191">
        <v>0</v>
      </c>
      <c r="W346" s="191">
        <v>0</v>
      </c>
      <c r="X346" s="45"/>
      <c r="Y346" s="393"/>
      <c r="Z346" s="457"/>
    </row>
    <row r="347" spans="1:26" ht="19.2" customHeight="1">
      <c r="A347" s="485"/>
      <c r="B347" s="444" t="s">
        <v>11</v>
      </c>
      <c r="C347" s="444">
        <v>176</v>
      </c>
      <c r="D347" s="444" t="s">
        <v>16</v>
      </c>
      <c r="E347" s="444" t="s">
        <v>616</v>
      </c>
      <c r="F347" s="448">
        <v>522</v>
      </c>
      <c r="G347" s="25"/>
      <c r="H347" s="26"/>
      <c r="I347" s="25"/>
      <c r="J347" s="25"/>
      <c r="K347" s="25"/>
      <c r="L347" s="99"/>
      <c r="M347" s="99"/>
      <c r="N347" s="99"/>
      <c r="O347" s="99"/>
      <c r="P347" s="99"/>
      <c r="Q347" s="121">
        <f>R347+S347+T347</f>
        <v>38535.100000000006</v>
      </c>
      <c r="R347" s="121">
        <f>'Подробный перечень'!$R$928</f>
        <v>20000</v>
      </c>
      <c r="S347" s="121">
        <f>'Подробный перечень'!$S$928</f>
        <v>3753.4</v>
      </c>
      <c r="T347" s="121">
        <f>'Подробный перечень'!$T$928</f>
        <v>14781.7</v>
      </c>
      <c r="U347" s="121"/>
      <c r="V347" s="191"/>
      <c r="W347" s="191"/>
      <c r="X347" s="45"/>
      <c r="Y347" s="444"/>
      <c r="Z347" s="457"/>
    </row>
    <row r="348" spans="1:26">
      <c r="A348" s="485"/>
      <c r="B348" s="171" t="s">
        <v>11</v>
      </c>
      <c r="C348" s="171">
        <v>176</v>
      </c>
      <c r="D348" s="171" t="s">
        <v>16</v>
      </c>
      <c r="E348" s="171">
        <v>6100070760</v>
      </c>
      <c r="F348" s="448">
        <v>521</v>
      </c>
      <c r="G348" s="25"/>
      <c r="H348" s="26"/>
      <c r="I348" s="25"/>
      <c r="J348" s="25"/>
      <c r="K348" s="25"/>
      <c r="L348" s="99"/>
      <c r="M348" s="99"/>
      <c r="N348" s="99"/>
      <c r="O348" s="99"/>
      <c r="P348" s="99"/>
      <c r="Q348" s="121">
        <f>R348+S348+T348+U348</f>
        <v>79166</v>
      </c>
      <c r="R348" s="121">
        <v>35000</v>
      </c>
      <c r="S348" s="121">
        <v>3000</v>
      </c>
      <c r="T348" s="121">
        <v>31000</v>
      </c>
      <c r="U348" s="121">
        <f>6448.6+3717.4</f>
        <v>10166</v>
      </c>
      <c r="V348" s="52">
        <v>44526.1</v>
      </c>
      <c r="W348" s="52">
        <v>57219.3</v>
      </c>
      <c r="X348" s="45"/>
      <c r="Y348" s="171"/>
      <c r="Z348" s="457"/>
    </row>
    <row r="349" spans="1:26" ht="0.6" customHeight="1">
      <c r="A349" s="486"/>
      <c r="B349" s="171" t="s">
        <v>35</v>
      </c>
      <c r="C349" s="171">
        <v>176</v>
      </c>
      <c r="D349" s="171" t="s">
        <v>16</v>
      </c>
      <c r="E349" s="171" t="s">
        <v>331</v>
      </c>
      <c r="F349" s="448">
        <v>520</v>
      </c>
      <c r="G349" s="25"/>
      <c r="H349" s="26"/>
      <c r="I349" s="25"/>
      <c r="J349" s="25"/>
      <c r="K349" s="25"/>
      <c r="L349" s="99"/>
      <c r="M349" s="99"/>
      <c r="N349" s="99"/>
      <c r="O349" s="99"/>
      <c r="P349" s="99"/>
      <c r="Q349" s="121">
        <v>0</v>
      </c>
      <c r="R349" s="121">
        <v>25000</v>
      </c>
      <c r="S349" s="121">
        <v>12000</v>
      </c>
      <c r="T349" s="121">
        <v>21500</v>
      </c>
      <c r="U349" s="121">
        <v>24252</v>
      </c>
      <c r="V349" s="191">
        <v>0</v>
      </c>
      <c r="W349" s="191">
        <v>0</v>
      </c>
      <c r="X349" s="45"/>
      <c r="Y349" s="171"/>
      <c r="Z349" s="457"/>
    </row>
    <row r="350" spans="1:26">
      <c r="A350" s="24" t="s">
        <v>65</v>
      </c>
      <c r="B350" s="63" t="s">
        <v>11</v>
      </c>
      <c r="C350" s="63">
        <v>176</v>
      </c>
      <c r="D350" s="63" t="s">
        <v>16</v>
      </c>
      <c r="E350" s="63">
        <v>6100070760</v>
      </c>
      <c r="F350" s="448">
        <v>521</v>
      </c>
      <c r="G350" s="25">
        <v>32877.199999999997</v>
      </c>
      <c r="H350" s="26">
        <v>14002.699000000001</v>
      </c>
      <c r="I350" s="25">
        <v>10045.549999999999</v>
      </c>
      <c r="J350" s="25">
        <f>8346.65+0.001</f>
        <v>8346.6509999999998</v>
      </c>
      <c r="K350" s="25">
        <f t="shared" si="68"/>
        <v>482.29999999999745</v>
      </c>
      <c r="L350" s="99">
        <v>34234.400000000001</v>
      </c>
      <c r="M350" s="99">
        <v>1922.308</v>
      </c>
      <c r="N350" s="99">
        <v>11771.46</v>
      </c>
      <c r="O350" s="99">
        <f t="shared" ref="O350:O358" si="72">Z350-N350-M350</f>
        <v>-13693.768</v>
      </c>
      <c r="P350" s="99">
        <f t="shared" si="69"/>
        <v>34234.400000000001</v>
      </c>
      <c r="Q350" s="121">
        <v>39622.6</v>
      </c>
      <c r="R350" s="121">
        <v>4000</v>
      </c>
      <c r="S350" s="121">
        <v>6000</v>
      </c>
      <c r="T350" s="121">
        <v>17800</v>
      </c>
      <c r="U350" s="121">
        <v>11822.6</v>
      </c>
      <c r="V350" s="52">
        <v>27442.6</v>
      </c>
      <c r="W350" s="52">
        <v>35485.599999999999</v>
      </c>
      <c r="X350" s="45"/>
      <c r="Y350" s="63"/>
      <c r="Z350" s="457"/>
    </row>
    <row r="351" spans="1:26">
      <c r="A351" s="24" t="s">
        <v>66</v>
      </c>
      <c r="B351" s="63" t="s">
        <v>11</v>
      </c>
      <c r="C351" s="63">
        <v>176</v>
      </c>
      <c r="D351" s="63" t="s">
        <v>16</v>
      </c>
      <c r="E351" s="63">
        <v>6100070760</v>
      </c>
      <c r="F351" s="448">
        <v>521</v>
      </c>
      <c r="G351" s="25">
        <f>40390.7+24200</f>
        <v>64590.7</v>
      </c>
      <c r="H351" s="26">
        <v>29857.859</v>
      </c>
      <c r="I351" s="25">
        <v>0</v>
      </c>
      <c r="J351" s="25">
        <f>9609.967+0.0002</f>
        <v>9609.967200000001</v>
      </c>
      <c r="K351" s="25">
        <f t="shared" si="68"/>
        <v>25122.873800000001</v>
      </c>
      <c r="L351" s="99">
        <v>56955</v>
      </c>
      <c r="M351" s="99">
        <v>30867.142</v>
      </c>
      <c r="N351" s="99">
        <v>7302.38</v>
      </c>
      <c r="O351" s="99">
        <f t="shared" si="72"/>
        <v>-38169.521999999997</v>
      </c>
      <c r="P351" s="99">
        <f t="shared" si="69"/>
        <v>56955</v>
      </c>
      <c r="Q351" s="121">
        <v>82752</v>
      </c>
      <c r="R351" s="121">
        <v>25000</v>
      </c>
      <c r="S351" s="121">
        <v>12000</v>
      </c>
      <c r="T351" s="121">
        <v>21500</v>
      </c>
      <c r="U351" s="121">
        <v>24252</v>
      </c>
      <c r="V351" s="52">
        <v>52780.2</v>
      </c>
      <c r="W351" s="52">
        <v>67720.2</v>
      </c>
      <c r="X351" s="45"/>
      <c r="Y351" s="63"/>
      <c r="Z351" s="457"/>
    </row>
    <row r="352" spans="1:26">
      <c r="A352" s="24" t="s">
        <v>67</v>
      </c>
      <c r="B352" s="63" t="s">
        <v>11</v>
      </c>
      <c r="C352" s="63">
        <v>176</v>
      </c>
      <c r="D352" s="63" t="s">
        <v>16</v>
      </c>
      <c r="E352" s="63">
        <v>6100070760</v>
      </c>
      <c r="F352" s="448">
        <v>521</v>
      </c>
      <c r="G352" s="25">
        <v>28811.4</v>
      </c>
      <c r="H352" s="26">
        <v>0</v>
      </c>
      <c r="I352" s="25">
        <v>12314.44</v>
      </c>
      <c r="J352" s="25">
        <v>10734.76</v>
      </c>
      <c r="K352" s="25">
        <f t="shared" si="68"/>
        <v>5762.1999999999989</v>
      </c>
      <c r="L352" s="99">
        <v>24994</v>
      </c>
      <c r="M352" s="99"/>
      <c r="N352" s="99">
        <v>4998.8</v>
      </c>
      <c r="O352" s="99">
        <f t="shared" si="72"/>
        <v>-4998.8</v>
      </c>
      <c r="P352" s="99">
        <f t="shared" si="69"/>
        <v>24994</v>
      </c>
      <c r="Q352" s="121">
        <v>30524.400000000001</v>
      </c>
      <c r="R352" s="121">
        <v>3000</v>
      </c>
      <c r="S352" s="121">
        <v>4600</v>
      </c>
      <c r="T352" s="121">
        <v>13700</v>
      </c>
      <c r="U352" s="121">
        <v>9224.4</v>
      </c>
      <c r="V352" s="52">
        <v>22097.600000000002</v>
      </c>
      <c r="W352" s="52">
        <v>28685.7</v>
      </c>
      <c r="X352" s="45"/>
      <c r="Y352" s="63"/>
      <c r="Z352" s="457"/>
    </row>
    <row r="353" spans="1:26">
      <c r="A353" s="24" t="s">
        <v>68</v>
      </c>
      <c r="B353" s="63" t="s">
        <v>11</v>
      </c>
      <c r="C353" s="63">
        <v>176</v>
      </c>
      <c r="D353" s="63" t="s">
        <v>16</v>
      </c>
      <c r="E353" s="63">
        <v>6100070760</v>
      </c>
      <c r="F353" s="448">
        <v>521</v>
      </c>
      <c r="G353" s="25">
        <v>23803.200000000001</v>
      </c>
      <c r="H353" s="26">
        <f>7877.528</f>
        <v>7877.5280000000002</v>
      </c>
      <c r="I353" s="25">
        <f>2572.839+250.933</f>
        <v>2823.7719999999999</v>
      </c>
      <c r="J353" s="25">
        <v>8611.3150000000005</v>
      </c>
      <c r="K353" s="25">
        <f t="shared" si="68"/>
        <v>4490.5850000000009</v>
      </c>
      <c r="L353" s="99">
        <v>28976.7</v>
      </c>
      <c r="M353" s="99"/>
      <c r="N353" s="99">
        <v>5795.34</v>
      </c>
      <c r="O353" s="99">
        <f t="shared" si="72"/>
        <v>-5795.34</v>
      </c>
      <c r="P353" s="99">
        <f t="shared" si="69"/>
        <v>28976.7</v>
      </c>
      <c r="Q353" s="121">
        <v>14864</v>
      </c>
      <c r="R353" s="121">
        <v>1500</v>
      </c>
      <c r="S353" s="121">
        <v>2300</v>
      </c>
      <c r="T353" s="121">
        <v>6700</v>
      </c>
      <c r="U353" s="121">
        <v>4364</v>
      </c>
      <c r="V353" s="52">
        <v>12897.5</v>
      </c>
      <c r="W353" s="52">
        <v>16981.2</v>
      </c>
      <c r="X353" s="45"/>
      <c r="Y353" s="63"/>
      <c r="Z353" s="457"/>
    </row>
    <row r="354" spans="1:26">
      <c r="A354" s="24" t="s">
        <v>69</v>
      </c>
      <c r="B354" s="63" t="s">
        <v>11</v>
      </c>
      <c r="C354" s="63">
        <v>176</v>
      </c>
      <c r="D354" s="63" t="s">
        <v>16</v>
      </c>
      <c r="E354" s="63">
        <v>6100070760</v>
      </c>
      <c r="F354" s="448" t="s">
        <v>684</v>
      </c>
      <c r="G354" s="25">
        <v>24594</v>
      </c>
      <c r="H354" s="26">
        <v>2473.1266999999998</v>
      </c>
      <c r="I354" s="25">
        <v>7106.9</v>
      </c>
      <c r="J354" s="25">
        <f>10095.17+0.0033</f>
        <v>10095.1733</v>
      </c>
      <c r="K354" s="25">
        <f t="shared" si="68"/>
        <v>4918.7999999999993</v>
      </c>
      <c r="L354" s="99">
        <v>30829.200000000001</v>
      </c>
      <c r="M354" s="99">
        <v>1323.0650000000001</v>
      </c>
      <c r="N354" s="99">
        <v>6165.8050000000003</v>
      </c>
      <c r="O354" s="99">
        <f t="shared" si="72"/>
        <v>-7488.8700000000008</v>
      </c>
      <c r="P354" s="99">
        <f t="shared" si="69"/>
        <v>30829.200000000004</v>
      </c>
      <c r="Q354" s="121">
        <v>79772.3</v>
      </c>
      <c r="R354" s="121">
        <v>1100</v>
      </c>
      <c r="S354" s="121">
        <v>12000</v>
      </c>
      <c r="T354" s="121">
        <v>42800</v>
      </c>
      <c r="U354" s="121">
        <v>23872.3</v>
      </c>
      <c r="V354" s="52">
        <v>33010.799999999996</v>
      </c>
      <c r="W354" s="52">
        <v>26659.499999999996</v>
      </c>
      <c r="X354" s="45"/>
      <c r="Y354" s="63"/>
      <c r="Z354" s="457"/>
    </row>
    <row r="355" spans="1:26">
      <c r="A355" s="24" t="s">
        <v>70</v>
      </c>
      <c r="B355" s="63" t="s">
        <v>11</v>
      </c>
      <c r="C355" s="63">
        <v>176</v>
      </c>
      <c r="D355" s="63" t="s">
        <v>16</v>
      </c>
      <c r="E355" s="63">
        <v>6100070760</v>
      </c>
      <c r="F355" s="448">
        <v>521</v>
      </c>
      <c r="G355" s="25">
        <f>24109.4</f>
        <v>24109.4</v>
      </c>
      <c r="H355" s="26">
        <v>10199.791999999999</v>
      </c>
      <c r="I355" s="25">
        <v>962.09900000000005</v>
      </c>
      <c r="J355" s="25">
        <v>8125.7089999999998</v>
      </c>
      <c r="K355" s="25">
        <f t="shared" si="68"/>
        <v>4821.800000000002</v>
      </c>
      <c r="L355" s="99">
        <f>53340.3+15000</f>
        <v>68340.3</v>
      </c>
      <c r="M355" s="99">
        <f>39255.8</f>
        <v>39255.800000000003</v>
      </c>
      <c r="N355" s="99">
        <v>13000</v>
      </c>
      <c r="O355" s="99">
        <f t="shared" si="72"/>
        <v>-52255.8</v>
      </c>
      <c r="P355" s="99">
        <f t="shared" si="69"/>
        <v>68340.3</v>
      </c>
      <c r="Q355" s="121">
        <v>48074.1</v>
      </c>
      <c r="R355" s="121">
        <v>25000</v>
      </c>
      <c r="S355" s="121">
        <v>7300</v>
      </c>
      <c r="T355" s="121">
        <v>1500</v>
      </c>
      <c r="U355" s="121">
        <v>14274.1</v>
      </c>
      <c r="V355" s="52">
        <v>30204.6</v>
      </c>
      <c r="W355" s="52">
        <v>38999.5</v>
      </c>
      <c r="X355" s="45"/>
      <c r="Y355" s="63"/>
      <c r="Z355" s="457"/>
    </row>
    <row r="356" spans="1:26">
      <c r="A356" s="24" t="s">
        <v>71</v>
      </c>
      <c r="B356" s="63" t="s">
        <v>11</v>
      </c>
      <c r="C356" s="63">
        <v>176</v>
      </c>
      <c r="D356" s="63" t="s">
        <v>16</v>
      </c>
      <c r="E356" s="63">
        <v>6100070760</v>
      </c>
      <c r="F356" s="448">
        <v>521</v>
      </c>
      <c r="G356" s="25">
        <v>22499.5</v>
      </c>
      <c r="H356" s="26">
        <v>3558.4654999999998</v>
      </c>
      <c r="I356" s="25">
        <v>0</v>
      </c>
      <c r="J356" s="25">
        <f>15941.53+0.0045</f>
        <v>15941.5345</v>
      </c>
      <c r="K356" s="25">
        <f t="shared" si="68"/>
        <v>2999.5000000000018</v>
      </c>
      <c r="L356" s="99">
        <v>28715.9</v>
      </c>
      <c r="M356" s="99">
        <v>2095.7579999999998</v>
      </c>
      <c r="N356" s="99">
        <v>9390.56</v>
      </c>
      <c r="O356" s="99">
        <f t="shared" si="72"/>
        <v>-11486.317999999999</v>
      </c>
      <c r="P356" s="99">
        <f t="shared" si="69"/>
        <v>28715.9</v>
      </c>
      <c r="Q356" s="121">
        <v>28456.6</v>
      </c>
      <c r="R356" s="121">
        <v>0</v>
      </c>
      <c r="S356" s="121">
        <v>4000</v>
      </c>
      <c r="T356" s="121">
        <v>16000</v>
      </c>
      <c r="U356" s="121">
        <v>8456.6</v>
      </c>
      <c r="V356" s="52">
        <v>20882.8</v>
      </c>
      <c r="W356" s="52">
        <v>27140.199999999997</v>
      </c>
      <c r="X356" s="45"/>
      <c r="Y356" s="63"/>
      <c r="Z356" s="457"/>
    </row>
    <row r="357" spans="1:26">
      <c r="A357" s="24" t="s">
        <v>72</v>
      </c>
      <c r="B357" s="63" t="s">
        <v>11</v>
      </c>
      <c r="C357" s="63">
        <v>176</v>
      </c>
      <c r="D357" s="63" t="s">
        <v>16</v>
      </c>
      <c r="E357" s="63">
        <v>6100070760</v>
      </c>
      <c r="F357" s="448">
        <v>521</v>
      </c>
      <c r="G357" s="25">
        <v>27696.3</v>
      </c>
      <c r="H357" s="26">
        <v>823.37199999999996</v>
      </c>
      <c r="I357" s="25">
        <f>5207-0.002</f>
        <v>5206.9979999999996</v>
      </c>
      <c r="J357" s="25">
        <v>16969.63</v>
      </c>
      <c r="K357" s="25">
        <f t="shared" si="68"/>
        <v>4696.2999999999993</v>
      </c>
      <c r="L357" s="99">
        <f>31006.4+7000</f>
        <v>38006.400000000001</v>
      </c>
      <c r="M357" s="99">
        <v>8932.7455000000009</v>
      </c>
      <c r="N357" s="99">
        <v>3469.86</v>
      </c>
      <c r="O357" s="99">
        <f t="shared" si="72"/>
        <v>-12402.605500000001</v>
      </c>
      <c r="P357" s="99">
        <f t="shared" si="69"/>
        <v>38006.400000000001</v>
      </c>
      <c r="Q357" s="121">
        <v>36150.9</v>
      </c>
      <c r="R357" s="121">
        <v>7000</v>
      </c>
      <c r="S357" s="121">
        <v>2000</v>
      </c>
      <c r="T357" s="121">
        <v>16300</v>
      </c>
      <c r="U357" s="121">
        <v>10850.9</v>
      </c>
      <c r="V357" s="52">
        <v>25403.100000000002</v>
      </c>
      <c r="W357" s="52">
        <v>32890.9</v>
      </c>
      <c r="X357" s="45"/>
      <c r="Y357" s="63"/>
      <c r="Z357" s="457"/>
    </row>
    <row r="358" spans="1:26" ht="32.4" customHeight="1">
      <c r="A358" s="484" t="s">
        <v>76</v>
      </c>
      <c r="B358" s="189" t="s">
        <v>26</v>
      </c>
      <c r="C358" s="63">
        <v>176</v>
      </c>
      <c r="D358" s="63" t="s">
        <v>16</v>
      </c>
      <c r="E358" s="63" t="s">
        <v>330</v>
      </c>
      <c r="F358" s="448" t="s">
        <v>684</v>
      </c>
      <c r="G358" s="25">
        <v>78443</v>
      </c>
      <c r="H358" s="26">
        <v>18443</v>
      </c>
      <c r="I358" s="25"/>
      <c r="J358" s="25">
        <v>60000</v>
      </c>
      <c r="K358" s="25">
        <f t="shared" si="68"/>
        <v>0</v>
      </c>
      <c r="L358" s="99">
        <f>80000+50000</f>
        <v>130000</v>
      </c>
      <c r="M358" s="99">
        <v>24777</v>
      </c>
      <c r="N358" s="99">
        <v>24619.78</v>
      </c>
      <c r="O358" s="99">
        <f t="shared" si="72"/>
        <v>-49396.78</v>
      </c>
      <c r="P358" s="99">
        <f t="shared" si="69"/>
        <v>130000</v>
      </c>
      <c r="Q358" s="190">
        <f>Q359+Q360</f>
        <v>62178.3</v>
      </c>
      <c r="R358" s="190">
        <f t="shared" ref="R358:U358" si="73">R359+R360</f>
        <v>0</v>
      </c>
      <c r="S358" s="190">
        <f t="shared" si="73"/>
        <v>5000</v>
      </c>
      <c r="T358" s="190">
        <f t="shared" si="73"/>
        <v>22000</v>
      </c>
      <c r="U358" s="190">
        <f t="shared" si="73"/>
        <v>35178.300000000003</v>
      </c>
      <c r="V358" s="190">
        <f t="shared" ref="V358:W358" si="74">V359+V360</f>
        <v>87628.4</v>
      </c>
      <c r="W358" s="190">
        <f t="shared" si="74"/>
        <v>36548.400000000001</v>
      </c>
      <c r="X358" s="45"/>
      <c r="Y358" s="63"/>
      <c r="Z358" s="457"/>
    </row>
    <row r="359" spans="1:26" ht="26.4" customHeight="1">
      <c r="A359" s="485"/>
      <c r="B359" s="171" t="s">
        <v>11</v>
      </c>
      <c r="C359" s="171">
        <v>176</v>
      </c>
      <c r="D359" s="171" t="s">
        <v>16</v>
      </c>
      <c r="E359" s="171">
        <v>6100070760</v>
      </c>
      <c r="F359" s="448" t="s">
        <v>684</v>
      </c>
      <c r="G359" s="25">
        <v>78443</v>
      </c>
      <c r="H359" s="26">
        <v>18443</v>
      </c>
      <c r="I359" s="25"/>
      <c r="J359" s="25">
        <v>60000</v>
      </c>
      <c r="K359" s="25">
        <v>0</v>
      </c>
      <c r="L359" s="99">
        <v>130000</v>
      </c>
      <c r="M359" s="99">
        <v>24777</v>
      </c>
      <c r="N359" s="99">
        <v>24619.78</v>
      </c>
      <c r="O359" s="99">
        <v>-49396.78</v>
      </c>
      <c r="P359" s="99">
        <v>130000</v>
      </c>
      <c r="Q359" s="190">
        <v>39548.400000000001</v>
      </c>
      <c r="R359" s="190">
        <v>0</v>
      </c>
      <c r="S359" s="190">
        <v>5000</v>
      </c>
      <c r="T359" s="190">
        <v>22000</v>
      </c>
      <c r="U359" s="190">
        <v>12548.4</v>
      </c>
      <c r="V359" s="191">
        <v>36548.400000000001</v>
      </c>
      <c r="W359" s="191">
        <v>36548.400000000001</v>
      </c>
      <c r="X359" s="45"/>
      <c r="Y359" s="171"/>
      <c r="Z359" s="457"/>
    </row>
    <row r="360" spans="1:26" ht="26.4">
      <c r="A360" s="486"/>
      <c r="B360" s="171" t="s">
        <v>476</v>
      </c>
      <c r="C360" s="171">
        <v>176</v>
      </c>
      <c r="D360" s="171" t="s">
        <v>16</v>
      </c>
      <c r="E360" s="171">
        <v>6100053901</v>
      </c>
      <c r="F360" s="448">
        <v>521</v>
      </c>
      <c r="G360" s="25"/>
      <c r="H360" s="26"/>
      <c r="I360" s="25"/>
      <c r="J360" s="25"/>
      <c r="K360" s="25"/>
      <c r="L360" s="99"/>
      <c r="M360" s="99"/>
      <c r="N360" s="99"/>
      <c r="O360" s="99"/>
      <c r="P360" s="99"/>
      <c r="Q360" s="121">
        <f>U360</f>
        <v>22629.9</v>
      </c>
      <c r="R360" s="121"/>
      <c r="S360" s="121"/>
      <c r="T360" s="121"/>
      <c r="U360" s="121">
        <f>25800-3170.1</f>
        <v>22629.9</v>
      </c>
      <c r="V360" s="52">
        <v>51080</v>
      </c>
      <c r="W360" s="52"/>
      <c r="X360" s="45"/>
      <c r="Y360" s="171"/>
      <c r="Z360" s="457"/>
    </row>
    <row r="361" spans="1:26" ht="20.399999999999999" customHeight="1">
      <c r="A361" s="484" t="s">
        <v>77</v>
      </c>
      <c r="B361" s="63" t="s">
        <v>26</v>
      </c>
      <c r="C361" s="63">
        <v>176</v>
      </c>
      <c r="D361" s="63" t="s">
        <v>16</v>
      </c>
      <c r="E361" s="63" t="s">
        <v>330</v>
      </c>
      <c r="F361" s="63">
        <v>521</v>
      </c>
      <c r="G361" s="25">
        <f>72200.3</f>
        <v>72200.3</v>
      </c>
      <c r="H361" s="26">
        <f>40967.5287</f>
        <v>40967.528700000003</v>
      </c>
      <c r="I361" s="25">
        <f>21618.57+7500</f>
        <v>29118.57</v>
      </c>
      <c r="J361" s="25">
        <f>2114.2+0.0013</f>
        <v>2114.2012999999997</v>
      </c>
      <c r="K361" s="25">
        <f t="shared" si="68"/>
        <v>0</v>
      </c>
      <c r="L361" s="99">
        <f>96800+9301</f>
        <v>106101</v>
      </c>
      <c r="M361" s="99">
        <v>49488.398000000001</v>
      </c>
      <c r="N361" s="99">
        <v>2159.9899999999998</v>
      </c>
      <c r="O361" s="99">
        <f>Z361-N361-M361</f>
        <v>-51648.387999999999</v>
      </c>
      <c r="P361" s="99">
        <f t="shared" si="69"/>
        <v>106101</v>
      </c>
      <c r="Q361" s="121">
        <f>Q362+Q363</f>
        <v>84345.9</v>
      </c>
      <c r="R361" s="121">
        <f t="shared" ref="R361:U361" si="75">R362+R363</f>
        <v>0</v>
      </c>
      <c r="S361" s="121">
        <f t="shared" si="75"/>
        <v>7000</v>
      </c>
      <c r="T361" s="121">
        <f t="shared" si="75"/>
        <v>25800</v>
      </c>
      <c r="U361" s="121">
        <f t="shared" si="75"/>
        <v>51545.9</v>
      </c>
      <c r="V361" s="121">
        <f t="shared" ref="V361:W361" si="76">V362+V363</f>
        <v>76045.899999999994</v>
      </c>
      <c r="W361" s="121">
        <f t="shared" si="76"/>
        <v>39845.9</v>
      </c>
      <c r="X361" s="45"/>
      <c r="Y361" s="63"/>
      <c r="Z361" s="457"/>
    </row>
    <row r="362" spans="1:26" ht="19.2" customHeight="1">
      <c r="A362" s="485"/>
      <c r="B362" s="171" t="s">
        <v>11</v>
      </c>
      <c r="C362" s="171">
        <v>176</v>
      </c>
      <c r="D362" s="171" t="s">
        <v>16</v>
      </c>
      <c r="E362" s="171">
        <v>6100070760</v>
      </c>
      <c r="F362" s="171">
        <v>521</v>
      </c>
      <c r="G362" s="25">
        <v>72200.3</v>
      </c>
      <c r="H362" s="26">
        <v>40967.528700000003</v>
      </c>
      <c r="I362" s="25">
        <v>29118.57</v>
      </c>
      <c r="J362" s="25">
        <v>2114.2012999999997</v>
      </c>
      <c r="K362" s="25">
        <v>0</v>
      </c>
      <c r="L362" s="99">
        <v>106101</v>
      </c>
      <c r="M362" s="99">
        <v>49488.398000000001</v>
      </c>
      <c r="N362" s="99">
        <v>2159.9899999999998</v>
      </c>
      <c r="O362" s="99">
        <v>-51648.387999999999</v>
      </c>
      <c r="P362" s="99">
        <v>106101</v>
      </c>
      <c r="Q362" s="121">
        <v>46845.9</v>
      </c>
      <c r="R362" s="121">
        <v>0</v>
      </c>
      <c r="S362" s="121">
        <v>7000</v>
      </c>
      <c r="T362" s="121">
        <v>25800</v>
      </c>
      <c r="U362" s="121">
        <v>14045.9</v>
      </c>
      <c r="V362" s="52">
        <v>38545.9</v>
      </c>
      <c r="W362" s="52">
        <v>39845.9</v>
      </c>
      <c r="X362" s="45"/>
      <c r="Y362" s="171"/>
      <c r="Z362" s="457"/>
    </row>
    <row r="363" spans="1:26" ht="26.4">
      <c r="A363" s="486"/>
      <c r="B363" s="171" t="s">
        <v>476</v>
      </c>
      <c r="C363" s="171">
        <v>176</v>
      </c>
      <c r="D363" s="171" t="s">
        <v>16</v>
      </c>
      <c r="E363" s="171">
        <v>6100053901</v>
      </c>
      <c r="F363" s="171">
        <v>521</v>
      </c>
      <c r="G363" s="25"/>
      <c r="H363" s="26"/>
      <c r="I363" s="25"/>
      <c r="J363" s="25"/>
      <c r="K363" s="25"/>
      <c r="L363" s="99"/>
      <c r="M363" s="99"/>
      <c r="N363" s="99"/>
      <c r="O363" s="99"/>
      <c r="P363" s="99"/>
      <c r="Q363" s="121">
        <v>37500</v>
      </c>
      <c r="R363" s="121"/>
      <c r="S363" s="121"/>
      <c r="T363" s="121"/>
      <c r="U363" s="121">
        <v>37500</v>
      </c>
      <c r="V363" s="52">
        <v>37500</v>
      </c>
      <c r="W363" s="52"/>
      <c r="X363" s="45"/>
      <c r="Y363" s="171"/>
      <c r="Z363" s="457"/>
    </row>
    <row r="364" spans="1:26" ht="25.95" customHeight="1">
      <c r="A364" s="484" t="s">
        <v>78</v>
      </c>
      <c r="B364" s="63" t="s">
        <v>26</v>
      </c>
      <c r="C364" s="63">
        <v>176</v>
      </c>
      <c r="D364" s="63" t="s">
        <v>16</v>
      </c>
      <c r="E364" s="63" t="s">
        <v>330</v>
      </c>
      <c r="F364" s="63">
        <v>521</v>
      </c>
      <c r="G364" s="25">
        <f>4160.7</f>
        <v>4160.7</v>
      </c>
      <c r="H364" s="26">
        <v>0</v>
      </c>
      <c r="I364" s="25">
        <v>4160.7</v>
      </c>
      <c r="J364" s="25">
        <v>0</v>
      </c>
      <c r="K364" s="25">
        <f t="shared" si="68"/>
        <v>0</v>
      </c>
      <c r="L364" s="99">
        <f>17362.5+10400</f>
        <v>27762.5</v>
      </c>
      <c r="M364" s="99">
        <v>10362.5</v>
      </c>
      <c r="N364" s="99">
        <v>7000</v>
      </c>
      <c r="O364" s="99">
        <f>Z364-N364-M364</f>
        <v>-17362.5</v>
      </c>
      <c r="P364" s="99">
        <f t="shared" si="69"/>
        <v>27762.5</v>
      </c>
      <c r="Q364" s="121">
        <f>Q365+Q366</f>
        <v>55261.2</v>
      </c>
      <c r="R364" s="121">
        <f t="shared" ref="R364:U364" si="77">R365+R366</f>
        <v>0</v>
      </c>
      <c r="S364" s="121">
        <f t="shared" si="77"/>
        <v>6000</v>
      </c>
      <c r="T364" s="121">
        <f t="shared" si="77"/>
        <v>22000</v>
      </c>
      <c r="U364" s="121">
        <f t="shared" si="77"/>
        <v>27261.200000000001</v>
      </c>
      <c r="V364" s="121">
        <f t="shared" ref="V364:W364" si="78">V365+V366</f>
        <v>71244.5</v>
      </c>
      <c r="W364" s="121">
        <f t="shared" si="78"/>
        <v>31534.5</v>
      </c>
      <c r="X364" s="45"/>
      <c r="Y364" s="63"/>
      <c r="Z364" s="457"/>
    </row>
    <row r="365" spans="1:26" ht="17.399999999999999" customHeight="1">
      <c r="A365" s="485"/>
      <c r="B365" s="171" t="s">
        <v>11</v>
      </c>
      <c r="C365" s="171">
        <v>176</v>
      </c>
      <c r="D365" s="171" t="s">
        <v>16</v>
      </c>
      <c r="E365" s="171">
        <v>6100070760</v>
      </c>
      <c r="F365" s="171">
        <v>521</v>
      </c>
      <c r="G365" s="25">
        <v>4160.7</v>
      </c>
      <c r="H365" s="26">
        <v>0</v>
      </c>
      <c r="I365" s="25">
        <v>4160.7</v>
      </c>
      <c r="J365" s="25">
        <v>0</v>
      </c>
      <c r="K365" s="25">
        <v>0</v>
      </c>
      <c r="L365" s="99">
        <v>27762.5</v>
      </c>
      <c r="M365" s="99">
        <v>10362.5</v>
      </c>
      <c r="N365" s="99">
        <v>7000</v>
      </c>
      <c r="O365" s="99">
        <v>-17362.5</v>
      </c>
      <c r="P365" s="99">
        <v>27762.5</v>
      </c>
      <c r="Q365" s="121">
        <f>25081.2+15000</f>
        <v>40081.199999999997</v>
      </c>
      <c r="R365" s="121">
        <v>0</v>
      </c>
      <c r="S365" s="121">
        <v>6000</v>
      </c>
      <c r="T365" s="121">
        <v>22000</v>
      </c>
      <c r="U365" s="121">
        <v>12081.2</v>
      </c>
      <c r="V365" s="52">
        <v>31534.5</v>
      </c>
      <c r="W365" s="52">
        <v>31534.5</v>
      </c>
      <c r="X365" s="45"/>
      <c r="Y365" s="171"/>
      <c r="Z365" s="457"/>
    </row>
    <row r="366" spans="1:26" ht="26.4">
      <c r="A366" s="486"/>
      <c r="B366" s="171" t="s">
        <v>476</v>
      </c>
      <c r="C366" s="171">
        <v>176</v>
      </c>
      <c r="D366" s="171" t="s">
        <v>16</v>
      </c>
      <c r="E366" s="171">
        <v>6100053901</v>
      </c>
      <c r="F366" s="171">
        <v>521</v>
      </c>
      <c r="G366" s="25"/>
      <c r="H366" s="26"/>
      <c r="I366" s="25"/>
      <c r="J366" s="25"/>
      <c r="K366" s="25"/>
      <c r="L366" s="99"/>
      <c r="M366" s="99"/>
      <c r="N366" s="99"/>
      <c r="O366" s="99"/>
      <c r="P366" s="99"/>
      <c r="Q366" s="121">
        <v>15180</v>
      </c>
      <c r="R366" s="121"/>
      <c r="S366" s="121"/>
      <c r="T366" s="121"/>
      <c r="U366" s="121">
        <v>15180</v>
      </c>
      <c r="V366" s="52">
        <v>39710</v>
      </c>
      <c r="W366" s="52"/>
      <c r="X366" s="45"/>
      <c r="Y366" s="171"/>
      <c r="Z366" s="457"/>
    </row>
    <row r="367" spans="1:26" ht="28.2" customHeight="1">
      <c r="A367" s="484" t="s">
        <v>79</v>
      </c>
      <c r="B367" s="63" t="s">
        <v>26</v>
      </c>
      <c r="C367" s="63">
        <v>176</v>
      </c>
      <c r="D367" s="63" t="s">
        <v>16</v>
      </c>
      <c r="E367" s="63" t="s">
        <v>330</v>
      </c>
      <c r="F367" s="63">
        <v>521</v>
      </c>
      <c r="G367" s="25">
        <f>5768.7</f>
        <v>5768.7</v>
      </c>
      <c r="H367" s="26">
        <v>1776.1</v>
      </c>
      <c r="I367" s="25">
        <v>0</v>
      </c>
      <c r="J367" s="25">
        <v>3000</v>
      </c>
      <c r="K367" s="25">
        <f t="shared" si="68"/>
        <v>992.59999999999991</v>
      </c>
      <c r="L367" s="99">
        <v>11986.9</v>
      </c>
      <c r="M367" s="99">
        <v>955.71</v>
      </c>
      <c r="N367" s="99">
        <v>3839.06</v>
      </c>
      <c r="O367" s="99">
        <f>Z367-N367-M367</f>
        <v>-4794.7700000000004</v>
      </c>
      <c r="P367" s="99">
        <f t="shared" si="69"/>
        <v>11986.9</v>
      </c>
      <c r="Q367" s="121">
        <f>Q368+Q369</f>
        <v>87382.8</v>
      </c>
      <c r="R367" s="121">
        <f t="shared" ref="R367:U367" si="79">R368+R369</f>
        <v>0</v>
      </c>
      <c r="S367" s="121">
        <f t="shared" si="79"/>
        <v>6500</v>
      </c>
      <c r="T367" s="121">
        <f t="shared" si="79"/>
        <v>25000</v>
      </c>
      <c r="U367" s="121">
        <f t="shared" si="79"/>
        <v>55882.8</v>
      </c>
      <c r="V367" s="121">
        <f t="shared" ref="V367:W367" si="80">V368+V369</f>
        <v>61770.7</v>
      </c>
      <c r="W367" s="121">
        <f t="shared" si="80"/>
        <v>39870.699999999997</v>
      </c>
      <c r="X367" s="45"/>
      <c r="Y367" s="63"/>
      <c r="Z367" s="457"/>
    </row>
    <row r="368" spans="1:26" ht="21" customHeight="1">
      <c r="A368" s="485"/>
      <c r="B368" s="171" t="s">
        <v>11</v>
      </c>
      <c r="C368" s="171">
        <v>176</v>
      </c>
      <c r="D368" s="171" t="s">
        <v>16</v>
      </c>
      <c r="E368" s="171">
        <v>6100070760</v>
      </c>
      <c r="F368" s="171">
        <v>521</v>
      </c>
      <c r="G368" s="25">
        <v>5768.7</v>
      </c>
      <c r="H368" s="26">
        <v>1776.1</v>
      </c>
      <c r="I368" s="25">
        <v>0</v>
      </c>
      <c r="J368" s="25">
        <v>3000</v>
      </c>
      <c r="K368" s="25">
        <v>992.59999999999991</v>
      </c>
      <c r="L368" s="99">
        <v>11986.9</v>
      </c>
      <c r="M368" s="99">
        <v>955.71</v>
      </c>
      <c r="N368" s="99">
        <v>3839.06</v>
      </c>
      <c r="O368" s="99">
        <v>-4794.7700000000004</v>
      </c>
      <c r="P368" s="99">
        <v>11986.9</v>
      </c>
      <c r="Q368" s="121">
        <f>26382.8+20000</f>
        <v>46382.8</v>
      </c>
      <c r="R368" s="121">
        <v>0</v>
      </c>
      <c r="S368" s="121">
        <v>6500</v>
      </c>
      <c r="T368" s="121">
        <v>25000</v>
      </c>
      <c r="U368" s="121">
        <v>14882.8</v>
      </c>
      <c r="V368" s="52">
        <v>41170.699999999997</v>
      </c>
      <c r="W368" s="52">
        <v>39870.699999999997</v>
      </c>
      <c r="X368" s="45"/>
      <c r="Y368" s="171"/>
      <c r="Z368" s="457"/>
    </row>
    <row r="369" spans="1:28" ht="26.4">
      <c r="A369" s="486"/>
      <c r="B369" s="171" t="s">
        <v>476</v>
      </c>
      <c r="C369" s="171">
        <v>176</v>
      </c>
      <c r="D369" s="171" t="s">
        <v>16</v>
      </c>
      <c r="E369" s="171">
        <v>6100053901</v>
      </c>
      <c r="F369" s="448" t="s">
        <v>684</v>
      </c>
      <c r="G369" s="25"/>
      <c r="H369" s="26"/>
      <c r="I369" s="25"/>
      <c r="J369" s="25"/>
      <c r="K369" s="25"/>
      <c r="L369" s="99"/>
      <c r="M369" s="99"/>
      <c r="N369" s="99"/>
      <c r="O369" s="99"/>
      <c r="P369" s="99"/>
      <c r="Q369" s="121">
        <v>41000</v>
      </c>
      <c r="R369" s="121"/>
      <c r="S369" s="121"/>
      <c r="T369" s="121"/>
      <c r="U369" s="121">
        <v>41000</v>
      </c>
      <c r="V369" s="52">
        <v>20600</v>
      </c>
      <c r="W369" s="52"/>
      <c r="X369" s="45"/>
      <c r="Y369" s="171"/>
      <c r="Z369" s="457"/>
    </row>
    <row r="370" spans="1:28" ht="29.4" customHeight="1">
      <c r="A370" s="484" t="s">
        <v>80</v>
      </c>
      <c r="B370" s="63" t="s">
        <v>26</v>
      </c>
      <c r="C370" s="63">
        <v>176</v>
      </c>
      <c r="D370" s="63" t="s">
        <v>16</v>
      </c>
      <c r="E370" s="63" t="s">
        <v>330</v>
      </c>
      <c r="F370" s="63" t="s">
        <v>674</v>
      </c>
      <c r="G370" s="25">
        <f>566000+52424.5</f>
        <v>618424.5</v>
      </c>
      <c r="H370" s="26">
        <v>190000</v>
      </c>
      <c r="I370" s="25">
        <v>140390.6</v>
      </c>
      <c r="J370" s="25">
        <f>G370-H370-I370</f>
        <v>288033.90000000002</v>
      </c>
      <c r="K370" s="25">
        <f t="shared" si="68"/>
        <v>0</v>
      </c>
      <c r="L370" s="99">
        <f>100000+100000+100000+20000+94452.3</f>
        <v>414452.3</v>
      </c>
      <c r="M370" s="99">
        <v>27239.88</v>
      </c>
      <c r="N370" s="99">
        <v>156696.76999999999</v>
      </c>
      <c r="O370" s="99">
        <f>Z370-N370-M370</f>
        <v>-183936.65</v>
      </c>
      <c r="P370" s="99">
        <f t="shared" si="69"/>
        <v>414452.3</v>
      </c>
      <c r="Q370" s="121">
        <f>SUM(Q371:Q373)</f>
        <v>986337.4</v>
      </c>
      <c r="R370" s="121">
        <f t="shared" ref="R370:U370" si="81">SUM(R371:R373)</f>
        <v>45000</v>
      </c>
      <c r="S370" s="121">
        <f t="shared" si="81"/>
        <v>155000</v>
      </c>
      <c r="T370" s="121">
        <f t="shared" si="81"/>
        <v>428000</v>
      </c>
      <c r="U370" s="121">
        <f t="shared" si="81"/>
        <v>358337.4</v>
      </c>
      <c r="V370" s="121">
        <f t="shared" ref="V370:W370" si="82">V372+V373</f>
        <v>840466.7</v>
      </c>
      <c r="W370" s="121">
        <f t="shared" si="82"/>
        <v>388856.7</v>
      </c>
      <c r="X370" s="45"/>
      <c r="Y370" s="63"/>
      <c r="Z370" s="457"/>
    </row>
    <row r="371" spans="1:28" ht="29.4" customHeight="1">
      <c r="A371" s="485"/>
      <c r="B371" s="444" t="s">
        <v>11</v>
      </c>
      <c r="C371" s="444">
        <v>176</v>
      </c>
      <c r="D371" s="444" t="s">
        <v>16</v>
      </c>
      <c r="E371" s="444">
        <v>6100070760</v>
      </c>
      <c r="F371" s="444">
        <v>522</v>
      </c>
      <c r="G371" s="25"/>
      <c r="H371" s="26"/>
      <c r="I371" s="25"/>
      <c r="J371" s="25"/>
      <c r="K371" s="25"/>
      <c r="L371" s="99"/>
      <c r="M371" s="99"/>
      <c r="N371" s="99"/>
      <c r="O371" s="99"/>
      <c r="P371" s="99"/>
      <c r="Q371" s="121">
        <v>67600</v>
      </c>
      <c r="R371" s="121"/>
      <c r="S371" s="121"/>
      <c r="T371" s="121"/>
      <c r="U371" s="121">
        <v>67600</v>
      </c>
      <c r="V371" s="121"/>
      <c r="W371" s="121"/>
      <c r="X371" s="188"/>
      <c r="Y371" s="445"/>
      <c r="Z371" s="457"/>
    </row>
    <row r="372" spans="1:28" ht="20.399999999999999" customHeight="1">
      <c r="A372" s="485"/>
      <c r="B372" s="171" t="s">
        <v>11</v>
      </c>
      <c r="C372" s="171">
        <v>176</v>
      </c>
      <c r="D372" s="171" t="s">
        <v>16</v>
      </c>
      <c r="E372" s="171">
        <v>6100070760</v>
      </c>
      <c r="F372" s="171">
        <v>521</v>
      </c>
      <c r="G372" s="25">
        <v>618424.5</v>
      </c>
      <c r="H372" s="26">
        <v>190000</v>
      </c>
      <c r="I372" s="25">
        <v>140390.6</v>
      </c>
      <c r="J372" s="25">
        <v>288033.90000000002</v>
      </c>
      <c r="K372" s="25">
        <v>0</v>
      </c>
      <c r="L372" s="99">
        <v>414452.3</v>
      </c>
      <c r="M372" s="99">
        <v>27239.88</v>
      </c>
      <c r="N372" s="99">
        <v>156696.76999999999</v>
      </c>
      <c r="O372" s="99">
        <v>-183936.65</v>
      </c>
      <c r="P372" s="99">
        <v>414452.3</v>
      </c>
      <c r="Q372" s="121">
        <f>SUM(R372:U372)</f>
        <v>438217.4</v>
      </c>
      <c r="R372" s="121">
        <v>45000</v>
      </c>
      <c r="S372" s="121">
        <v>55000</v>
      </c>
      <c r="T372" s="121">
        <v>178000</v>
      </c>
      <c r="U372" s="121">
        <f>49662.6+70000+8832+11722.8+20000</f>
        <v>160217.4</v>
      </c>
      <c r="V372" s="52">
        <v>389356.7</v>
      </c>
      <c r="W372" s="52">
        <v>388856.7</v>
      </c>
      <c r="X372" s="188"/>
      <c r="Y372" s="173"/>
      <c r="Z372" s="457"/>
    </row>
    <row r="373" spans="1:28" ht="26.4">
      <c r="A373" s="486"/>
      <c r="B373" s="171" t="s">
        <v>476</v>
      </c>
      <c r="C373" s="171">
        <v>176</v>
      </c>
      <c r="D373" s="171" t="s">
        <v>16</v>
      </c>
      <c r="E373" s="171">
        <v>6100053901</v>
      </c>
      <c r="F373" s="171">
        <v>521</v>
      </c>
      <c r="G373" s="25"/>
      <c r="H373" s="26"/>
      <c r="I373" s="25"/>
      <c r="J373" s="25"/>
      <c r="K373" s="25"/>
      <c r="L373" s="99"/>
      <c r="M373" s="99"/>
      <c r="N373" s="99"/>
      <c r="O373" s="99"/>
      <c r="P373" s="99"/>
      <c r="Q373" s="121">
        <v>480520</v>
      </c>
      <c r="R373" s="121"/>
      <c r="S373" s="121">
        <v>100000</v>
      </c>
      <c r="T373" s="121">
        <v>250000</v>
      </c>
      <c r="U373" s="121">
        <v>130520</v>
      </c>
      <c r="V373" s="191">
        <v>451110</v>
      </c>
      <c r="W373" s="52"/>
      <c r="X373" s="188"/>
      <c r="Y373" s="173"/>
      <c r="Z373" s="457"/>
    </row>
    <row r="374" spans="1:28" ht="47.4" customHeight="1">
      <c r="A374" s="498" t="s">
        <v>321</v>
      </c>
      <c r="B374" s="12" t="s">
        <v>454</v>
      </c>
      <c r="C374" s="12"/>
      <c r="D374" s="12"/>
      <c r="E374" s="12"/>
      <c r="F374" s="12"/>
      <c r="G374" s="7">
        <v>0</v>
      </c>
      <c r="H374" s="7">
        <v>0</v>
      </c>
      <c r="I374" s="7">
        <v>0</v>
      </c>
      <c r="J374" s="7">
        <v>0</v>
      </c>
      <c r="K374" s="7">
        <v>0</v>
      </c>
      <c r="L374" s="91" t="s">
        <v>348</v>
      </c>
      <c r="M374" s="91"/>
      <c r="N374" s="91"/>
      <c r="O374" s="91"/>
      <c r="P374" s="91"/>
      <c r="Q374" s="114" t="s">
        <v>348</v>
      </c>
      <c r="R374" s="114"/>
      <c r="S374" s="114"/>
      <c r="T374" s="114"/>
      <c r="U374" s="114"/>
      <c r="V374" s="91" t="s">
        <v>348</v>
      </c>
      <c r="W374" s="91"/>
      <c r="X374" s="489" t="s">
        <v>215</v>
      </c>
      <c r="Y374" s="489" t="s">
        <v>320</v>
      </c>
      <c r="Z374" s="456"/>
    </row>
    <row r="375" spans="1:28" ht="47.25" customHeight="1">
      <c r="A375" s="499"/>
      <c r="B375" s="12" t="s">
        <v>25</v>
      </c>
      <c r="C375" s="12"/>
      <c r="D375" s="12"/>
      <c r="E375" s="12"/>
      <c r="F375" s="12"/>
      <c r="G375" s="7"/>
      <c r="H375" s="7"/>
      <c r="I375" s="7"/>
      <c r="J375" s="7"/>
      <c r="K375" s="7"/>
      <c r="L375" s="91"/>
      <c r="M375" s="91"/>
      <c r="N375" s="91"/>
      <c r="O375" s="91"/>
      <c r="P375" s="91"/>
      <c r="Q375" s="112"/>
      <c r="R375" s="112"/>
      <c r="S375" s="112"/>
      <c r="T375" s="112"/>
      <c r="U375" s="112"/>
      <c r="V375" s="60"/>
      <c r="W375" s="60"/>
      <c r="X375" s="490"/>
      <c r="Y375" s="490"/>
      <c r="Z375" s="456"/>
    </row>
    <row r="376" spans="1:28" ht="32.25" customHeight="1">
      <c r="A376" s="15"/>
      <c r="B376" s="12" t="s">
        <v>26</v>
      </c>
      <c r="C376" s="12">
        <v>176</v>
      </c>
      <c r="D376" s="12" t="s">
        <v>16</v>
      </c>
      <c r="E376" s="12">
        <v>6100004040</v>
      </c>
      <c r="F376" s="12">
        <v>244</v>
      </c>
      <c r="G376" s="7">
        <f t="shared" ref="G376:W376" si="83">G378</f>
        <v>9500</v>
      </c>
      <c r="H376" s="7">
        <f t="shared" si="83"/>
        <v>0</v>
      </c>
      <c r="I376" s="7">
        <f t="shared" si="83"/>
        <v>0</v>
      </c>
      <c r="J376" s="7">
        <f t="shared" si="83"/>
        <v>5000</v>
      </c>
      <c r="K376" s="7">
        <f t="shared" si="83"/>
        <v>4500</v>
      </c>
      <c r="L376" s="91">
        <f t="shared" si="83"/>
        <v>10000</v>
      </c>
      <c r="M376" s="91"/>
      <c r="N376" s="91">
        <f t="shared" si="83"/>
        <v>5000</v>
      </c>
      <c r="O376" s="91"/>
      <c r="P376" s="91">
        <f t="shared" si="83"/>
        <v>5000</v>
      </c>
      <c r="Q376" s="114">
        <f t="shared" si="83"/>
        <v>20000</v>
      </c>
      <c r="R376" s="114">
        <f t="shared" si="83"/>
        <v>0</v>
      </c>
      <c r="S376" s="114">
        <f t="shared" si="83"/>
        <v>8000</v>
      </c>
      <c r="T376" s="114">
        <f t="shared" si="83"/>
        <v>6000</v>
      </c>
      <c r="U376" s="114">
        <f t="shared" si="83"/>
        <v>6000</v>
      </c>
      <c r="V376" s="114">
        <f t="shared" si="83"/>
        <v>20000</v>
      </c>
      <c r="W376" s="114">
        <f t="shared" si="83"/>
        <v>20000</v>
      </c>
      <c r="X376" s="43"/>
      <c r="Y376" s="490"/>
      <c r="Z376" s="456"/>
    </row>
    <row r="377" spans="1:28" ht="19.5" customHeight="1">
      <c r="A377" s="15"/>
      <c r="B377" s="12" t="s">
        <v>10</v>
      </c>
      <c r="C377" s="12"/>
      <c r="D377" s="12"/>
      <c r="E377" s="12"/>
      <c r="F377" s="12"/>
      <c r="G377" s="7"/>
      <c r="H377" s="7"/>
      <c r="I377" s="7"/>
      <c r="J377" s="7"/>
      <c r="K377" s="7"/>
      <c r="L377" s="91"/>
      <c r="M377" s="91"/>
      <c r="N377" s="91"/>
      <c r="O377" s="91"/>
      <c r="P377" s="91"/>
      <c r="Q377" s="112"/>
      <c r="R377" s="112"/>
      <c r="S377" s="112"/>
      <c r="T377" s="112"/>
      <c r="U377" s="112"/>
      <c r="V377" s="60"/>
      <c r="W377" s="60"/>
      <c r="X377" s="43"/>
      <c r="Y377" s="490"/>
      <c r="Z377" s="456"/>
    </row>
    <row r="378" spans="1:28" ht="31.5" customHeight="1">
      <c r="A378" s="15"/>
      <c r="B378" s="12" t="s">
        <v>11</v>
      </c>
      <c r="C378" s="12">
        <v>176</v>
      </c>
      <c r="D378" s="12" t="s">
        <v>16</v>
      </c>
      <c r="E378" s="12">
        <v>6100004040</v>
      </c>
      <c r="F378" s="12">
        <v>244</v>
      </c>
      <c r="G378" s="7">
        <f>SUM(H378:K378)</f>
        <v>9500</v>
      </c>
      <c r="H378" s="7">
        <v>0</v>
      </c>
      <c r="I378" s="7">
        <v>0</v>
      </c>
      <c r="J378" s="7">
        <v>5000</v>
      </c>
      <c r="K378" s="7">
        <f>5000-500</f>
        <v>4500</v>
      </c>
      <c r="L378" s="91">
        <v>10000</v>
      </c>
      <c r="M378" s="91"/>
      <c r="N378" s="91">
        <v>5000</v>
      </c>
      <c r="O378" s="91"/>
      <c r="P378" s="91">
        <v>5000</v>
      </c>
      <c r="Q378" s="112">
        <v>20000</v>
      </c>
      <c r="R378" s="112">
        <v>0</v>
      </c>
      <c r="S378" s="112">
        <v>8000</v>
      </c>
      <c r="T378" s="112">
        <v>6000</v>
      </c>
      <c r="U378" s="112">
        <v>6000</v>
      </c>
      <c r="V378" s="112">
        <v>20000</v>
      </c>
      <c r="W378" s="112">
        <v>20000</v>
      </c>
      <c r="X378" s="43"/>
      <c r="Y378" s="490"/>
      <c r="Z378" s="456"/>
    </row>
    <row r="379" spans="1:28" ht="33.75" customHeight="1">
      <c r="A379" s="15"/>
      <c r="B379" s="12" t="s">
        <v>615</v>
      </c>
      <c r="C379" s="42">
        <v>0</v>
      </c>
      <c r="D379" s="42">
        <v>0</v>
      </c>
      <c r="E379" s="42">
        <v>0</v>
      </c>
      <c r="F379" s="42">
        <v>0</v>
      </c>
      <c r="G379" s="7">
        <v>0</v>
      </c>
      <c r="H379" s="7">
        <v>0</v>
      </c>
      <c r="I379" s="7">
        <v>0</v>
      </c>
      <c r="J379" s="7">
        <v>0</v>
      </c>
      <c r="K379" s="7">
        <v>0</v>
      </c>
      <c r="L379" s="91"/>
      <c r="M379" s="91"/>
      <c r="N379" s="91"/>
      <c r="O379" s="91"/>
      <c r="P379" s="91"/>
      <c r="Q379" s="112"/>
      <c r="R379" s="112"/>
      <c r="S379" s="112"/>
      <c r="T379" s="112"/>
      <c r="U379" s="112"/>
      <c r="V379" s="60"/>
      <c r="W379" s="60"/>
      <c r="X379" s="43"/>
      <c r="Y379" s="490"/>
      <c r="Z379" s="456"/>
    </row>
    <row r="380" spans="1:28" ht="30.75" customHeight="1">
      <c r="A380" s="15"/>
      <c r="B380" s="12" t="s">
        <v>12</v>
      </c>
      <c r="C380" s="42">
        <v>0</v>
      </c>
      <c r="D380" s="42">
        <v>0</v>
      </c>
      <c r="E380" s="42">
        <v>0</v>
      </c>
      <c r="F380" s="42">
        <v>0</v>
      </c>
      <c r="G380" s="7">
        <v>0</v>
      </c>
      <c r="H380" s="7">
        <v>0</v>
      </c>
      <c r="I380" s="7">
        <v>0</v>
      </c>
      <c r="J380" s="7">
        <v>0</v>
      </c>
      <c r="K380" s="7">
        <v>0</v>
      </c>
      <c r="L380" s="91"/>
      <c r="M380" s="91"/>
      <c r="N380" s="91"/>
      <c r="O380" s="91"/>
      <c r="P380" s="91"/>
      <c r="Q380" s="112"/>
      <c r="R380" s="112"/>
      <c r="S380" s="112"/>
      <c r="T380" s="112"/>
      <c r="U380" s="112"/>
      <c r="V380" s="60"/>
      <c r="W380" s="60"/>
      <c r="X380" s="43"/>
      <c r="Y380" s="490"/>
      <c r="Z380" s="456"/>
    </row>
    <row r="381" spans="1:28" ht="34.5" customHeight="1">
      <c r="A381" s="16"/>
      <c r="B381" s="12" t="s">
        <v>665</v>
      </c>
      <c r="C381" s="42">
        <v>0</v>
      </c>
      <c r="D381" s="42">
        <v>0</v>
      </c>
      <c r="E381" s="42">
        <v>0</v>
      </c>
      <c r="F381" s="42">
        <v>0</v>
      </c>
      <c r="G381" s="7">
        <v>0</v>
      </c>
      <c r="H381" s="7">
        <v>0</v>
      </c>
      <c r="I381" s="7">
        <v>0</v>
      </c>
      <c r="J381" s="7">
        <v>0</v>
      </c>
      <c r="K381" s="7">
        <v>0</v>
      </c>
      <c r="L381" s="91"/>
      <c r="M381" s="91"/>
      <c r="N381" s="91"/>
      <c r="O381" s="91"/>
      <c r="P381" s="91"/>
      <c r="Q381" s="112"/>
      <c r="R381" s="112"/>
      <c r="S381" s="112"/>
      <c r="T381" s="112"/>
      <c r="U381" s="112"/>
      <c r="V381" s="60"/>
      <c r="W381" s="60"/>
      <c r="X381" s="44"/>
      <c r="Y381" s="491"/>
      <c r="Z381" s="456"/>
    </row>
    <row r="382" spans="1:28" ht="33.75" customHeight="1">
      <c r="A382" s="66" t="s">
        <v>480</v>
      </c>
      <c r="B382" s="12" t="s">
        <v>26</v>
      </c>
      <c r="C382" s="12">
        <v>176</v>
      </c>
      <c r="D382" s="12" t="s">
        <v>16</v>
      </c>
      <c r="E382" s="12" t="s">
        <v>673</v>
      </c>
      <c r="F382" s="12" t="s">
        <v>29</v>
      </c>
      <c r="G382" s="7" t="e">
        <f t="shared" ref="G382:P382" si="84">SUM(G384:G388)</f>
        <v>#REF!</v>
      </c>
      <c r="H382" s="7" t="e">
        <f t="shared" si="84"/>
        <v>#REF!</v>
      </c>
      <c r="I382" s="7" t="e">
        <f t="shared" si="84"/>
        <v>#REF!</v>
      </c>
      <c r="J382" s="7" t="e">
        <f t="shared" si="84"/>
        <v>#REF!</v>
      </c>
      <c r="K382" s="7" t="e">
        <f t="shared" si="84"/>
        <v>#REF!</v>
      </c>
      <c r="L382" s="91" t="e">
        <f t="shared" si="84"/>
        <v>#REF!</v>
      </c>
      <c r="M382" s="91" t="e">
        <f t="shared" si="84"/>
        <v>#REF!</v>
      </c>
      <c r="N382" s="91" t="e">
        <f t="shared" si="84"/>
        <v>#REF!</v>
      </c>
      <c r="O382" s="91" t="e">
        <f t="shared" si="84"/>
        <v>#REF!</v>
      </c>
      <c r="P382" s="91" t="e">
        <f t="shared" si="84"/>
        <v>#REF!</v>
      </c>
      <c r="Q382" s="91">
        <f>SUM(Q384:Q387)</f>
        <v>7795116.330769999</v>
      </c>
      <c r="R382" s="114">
        <f t="shared" ref="R382:W382" si="85">SUM(R384:R388)</f>
        <v>875963.60878947366</v>
      </c>
      <c r="S382" s="114">
        <f t="shared" si="85"/>
        <v>1371691.7099999997</v>
      </c>
      <c r="T382" s="114">
        <f t="shared" si="85"/>
        <v>3458440.1276526311</v>
      </c>
      <c r="U382" s="114">
        <f t="shared" si="85"/>
        <v>2090851.5259999996</v>
      </c>
      <c r="V382" s="91">
        <f t="shared" si="85"/>
        <v>6732414.5894736843</v>
      </c>
      <c r="W382" s="91">
        <f t="shared" si="85"/>
        <v>6507302.689473683</v>
      </c>
      <c r="X382" s="63"/>
      <c r="Y382" s="63"/>
      <c r="Z382" s="456"/>
    </row>
    <row r="383" spans="1:28" ht="17.25" customHeight="1">
      <c r="A383" s="67"/>
      <c r="B383" s="12" t="s">
        <v>10</v>
      </c>
      <c r="C383" s="12"/>
      <c r="D383" s="12"/>
      <c r="E383" s="12"/>
      <c r="F383" s="12"/>
      <c r="G383" s="7"/>
      <c r="H383" s="7"/>
      <c r="I383" s="7"/>
      <c r="J383" s="7"/>
      <c r="K383" s="7"/>
      <c r="L383" s="91"/>
      <c r="M383" s="91"/>
      <c r="N383" s="91"/>
      <c r="O383" s="91"/>
      <c r="P383" s="91"/>
      <c r="Q383" s="60"/>
      <c r="R383" s="112"/>
      <c r="S383" s="112"/>
      <c r="T383" s="112"/>
      <c r="U383" s="112"/>
      <c r="V383" s="60"/>
      <c r="W383" s="60"/>
      <c r="X383" s="63"/>
      <c r="Y383" s="63"/>
      <c r="Z383" s="456"/>
    </row>
    <row r="384" spans="1:28" ht="30" customHeight="1">
      <c r="A384" s="70"/>
      <c r="B384" s="12" t="s">
        <v>11</v>
      </c>
      <c r="C384" s="12">
        <v>176</v>
      </c>
      <c r="D384" s="12" t="s">
        <v>16</v>
      </c>
      <c r="E384" s="12" t="s">
        <v>673</v>
      </c>
      <c r="F384" s="12" t="s">
        <v>29</v>
      </c>
      <c r="G384" s="7" t="e">
        <f>G94+#REF!+G378</f>
        <v>#REF!</v>
      </c>
      <c r="H384" s="7" t="e">
        <f>H94+#REF!+H378</f>
        <v>#REF!</v>
      </c>
      <c r="I384" s="7" t="e">
        <f>I94+#REF!+I378</f>
        <v>#REF!</v>
      </c>
      <c r="J384" s="7" t="e">
        <f>J94+#REF!+J378</f>
        <v>#REF!</v>
      </c>
      <c r="K384" s="7" t="e">
        <f>K94+#REF!+K378</f>
        <v>#REF!</v>
      </c>
      <c r="L384" s="91" t="e">
        <f>L94+#REF!+L378</f>
        <v>#REF!</v>
      </c>
      <c r="M384" s="91" t="e">
        <f>M94+#REF!+M378</f>
        <v>#REF!</v>
      </c>
      <c r="N384" s="91" t="e">
        <f>N94+#REF!+N378</f>
        <v>#REF!</v>
      </c>
      <c r="O384" s="91" t="e">
        <f>O94+#REF!+O378</f>
        <v>#REF!</v>
      </c>
      <c r="P384" s="91" t="e">
        <f>P94+#REF!+P378</f>
        <v>#REF!</v>
      </c>
      <c r="Q384" s="91">
        <f t="shared" ref="Q384:W384" si="86">Q94+Q311+Q312+Q378</f>
        <v>6837061.5307699991</v>
      </c>
      <c r="R384" s="91">
        <f t="shared" si="86"/>
        <v>861619.99300000002</v>
      </c>
      <c r="S384" s="91">
        <f t="shared" si="86"/>
        <v>1212202.5099999998</v>
      </c>
      <c r="T384" s="91">
        <f t="shared" si="86"/>
        <v>3047958.50177</v>
      </c>
      <c r="U384" s="91">
        <f t="shared" si="86"/>
        <v>1715280.5259999996</v>
      </c>
      <c r="V384" s="91">
        <f t="shared" si="86"/>
        <v>5832682.2999999998</v>
      </c>
      <c r="W384" s="91">
        <f t="shared" si="86"/>
        <v>6421817.7999999989</v>
      </c>
      <c r="X384" s="63"/>
      <c r="Y384" s="63"/>
      <c r="Z384" s="455"/>
      <c r="AA384" s="100"/>
      <c r="AB384" s="100">
        <f>W384-3000</f>
        <v>6418817.7999999989</v>
      </c>
    </row>
    <row r="385" spans="1:26" ht="34.5" customHeight="1">
      <c r="A385" s="66"/>
      <c r="B385" s="12" t="s">
        <v>476</v>
      </c>
      <c r="C385" s="12">
        <v>176</v>
      </c>
      <c r="D385" s="12" t="s">
        <v>16</v>
      </c>
      <c r="E385" s="12" t="s">
        <v>673</v>
      </c>
      <c r="F385" s="12" t="s">
        <v>29</v>
      </c>
      <c r="G385" s="7">
        <f>G95</f>
        <v>457365.1</v>
      </c>
      <c r="H385" s="7">
        <f>H95</f>
        <v>0</v>
      </c>
      <c r="I385" s="7" t="e">
        <f>I95</f>
        <v>#REF!</v>
      </c>
      <c r="J385" s="7" t="e">
        <f>J95</f>
        <v>#REF!</v>
      </c>
      <c r="K385" s="7">
        <f>K95</f>
        <v>0</v>
      </c>
      <c r="L385" s="91"/>
      <c r="M385" s="91"/>
      <c r="N385" s="91"/>
      <c r="O385" s="91"/>
      <c r="P385" s="91"/>
      <c r="Q385" s="114">
        <f t="shared" ref="Q385:W385" si="87">Q95+Q313</f>
        <v>716939.9</v>
      </c>
      <c r="R385" s="114">
        <f t="shared" si="87"/>
        <v>0</v>
      </c>
      <c r="S385" s="114">
        <f t="shared" si="87"/>
        <v>100000</v>
      </c>
      <c r="T385" s="114">
        <f t="shared" si="87"/>
        <v>291640</v>
      </c>
      <c r="U385" s="114">
        <f t="shared" si="87"/>
        <v>325299.90000000002</v>
      </c>
      <c r="V385" s="114">
        <f t="shared" si="87"/>
        <v>794910</v>
      </c>
      <c r="W385" s="114">
        <f t="shared" si="87"/>
        <v>0</v>
      </c>
      <c r="X385" s="63"/>
      <c r="Y385" s="63"/>
      <c r="Z385" s="456"/>
    </row>
    <row r="386" spans="1:26" ht="34.5" customHeight="1">
      <c r="A386" s="440"/>
      <c r="B386" s="12" t="s">
        <v>667</v>
      </c>
      <c r="C386" s="12">
        <v>176</v>
      </c>
      <c r="D386" s="12" t="s">
        <v>16</v>
      </c>
      <c r="E386" s="12" t="s">
        <v>616</v>
      </c>
      <c r="F386" s="12">
        <v>522</v>
      </c>
      <c r="G386" s="7"/>
      <c r="H386" s="7"/>
      <c r="I386" s="7"/>
      <c r="J386" s="7"/>
      <c r="K386" s="7"/>
      <c r="L386" s="91"/>
      <c r="M386" s="91"/>
      <c r="N386" s="91"/>
      <c r="O386" s="91"/>
      <c r="P386" s="91"/>
      <c r="Q386" s="114">
        <f t="shared" ref="Q386:W386" si="88">Q330+Q346</f>
        <v>92697.8</v>
      </c>
      <c r="R386" s="114">
        <f t="shared" si="88"/>
        <v>0</v>
      </c>
      <c r="S386" s="114">
        <f t="shared" si="88"/>
        <v>37970</v>
      </c>
      <c r="T386" s="114">
        <f t="shared" si="88"/>
        <v>54727.8</v>
      </c>
      <c r="U386" s="114">
        <f t="shared" si="88"/>
        <v>0</v>
      </c>
      <c r="V386" s="114">
        <f t="shared" si="88"/>
        <v>0</v>
      </c>
      <c r="W386" s="114">
        <f t="shared" si="88"/>
        <v>0</v>
      </c>
      <c r="X386" s="438"/>
      <c r="Y386" s="438"/>
      <c r="Z386" s="456"/>
    </row>
    <row r="387" spans="1:26" ht="42" customHeight="1">
      <c r="A387" s="67"/>
      <c r="B387" s="12" t="s">
        <v>12</v>
      </c>
      <c r="C387" s="12"/>
      <c r="D387" s="12"/>
      <c r="E387" s="12"/>
      <c r="F387" s="12"/>
      <c r="G387" s="7">
        <f t="shared" ref="G387:W387" si="89">G315</f>
        <v>338311.1</v>
      </c>
      <c r="H387" s="7">
        <f t="shared" si="89"/>
        <v>23511.642</v>
      </c>
      <c r="I387" s="7">
        <f t="shared" si="89"/>
        <v>50374.6</v>
      </c>
      <c r="J387" s="7">
        <f t="shared" si="89"/>
        <v>50374.6</v>
      </c>
      <c r="K387" s="7">
        <f t="shared" si="89"/>
        <v>214050.258</v>
      </c>
      <c r="L387" s="91" t="e">
        <f t="shared" si="89"/>
        <v>#REF!</v>
      </c>
      <c r="M387" s="91" t="e">
        <f t="shared" si="89"/>
        <v>#REF!</v>
      </c>
      <c r="N387" s="91" t="e">
        <f t="shared" si="89"/>
        <v>#REF!</v>
      </c>
      <c r="O387" s="91" t="e">
        <f t="shared" si="89"/>
        <v>#REF!</v>
      </c>
      <c r="P387" s="91" t="e">
        <f t="shared" si="89"/>
        <v>#REF!</v>
      </c>
      <c r="Q387" s="114">
        <v>148417.1</v>
      </c>
      <c r="R387" s="114">
        <f t="shared" si="89"/>
        <v>14343.615789473686</v>
      </c>
      <c r="S387" s="114">
        <v>21519.200000000001</v>
      </c>
      <c r="T387" s="114">
        <f t="shared" si="89"/>
        <v>64113.82588263158</v>
      </c>
      <c r="U387" s="114">
        <v>50271.1</v>
      </c>
      <c r="V387" s="91">
        <f t="shared" si="89"/>
        <v>104822.28947368421</v>
      </c>
      <c r="W387" s="91">
        <f t="shared" si="89"/>
        <v>85484.88947368419</v>
      </c>
      <c r="X387" s="63"/>
      <c r="Y387" s="63"/>
      <c r="Z387" s="456"/>
    </row>
    <row r="388" spans="1:26" ht="33" customHeight="1">
      <c r="A388" s="70"/>
      <c r="B388" s="12" t="s">
        <v>665</v>
      </c>
      <c r="C388" s="12"/>
      <c r="D388" s="12"/>
      <c r="E388" s="12"/>
      <c r="F388" s="12"/>
      <c r="G388" s="7">
        <v>0</v>
      </c>
      <c r="H388" s="7">
        <v>0</v>
      </c>
      <c r="I388" s="7">
        <v>0</v>
      </c>
      <c r="J388" s="7">
        <v>0</v>
      </c>
      <c r="K388" s="7">
        <v>0</v>
      </c>
      <c r="L388" s="79">
        <v>0</v>
      </c>
      <c r="M388" s="79"/>
      <c r="N388" s="79"/>
      <c r="O388" s="79"/>
      <c r="P388" s="79"/>
      <c r="Q388" s="122">
        <v>0</v>
      </c>
      <c r="R388" s="122"/>
      <c r="S388" s="122"/>
      <c r="T388" s="122"/>
      <c r="U388" s="122"/>
      <c r="V388" s="78"/>
      <c r="W388" s="78"/>
      <c r="X388" s="63"/>
      <c r="Y388" s="63"/>
      <c r="Z388" s="456"/>
    </row>
    <row r="389" spans="1:26" hidden="1">
      <c r="A389" s="22"/>
      <c r="B389" s="63"/>
      <c r="C389" s="63"/>
      <c r="D389" s="63"/>
      <c r="E389" s="63"/>
      <c r="F389" s="6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15"/>
      <c r="R389" s="115"/>
      <c r="S389" s="115"/>
      <c r="T389" s="115"/>
      <c r="U389" s="115"/>
      <c r="V389" s="31"/>
      <c r="W389" s="31"/>
      <c r="X389" s="63"/>
      <c r="Y389" s="63"/>
      <c r="Z389" s="456"/>
    </row>
    <row r="390" spans="1:26" ht="28.2" hidden="1" customHeight="1">
      <c r="A390" s="530" t="s">
        <v>82</v>
      </c>
      <c r="B390" s="530"/>
      <c r="C390" s="530"/>
      <c r="D390" s="530"/>
      <c r="E390" s="530"/>
      <c r="F390" s="530"/>
      <c r="G390" s="530"/>
      <c r="H390" s="530"/>
      <c r="I390" s="530"/>
      <c r="J390" s="530"/>
      <c r="K390" s="530"/>
      <c r="L390" s="530"/>
      <c r="M390" s="530"/>
      <c r="N390" s="530"/>
      <c r="O390" s="530"/>
      <c r="P390" s="530"/>
      <c r="Q390" s="530"/>
      <c r="R390" s="530"/>
      <c r="S390" s="530"/>
      <c r="T390" s="530"/>
      <c r="U390" s="530"/>
      <c r="V390" s="530"/>
      <c r="W390" s="530"/>
      <c r="X390" s="530"/>
      <c r="Y390" s="530"/>
      <c r="Z390" s="456"/>
    </row>
    <row r="391" spans="1:26" ht="75.599999999999994" hidden="1" customHeight="1">
      <c r="A391" s="51" t="s">
        <v>83</v>
      </c>
      <c r="B391" s="63"/>
      <c r="C391" s="63"/>
      <c r="D391" s="63"/>
      <c r="E391" s="63"/>
      <c r="F391" s="6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15"/>
      <c r="R391" s="115"/>
      <c r="S391" s="115"/>
      <c r="T391" s="115"/>
      <c r="U391" s="115"/>
      <c r="V391" s="31"/>
      <c r="W391" s="31"/>
      <c r="X391" s="63" t="s">
        <v>90</v>
      </c>
      <c r="Y391" s="63"/>
      <c r="Z391" s="456"/>
    </row>
    <row r="392" spans="1:26" ht="26.4" hidden="1" customHeight="1">
      <c r="A392" s="528" t="s">
        <v>84</v>
      </c>
      <c r="B392" s="63" t="s">
        <v>91</v>
      </c>
      <c r="C392" s="63"/>
      <c r="D392" s="63"/>
      <c r="E392" s="63"/>
      <c r="F392" s="6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15">
        <v>18</v>
      </c>
      <c r="R392" s="115"/>
      <c r="S392" s="115"/>
      <c r="T392" s="115"/>
      <c r="U392" s="115"/>
      <c r="V392" s="31"/>
      <c r="W392" s="31"/>
      <c r="X392" s="63"/>
      <c r="Y392" s="510" t="s">
        <v>85</v>
      </c>
      <c r="Z392" s="456"/>
    </row>
    <row r="393" spans="1:26" ht="26.4" hidden="1">
      <c r="A393" s="528"/>
      <c r="B393" s="63" t="s">
        <v>25</v>
      </c>
      <c r="C393" s="63"/>
      <c r="D393" s="63"/>
      <c r="E393" s="63"/>
      <c r="F393" s="6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15"/>
      <c r="R393" s="115"/>
      <c r="S393" s="115"/>
      <c r="T393" s="115"/>
      <c r="U393" s="115"/>
      <c r="V393" s="31"/>
      <c r="W393" s="31"/>
      <c r="X393" s="63"/>
      <c r="Y393" s="510"/>
      <c r="Z393" s="456"/>
    </row>
    <row r="394" spans="1:26" hidden="1">
      <c r="A394" s="528"/>
      <c r="B394" s="63" t="s">
        <v>26</v>
      </c>
      <c r="C394" s="63">
        <v>176</v>
      </c>
      <c r="D394" s="63" t="s">
        <v>16</v>
      </c>
      <c r="E394" s="63">
        <v>6100404</v>
      </c>
      <c r="F394" s="63">
        <v>414</v>
      </c>
      <c r="G394" s="2">
        <f>SUM(G396:G399)</f>
        <v>8282000</v>
      </c>
      <c r="H394" s="2"/>
      <c r="I394" s="2"/>
      <c r="J394" s="2"/>
      <c r="K394" s="2"/>
      <c r="L394" s="2">
        <f>SUM(L396:L399)</f>
        <v>8282000</v>
      </c>
      <c r="M394" s="2"/>
      <c r="N394" s="2"/>
      <c r="O394" s="2"/>
      <c r="P394" s="2"/>
      <c r="Q394" s="123">
        <f>SUM(Q396:Q399)</f>
        <v>8282000</v>
      </c>
      <c r="R394" s="123"/>
      <c r="S394" s="123"/>
      <c r="T394" s="123"/>
      <c r="U394" s="123"/>
      <c r="V394" s="2"/>
      <c r="W394" s="2"/>
      <c r="X394" s="63"/>
      <c r="Y394" s="510"/>
      <c r="Z394" s="456"/>
    </row>
    <row r="395" spans="1:26" hidden="1">
      <c r="A395" s="528"/>
      <c r="B395" s="63" t="s">
        <v>10</v>
      </c>
      <c r="C395" s="63"/>
      <c r="D395" s="63"/>
      <c r="E395" s="63"/>
      <c r="F395" s="63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15"/>
      <c r="R395" s="115"/>
      <c r="S395" s="115"/>
      <c r="T395" s="115"/>
      <c r="U395" s="115"/>
      <c r="V395" s="31"/>
      <c r="W395" s="31"/>
      <c r="X395" s="63"/>
      <c r="Y395" s="510"/>
      <c r="Z395" s="456"/>
    </row>
    <row r="396" spans="1:26" hidden="1">
      <c r="A396" s="528"/>
      <c r="B396" s="63" t="s">
        <v>11</v>
      </c>
      <c r="C396" s="63">
        <v>176</v>
      </c>
      <c r="D396" s="63" t="s">
        <v>16</v>
      </c>
      <c r="E396" s="63">
        <v>6100404</v>
      </c>
      <c r="F396" s="63">
        <v>414</v>
      </c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15"/>
      <c r="R396" s="115"/>
      <c r="S396" s="115"/>
      <c r="T396" s="115"/>
      <c r="U396" s="115"/>
      <c r="V396" s="31"/>
      <c r="W396" s="31"/>
      <c r="X396" s="63"/>
      <c r="Y396" s="510"/>
      <c r="Z396" s="456"/>
    </row>
    <row r="397" spans="1:26" hidden="1">
      <c r="A397" s="528"/>
      <c r="B397" s="63" t="s">
        <v>35</v>
      </c>
      <c r="C397" s="63"/>
      <c r="D397" s="63"/>
      <c r="E397" s="63"/>
      <c r="F397" s="63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15"/>
      <c r="R397" s="115"/>
      <c r="S397" s="115"/>
      <c r="T397" s="115"/>
      <c r="U397" s="115"/>
      <c r="V397" s="31"/>
      <c r="W397" s="31"/>
      <c r="X397" s="63"/>
      <c r="Y397" s="510"/>
      <c r="Z397" s="456"/>
    </row>
    <row r="398" spans="1:26" hidden="1">
      <c r="A398" s="528"/>
      <c r="B398" s="63" t="s">
        <v>92</v>
      </c>
      <c r="C398" s="63"/>
      <c r="D398" s="63"/>
      <c r="E398" s="63"/>
      <c r="F398" s="63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15"/>
      <c r="R398" s="115"/>
      <c r="S398" s="115"/>
      <c r="T398" s="115"/>
      <c r="U398" s="115"/>
      <c r="V398" s="31"/>
      <c r="W398" s="31"/>
      <c r="X398" s="63"/>
      <c r="Y398" s="510"/>
      <c r="Z398" s="456"/>
    </row>
    <row r="399" spans="1:26" ht="26.4" hidden="1">
      <c r="A399" s="528"/>
      <c r="B399" s="63" t="s">
        <v>81</v>
      </c>
      <c r="C399" s="63"/>
      <c r="D399" s="63"/>
      <c r="E399" s="63"/>
      <c r="F399" s="63"/>
      <c r="G399" s="2">
        <v>8282000</v>
      </c>
      <c r="H399" s="2"/>
      <c r="I399" s="2"/>
      <c r="J399" s="2"/>
      <c r="K399" s="2"/>
      <c r="L399" s="2">
        <v>8282000</v>
      </c>
      <c r="M399" s="2"/>
      <c r="N399" s="2"/>
      <c r="O399" s="2"/>
      <c r="P399" s="2"/>
      <c r="Q399" s="123">
        <v>8282000</v>
      </c>
      <c r="R399" s="123"/>
      <c r="S399" s="123"/>
      <c r="T399" s="123"/>
      <c r="U399" s="123"/>
      <c r="V399" s="2"/>
      <c r="W399" s="2"/>
      <c r="X399" s="63"/>
      <c r="Y399" s="510"/>
      <c r="Z399" s="456"/>
    </row>
    <row r="400" spans="1:26" ht="8.4" hidden="1" customHeight="1">
      <c r="A400" s="22"/>
      <c r="B400" s="63"/>
      <c r="C400" s="63"/>
      <c r="D400" s="63"/>
      <c r="E400" s="63"/>
      <c r="F400" s="6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115"/>
      <c r="R400" s="115"/>
      <c r="S400" s="115"/>
      <c r="T400" s="115"/>
      <c r="U400" s="115"/>
      <c r="V400" s="31"/>
      <c r="W400" s="31"/>
      <c r="X400" s="63"/>
      <c r="Y400" s="63"/>
      <c r="Z400" s="456"/>
    </row>
    <row r="401" spans="1:26" ht="30" hidden="1" customHeight="1">
      <c r="A401" s="528" t="s">
        <v>86</v>
      </c>
      <c r="B401" s="63" t="s">
        <v>91</v>
      </c>
      <c r="C401" s="63"/>
      <c r="D401" s="63"/>
      <c r="E401" s="63"/>
      <c r="F401" s="6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115"/>
      <c r="R401" s="115"/>
      <c r="S401" s="115"/>
      <c r="T401" s="115"/>
      <c r="U401" s="115"/>
      <c r="V401" s="31"/>
      <c r="W401" s="31"/>
      <c r="X401" s="63" t="s">
        <v>27</v>
      </c>
      <c r="Y401" s="510" t="s">
        <v>88</v>
      </c>
      <c r="Z401" s="456"/>
    </row>
    <row r="402" spans="1:26" ht="26.4" hidden="1">
      <c r="A402" s="528"/>
      <c r="B402" s="63" t="s">
        <v>25</v>
      </c>
      <c r="C402" s="63"/>
      <c r="D402" s="63"/>
      <c r="E402" s="63"/>
      <c r="F402" s="6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115"/>
      <c r="R402" s="115"/>
      <c r="S402" s="115"/>
      <c r="T402" s="115"/>
      <c r="U402" s="115"/>
      <c r="V402" s="31"/>
      <c r="W402" s="31"/>
      <c r="X402" s="63"/>
      <c r="Y402" s="510"/>
      <c r="Z402" s="456"/>
    </row>
    <row r="403" spans="1:26" hidden="1">
      <c r="A403" s="528"/>
      <c r="B403" s="63" t="s">
        <v>26</v>
      </c>
      <c r="C403" s="63">
        <v>176</v>
      </c>
      <c r="D403" s="63" t="s">
        <v>16</v>
      </c>
      <c r="E403" s="63">
        <v>6100404</v>
      </c>
      <c r="F403" s="63">
        <v>414</v>
      </c>
      <c r="G403" s="4">
        <f>SUM(G405:G408)</f>
        <v>0</v>
      </c>
      <c r="H403" s="4"/>
      <c r="I403" s="4"/>
      <c r="J403" s="4"/>
      <c r="K403" s="4"/>
      <c r="L403" s="4">
        <f>SUM(L405:L408)</f>
        <v>0</v>
      </c>
      <c r="M403" s="4"/>
      <c r="N403" s="4"/>
      <c r="O403" s="4"/>
      <c r="P403" s="4"/>
      <c r="Q403" s="123">
        <f>SUM(Q405:Q408)</f>
        <v>41000</v>
      </c>
      <c r="R403" s="123"/>
      <c r="S403" s="123"/>
      <c r="T403" s="123"/>
      <c r="U403" s="123"/>
      <c r="V403" s="2"/>
      <c r="W403" s="2"/>
      <c r="X403" s="63"/>
      <c r="Y403" s="510"/>
      <c r="Z403" s="456"/>
    </row>
    <row r="404" spans="1:26" hidden="1">
      <c r="A404" s="528"/>
      <c r="B404" s="63" t="s">
        <v>10</v>
      </c>
      <c r="C404" s="63"/>
      <c r="D404" s="63"/>
      <c r="E404" s="63"/>
      <c r="F404" s="6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115"/>
      <c r="R404" s="115"/>
      <c r="S404" s="115"/>
      <c r="T404" s="115"/>
      <c r="U404" s="115"/>
      <c r="V404" s="31"/>
      <c r="W404" s="31"/>
      <c r="X404" s="63"/>
      <c r="Y404" s="510"/>
      <c r="Z404" s="456"/>
    </row>
    <row r="405" spans="1:26" hidden="1">
      <c r="A405" s="528"/>
      <c r="B405" s="63" t="s">
        <v>11</v>
      </c>
      <c r="C405" s="63">
        <v>176</v>
      </c>
      <c r="D405" s="63" t="s">
        <v>16</v>
      </c>
      <c r="E405" s="63">
        <v>6100404</v>
      </c>
      <c r="F405" s="63">
        <v>414</v>
      </c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115">
        <v>41000</v>
      </c>
      <c r="R405" s="115"/>
      <c r="S405" s="115"/>
      <c r="T405" s="115"/>
      <c r="U405" s="115"/>
      <c r="V405" s="31"/>
      <c r="W405" s="31"/>
      <c r="X405" s="63"/>
      <c r="Y405" s="510"/>
      <c r="Z405" s="456"/>
    </row>
    <row r="406" spans="1:26" hidden="1">
      <c r="A406" s="528"/>
      <c r="B406" s="63" t="s">
        <v>35</v>
      </c>
      <c r="C406" s="63"/>
      <c r="D406" s="63"/>
      <c r="E406" s="63"/>
      <c r="F406" s="6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115"/>
      <c r="R406" s="115"/>
      <c r="S406" s="115"/>
      <c r="T406" s="115"/>
      <c r="U406" s="115"/>
      <c r="V406" s="31"/>
      <c r="W406" s="31"/>
      <c r="X406" s="63"/>
      <c r="Y406" s="510"/>
      <c r="Z406" s="456"/>
    </row>
    <row r="407" spans="1:26" hidden="1">
      <c r="A407" s="528"/>
      <c r="B407" s="63" t="s">
        <v>12</v>
      </c>
      <c r="C407" s="63"/>
      <c r="D407" s="63"/>
      <c r="E407" s="63"/>
      <c r="F407" s="6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115"/>
      <c r="R407" s="115"/>
      <c r="S407" s="115"/>
      <c r="T407" s="115"/>
      <c r="U407" s="115"/>
      <c r="V407" s="31"/>
      <c r="W407" s="31"/>
      <c r="X407" s="63"/>
      <c r="Y407" s="510"/>
      <c r="Z407" s="456"/>
    </row>
    <row r="408" spans="1:26" ht="26.4" hidden="1">
      <c r="A408" s="528"/>
      <c r="B408" s="63" t="s">
        <v>81</v>
      </c>
      <c r="C408" s="63"/>
      <c r="D408" s="63"/>
      <c r="E408" s="63"/>
      <c r="F408" s="6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115"/>
      <c r="R408" s="115"/>
      <c r="S408" s="115"/>
      <c r="T408" s="115"/>
      <c r="U408" s="115"/>
      <c r="V408" s="31"/>
      <c r="W408" s="31"/>
      <c r="X408" s="63"/>
      <c r="Y408" s="510"/>
      <c r="Z408" s="456"/>
    </row>
    <row r="409" spans="1:26" ht="10.199999999999999" hidden="1" customHeight="1">
      <c r="A409" s="22"/>
      <c r="B409" s="63"/>
      <c r="C409" s="63"/>
      <c r="D409" s="63"/>
      <c r="E409" s="63"/>
      <c r="F409" s="6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15"/>
      <c r="R409" s="115"/>
      <c r="S409" s="115"/>
      <c r="T409" s="115"/>
      <c r="U409" s="115"/>
      <c r="V409" s="31"/>
      <c r="W409" s="31"/>
      <c r="X409" s="63"/>
      <c r="Y409" s="63"/>
      <c r="Z409" s="456"/>
    </row>
    <row r="410" spans="1:26" hidden="1">
      <c r="A410" s="529" t="s">
        <v>87</v>
      </c>
      <c r="B410" s="63" t="s">
        <v>26</v>
      </c>
      <c r="C410" s="63">
        <v>176</v>
      </c>
      <c r="D410" s="63" t="s">
        <v>16</v>
      </c>
      <c r="E410" s="63" t="s">
        <v>17</v>
      </c>
      <c r="F410" s="63" t="s">
        <v>29</v>
      </c>
      <c r="G410" s="5">
        <f>G394+G403</f>
        <v>8282000</v>
      </c>
      <c r="H410" s="5"/>
      <c r="I410" s="5"/>
      <c r="J410" s="5"/>
      <c r="K410" s="5"/>
      <c r="L410" s="5">
        <f>L394+L403</f>
        <v>8282000</v>
      </c>
      <c r="M410" s="5"/>
      <c r="N410" s="5"/>
      <c r="O410" s="5"/>
      <c r="P410" s="5"/>
      <c r="Q410" s="124">
        <f>Q394+Q403</f>
        <v>8323000</v>
      </c>
      <c r="R410" s="124"/>
      <c r="S410" s="124"/>
      <c r="T410" s="124"/>
      <c r="U410" s="124"/>
      <c r="V410" s="5"/>
      <c r="W410" s="5"/>
      <c r="X410" s="63"/>
      <c r="Y410" s="63"/>
      <c r="Z410" s="456"/>
    </row>
    <row r="411" spans="1:26" hidden="1">
      <c r="A411" s="529"/>
      <c r="B411" s="63" t="s">
        <v>10</v>
      </c>
      <c r="C411" s="63"/>
      <c r="D411" s="63"/>
      <c r="E411" s="63"/>
      <c r="F411" s="6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15"/>
      <c r="R411" s="115"/>
      <c r="S411" s="115"/>
      <c r="T411" s="115"/>
      <c r="U411" s="115"/>
      <c r="V411" s="31"/>
      <c r="W411" s="31"/>
      <c r="X411" s="63"/>
      <c r="Y411" s="63"/>
      <c r="Z411" s="456"/>
    </row>
    <row r="412" spans="1:26" hidden="1">
      <c r="A412" s="529"/>
      <c r="B412" s="63" t="s">
        <v>11</v>
      </c>
      <c r="C412" s="63">
        <v>176</v>
      </c>
      <c r="D412" s="63" t="s">
        <v>16</v>
      </c>
      <c r="E412" s="63" t="s">
        <v>17</v>
      </c>
      <c r="F412" s="63" t="s">
        <v>29</v>
      </c>
      <c r="G412" s="1">
        <f>G405</f>
        <v>0</v>
      </c>
      <c r="H412" s="1"/>
      <c r="I412" s="1"/>
      <c r="J412" s="1"/>
      <c r="K412" s="1"/>
      <c r="L412" s="1">
        <f>L405</f>
        <v>0</v>
      </c>
      <c r="M412" s="1"/>
      <c r="N412" s="1"/>
      <c r="O412" s="1"/>
      <c r="P412" s="1"/>
      <c r="Q412" s="125">
        <f>Q405</f>
        <v>41000</v>
      </c>
      <c r="R412" s="125"/>
      <c r="S412" s="125"/>
      <c r="T412" s="125"/>
      <c r="U412" s="125"/>
      <c r="V412" s="1"/>
      <c r="W412" s="1"/>
      <c r="X412" s="63"/>
      <c r="Y412" s="63"/>
      <c r="Z412" s="456"/>
    </row>
    <row r="413" spans="1:26" hidden="1">
      <c r="A413" s="529"/>
      <c r="B413" s="63" t="s">
        <v>35</v>
      </c>
      <c r="C413" s="63">
        <v>176</v>
      </c>
      <c r="D413" s="63" t="s">
        <v>16</v>
      </c>
      <c r="E413" s="63" t="s">
        <v>28</v>
      </c>
      <c r="F413" s="63" t="s">
        <v>29</v>
      </c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115"/>
      <c r="R413" s="115"/>
      <c r="S413" s="115"/>
      <c r="T413" s="115"/>
      <c r="U413" s="115"/>
      <c r="V413" s="31"/>
      <c r="W413" s="31"/>
      <c r="X413" s="63"/>
      <c r="Y413" s="63"/>
      <c r="Z413" s="456"/>
    </row>
    <row r="414" spans="1:26" hidden="1">
      <c r="A414" s="529"/>
      <c r="B414" s="63" t="s">
        <v>92</v>
      </c>
      <c r="C414" s="63"/>
      <c r="D414" s="63"/>
      <c r="E414" s="63"/>
      <c r="F414" s="63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115"/>
      <c r="R414" s="115"/>
      <c r="S414" s="115"/>
      <c r="T414" s="115"/>
      <c r="U414" s="115"/>
      <c r="V414" s="31"/>
      <c r="W414" s="31"/>
      <c r="X414" s="63"/>
      <c r="Y414" s="63"/>
      <c r="Z414" s="456"/>
    </row>
    <row r="415" spans="1:26" ht="26.4" hidden="1">
      <c r="A415" s="529"/>
      <c r="B415" s="63" t="s">
        <v>81</v>
      </c>
      <c r="C415" s="63"/>
      <c r="D415" s="63"/>
      <c r="E415" s="63"/>
      <c r="F415" s="63"/>
      <c r="G415" s="5">
        <f>G399</f>
        <v>8282000</v>
      </c>
      <c r="H415" s="5"/>
      <c r="I415" s="5"/>
      <c r="J415" s="5"/>
      <c r="K415" s="5"/>
      <c r="L415" s="5">
        <f>L399</f>
        <v>8282000</v>
      </c>
      <c r="M415" s="5"/>
      <c r="N415" s="5"/>
      <c r="O415" s="5"/>
      <c r="P415" s="5"/>
      <c r="Q415" s="124">
        <f>Q399</f>
        <v>8282000</v>
      </c>
      <c r="R415" s="124"/>
      <c r="S415" s="124"/>
      <c r="T415" s="124"/>
      <c r="U415" s="124"/>
      <c r="V415" s="5"/>
      <c r="W415" s="5"/>
      <c r="X415" s="63"/>
      <c r="Y415" s="63"/>
      <c r="Z415" s="456"/>
    </row>
    <row r="416" spans="1:26" ht="38.25" customHeight="1">
      <c r="A416" s="498" t="s">
        <v>89</v>
      </c>
      <c r="B416" s="12" t="s">
        <v>26</v>
      </c>
      <c r="C416" s="12">
        <v>176</v>
      </c>
      <c r="D416" s="12" t="s">
        <v>16</v>
      </c>
      <c r="E416" s="12" t="s">
        <v>673</v>
      </c>
      <c r="F416" s="12" t="s">
        <v>29</v>
      </c>
      <c r="G416" s="7" t="e">
        <f>SUM(G417:G422)</f>
        <v>#REF!</v>
      </c>
      <c r="H416" s="7" t="e">
        <f>SUM(H417:H422)</f>
        <v>#REF!</v>
      </c>
      <c r="I416" s="7" t="e">
        <f>SUM(I417:I422)</f>
        <v>#REF!</v>
      </c>
      <c r="J416" s="7" t="e">
        <f>SUM(J417:J422)</f>
        <v>#REF!</v>
      </c>
      <c r="K416" s="7" t="e">
        <f>SUM(K417:K422)</f>
        <v>#REF!</v>
      </c>
      <c r="L416" s="91" t="e">
        <f>L417+L419+L421+L422</f>
        <v>#REF!</v>
      </c>
      <c r="M416" s="91" t="e">
        <f>M417+M419+M421+M422</f>
        <v>#REF!</v>
      </c>
      <c r="N416" s="91" t="e">
        <f>N417+N419+N421+N422</f>
        <v>#REF!</v>
      </c>
      <c r="O416" s="91" t="e">
        <f>O417+O419+O421+O422</f>
        <v>#REF!</v>
      </c>
      <c r="P416" s="91" t="e">
        <f>P417+P419+P421+P422</f>
        <v>#REF!</v>
      </c>
      <c r="Q416" s="91">
        <f>Q417+Q419+Q421+Q422+Q418+Q420</f>
        <v>9673331.9907699991</v>
      </c>
      <c r="R416" s="91">
        <f t="shared" ref="R416:U416" si="90">R417+R419+R421+R422+R418+R420</f>
        <v>899731.66178947361</v>
      </c>
      <c r="S416" s="91">
        <f t="shared" si="90"/>
        <v>1543747.2699999998</v>
      </c>
      <c r="T416" s="91">
        <f t="shared" si="90"/>
        <v>4433921.3586526308</v>
      </c>
      <c r="U416" s="91">
        <f t="shared" si="90"/>
        <v>2797762.3419999997</v>
      </c>
      <c r="V416" s="114">
        <f t="shared" ref="V416:W416" si="91">V417+V419+V421+V422+V418</f>
        <v>7922630.9894736847</v>
      </c>
      <c r="W416" s="114">
        <f t="shared" si="91"/>
        <v>7599923.189473683</v>
      </c>
      <c r="X416" s="63"/>
      <c r="Y416" s="453">
        <f>Q418+Q419+Q420</f>
        <v>1254745.3999999999</v>
      </c>
      <c r="Z416" s="456"/>
    </row>
    <row r="417" spans="1:26" ht="36.75" customHeight="1">
      <c r="A417" s="499"/>
      <c r="B417" s="12" t="s">
        <v>11</v>
      </c>
      <c r="C417" s="12">
        <v>176</v>
      </c>
      <c r="D417" s="12" t="s">
        <v>16</v>
      </c>
      <c r="E417" s="12" t="s">
        <v>673</v>
      </c>
      <c r="F417" s="12" t="s">
        <v>29</v>
      </c>
      <c r="G417" s="7" t="e">
        <f t="shared" ref="G417:P417" si="92">G82+G384</f>
        <v>#REF!</v>
      </c>
      <c r="H417" s="7" t="e">
        <f t="shared" si="92"/>
        <v>#REF!</v>
      </c>
      <c r="I417" s="7" t="e">
        <f t="shared" si="92"/>
        <v>#REF!</v>
      </c>
      <c r="J417" s="7" t="e">
        <f t="shared" si="92"/>
        <v>#REF!</v>
      </c>
      <c r="K417" s="7" t="e">
        <f t="shared" si="92"/>
        <v>#REF!</v>
      </c>
      <c r="L417" s="91" t="e">
        <f t="shared" si="92"/>
        <v>#REF!</v>
      </c>
      <c r="M417" s="91" t="e">
        <f t="shared" si="92"/>
        <v>#REF!</v>
      </c>
      <c r="N417" s="91" t="e">
        <f t="shared" si="92"/>
        <v>#REF!</v>
      </c>
      <c r="O417" s="91" t="e">
        <f t="shared" si="92"/>
        <v>#REF!</v>
      </c>
      <c r="P417" s="91" t="e">
        <f t="shared" si="92"/>
        <v>#REF!</v>
      </c>
      <c r="Q417" s="91">
        <f>Q81+Q82+Q384</f>
        <v>8270169.4907699991</v>
      </c>
      <c r="R417" s="91">
        <f t="shared" ref="R417:U417" si="93">R81+R82+R384</f>
        <v>885388.04599999997</v>
      </c>
      <c r="S417" s="91">
        <f t="shared" si="93"/>
        <v>1384258.0699999998</v>
      </c>
      <c r="T417" s="91">
        <f t="shared" si="93"/>
        <v>3821664.7527700001</v>
      </c>
      <c r="U417" s="91">
        <f t="shared" si="93"/>
        <v>2178858.6219999995</v>
      </c>
      <c r="V417" s="91">
        <f>V20+V21+V384</f>
        <v>6842808.7000000002</v>
      </c>
      <c r="W417" s="91">
        <f>W20+W21+W384</f>
        <v>7514438.2999999989</v>
      </c>
      <c r="X417" s="63"/>
      <c r="Y417" s="458"/>
      <c r="Z417" s="456"/>
    </row>
    <row r="418" spans="1:26" ht="36.75" customHeight="1">
      <c r="A418" s="499"/>
      <c r="B418" s="12" t="s">
        <v>476</v>
      </c>
      <c r="C418" s="12">
        <v>176</v>
      </c>
      <c r="D418" s="12" t="s">
        <v>16</v>
      </c>
      <c r="E418" s="12" t="s">
        <v>673</v>
      </c>
      <c r="F418" s="12" t="s">
        <v>29</v>
      </c>
      <c r="G418" s="7"/>
      <c r="H418" s="7"/>
      <c r="I418" s="7"/>
      <c r="J418" s="7"/>
      <c r="K418" s="7"/>
      <c r="L418" s="91"/>
      <c r="M418" s="91"/>
      <c r="N418" s="91"/>
      <c r="O418" s="91"/>
      <c r="P418" s="91"/>
      <c r="Q418" s="114">
        <f t="shared" ref="Q418:W418" si="94">Q24+Q385</f>
        <v>952470</v>
      </c>
      <c r="R418" s="114">
        <f t="shared" si="94"/>
        <v>0</v>
      </c>
      <c r="S418" s="114">
        <f t="shared" si="94"/>
        <v>100000</v>
      </c>
      <c r="T418" s="114">
        <f t="shared" si="94"/>
        <v>364240</v>
      </c>
      <c r="U418" s="114">
        <f t="shared" si="94"/>
        <v>488230</v>
      </c>
      <c r="V418" s="114">
        <f t="shared" si="94"/>
        <v>975000</v>
      </c>
      <c r="W418" s="114">
        <f t="shared" si="94"/>
        <v>0</v>
      </c>
      <c r="X418" s="202"/>
      <c r="Y418" s="453">
        <f>SUM(Q417:Q420)</f>
        <v>9524914.8907699995</v>
      </c>
      <c r="Z418" s="456"/>
    </row>
    <row r="419" spans="1:26" ht="33.75" customHeight="1">
      <c r="A419" s="499"/>
      <c r="B419" s="12" t="s">
        <v>667</v>
      </c>
      <c r="C419" s="12">
        <v>176</v>
      </c>
      <c r="D419" s="12" t="s">
        <v>16</v>
      </c>
      <c r="E419" s="12" t="s">
        <v>673</v>
      </c>
      <c r="F419" s="12" t="s">
        <v>29</v>
      </c>
      <c r="G419" s="7" t="e">
        <f>G22+G104+G196</f>
        <v>#REF!</v>
      </c>
      <c r="H419" s="7" t="e">
        <f>H22+H104+H196</f>
        <v>#REF!</v>
      </c>
      <c r="I419" s="7" t="e">
        <f>I22+I104+I196</f>
        <v>#REF!</v>
      </c>
      <c r="J419" s="7" t="e">
        <f>J22+J104+J196</f>
        <v>#REF!</v>
      </c>
      <c r="K419" s="7" t="e">
        <f>K22+K104+K196</f>
        <v>#REF!</v>
      </c>
      <c r="L419" s="91">
        <f>L84</f>
        <v>625434.80000000005</v>
      </c>
      <c r="M419" s="91"/>
      <c r="N419" s="91"/>
      <c r="O419" s="91">
        <f>O84</f>
        <v>129348.5</v>
      </c>
      <c r="P419" s="91">
        <f>P84</f>
        <v>496086.29999999993</v>
      </c>
      <c r="Q419" s="114">
        <f>Q84+Q314</f>
        <v>296482.89999999997</v>
      </c>
      <c r="R419" s="114">
        <f>R84+R314</f>
        <v>0</v>
      </c>
      <c r="S419" s="114">
        <f>S84+S314</f>
        <v>37970</v>
      </c>
      <c r="T419" s="114">
        <f>T84+T314</f>
        <v>178110.28</v>
      </c>
      <c r="U419" s="114">
        <f>U84+U314</f>
        <v>80402.62</v>
      </c>
      <c r="V419" s="114">
        <f>V84</f>
        <v>0</v>
      </c>
      <c r="W419" s="114">
        <f>W84</f>
        <v>0</v>
      </c>
      <c r="X419" s="63"/>
      <c r="Y419" s="63"/>
      <c r="Z419" s="455"/>
    </row>
    <row r="420" spans="1:26" ht="33.75" customHeight="1">
      <c r="A420" s="499"/>
      <c r="B420" s="12" t="s">
        <v>680</v>
      </c>
      <c r="C420" s="12">
        <v>176</v>
      </c>
      <c r="D420" s="12" t="s">
        <v>16</v>
      </c>
      <c r="E420" s="12" t="s">
        <v>673</v>
      </c>
      <c r="F420" s="12" t="s">
        <v>29</v>
      </c>
      <c r="G420" s="7"/>
      <c r="H420" s="7"/>
      <c r="I420" s="7"/>
      <c r="J420" s="7"/>
      <c r="K420" s="7"/>
      <c r="L420" s="91"/>
      <c r="M420" s="91"/>
      <c r="N420" s="91"/>
      <c r="O420" s="91"/>
      <c r="P420" s="91"/>
      <c r="Q420" s="114">
        <f>Q85</f>
        <v>5792.5</v>
      </c>
      <c r="R420" s="114">
        <f>R85</f>
        <v>0</v>
      </c>
      <c r="S420" s="114">
        <f>S85</f>
        <v>0</v>
      </c>
      <c r="T420" s="114">
        <f>T85</f>
        <v>5792.5</v>
      </c>
      <c r="U420" s="114">
        <f>U85</f>
        <v>0</v>
      </c>
      <c r="V420" s="114">
        <f>V85</f>
        <v>0</v>
      </c>
      <c r="W420" s="114">
        <f>W85</f>
        <v>0</v>
      </c>
      <c r="X420" s="446"/>
      <c r="Y420" s="446"/>
      <c r="Z420" s="455"/>
    </row>
    <row r="421" spans="1:26" ht="34.5" customHeight="1">
      <c r="A421" s="499"/>
      <c r="B421" s="12" t="s">
        <v>12</v>
      </c>
      <c r="C421" s="12"/>
      <c r="D421" s="12"/>
      <c r="E421" s="12"/>
      <c r="F421" s="12"/>
      <c r="G421" s="7">
        <f t="shared" ref="G421:U421" si="95">G387</f>
        <v>338311.1</v>
      </c>
      <c r="H421" s="7">
        <f t="shared" si="95"/>
        <v>23511.642</v>
      </c>
      <c r="I421" s="7">
        <f t="shared" si="95"/>
        <v>50374.6</v>
      </c>
      <c r="J421" s="7">
        <f t="shared" si="95"/>
        <v>50374.6</v>
      </c>
      <c r="K421" s="7">
        <f t="shared" si="95"/>
        <v>214050.258</v>
      </c>
      <c r="L421" s="91" t="e">
        <f t="shared" si="95"/>
        <v>#REF!</v>
      </c>
      <c r="M421" s="91" t="e">
        <f t="shared" si="95"/>
        <v>#REF!</v>
      </c>
      <c r="N421" s="91" t="e">
        <f t="shared" si="95"/>
        <v>#REF!</v>
      </c>
      <c r="O421" s="91" t="e">
        <f t="shared" si="95"/>
        <v>#REF!</v>
      </c>
      <c r="P421" s="91" t="e">
        <f t="shared" si="95"/>
        <v>#REF!</v>
      </c>
      <c r="Q421" s="114">
        <f t="shared" si="95"/>
        <v>148417.1</v>
      </c>
      <c r="R421" s="114">
        <f t="shared" si="95"/>
        <v>14343.615789473686</v>
      </c>
      <c r="S421" s="114">
        <f t="shared" si="95"/>
        <v>21519.200000000001</v>
      </c>
      <c r="T421" s="114">
        <f t="shared" si="95"/>
        <v>64113.82588263158</v>
      </c>
      <c r="U421" s="114">
        <f t="shared" si="95"/>
        <v>50271.1</v>
      </c>
      <c r="V421" s="91">
        <f>V387</f>
        <v>104822.28947368421</v>
      </c>
      <c r="W421" s="91">
        <f>W387</f>
        <v>85484.88947368419</v>
      </c>
      <c r="X421" s="63"/>
      <c r="Y421" s="63"/>
      <c r="Z421" s="456"/>
    </row>
    <row r="422" spans="1:26" ht="39" customHeight="1">
      <c r="A422" s="500"/>
      <c r="B422" s="12" t="s">
        <v>665</v>
      </c>
      <c r="C422" s="12"/>
      <c r="D422" s="12"/>
      <c r="E422" s="12"/>
      <c r="F422" s="12"/>
      <c r="G422" s="7">
        <f>G26+G87</f>
        <v>0</v>
      </c>
      <c r="H422" s="7">
        <f>H26+H87</f>
        <v>0</v>
      </c>
      <c r="I422" s="7">
        <f>I26+I87</f>
        <v>0</v>
      </c>
      <c r="J422" s="7">
        <f>J26+J87</f>
        <v>0</v>
      </c>
      <c r="K422" s="7">
        <f>K26+K87</f>
        <v>0</v>
      </c>
      <c r="L422" s="91"/>
      <c r="M422" s="91"/>
      <c r="N422" s="91"/>
      <c r="O422" s="91"/>
      <c r="P422" s="91"/>
      <c r="Q422" s="114">
        <f>Q26+Q87+Q388</f>
        <v>0</v>
      </c>
      <c r="R422" s="114"/>
      <c r="S422" s="114"/>
      <c r="T422" s="114"/>
      <c r="U422" s="114"/>
      <c r="V422" s="91">
        <f>V26+V87+V388</f>
        <v>0</v>
      </c>
      <c r="W422" s="91">
        <f>W26+W87+W388</f>
        <v>0</v>
      </c>
      <c r="X422" s="63"/>
      <c r="Y422" s="63"/>
      <c r="Z422" s="456"/>
    </row>
    <row r="423" spans="1:26">
      <c r="G423" s="48"/>
      <c r="H423" s="46"/>
      <c r="I423" s="46"/>
      <c r="J423" s="46"/>
      <c r="K423" s="46"/>
      <c r="L423" s="48"/>
      <c r="M423" s="48"/>
      <c r="N423" s="48"/>
      <c r="O423" s="48"/>
      <c r="P423" s="48"/>
      <c r="Q423" s="126"/>
      <c r="R423" s="126"/>
      <c r="S423" s="126"/>
      <c r="T423" s="126"/>
      <c r="U423" s="126"/>
      <c r="V423" s="46"/>
      <c r="W423" s="46"/>
    </row>
    <row r="424" spans="1:26" ht="21.6" customHeight="1">
      <c r="A424" s="505" t="s">
        <v>659</v>
      </c>
      <c r="B424" s="505"/>
      <c r="C424" s="505"/>
      <c r="D424" s="505"/>
      <c r="E424" s="505"/>
      <c r="F424" s="505"/>
      <c r="G424" s="505"/>
      <c r="H424" s="505"/>
      <c r="I424" s="505"/>
      <c r="J424" s="505"/>
      <c r="K424" s="505"/>
      <c r="L424" s="505"/>
      <c r="M424" s="505"/>
      <c r="N424" s="505"/>
      <c r="O424" s="505"/>
      <c r="P424" s="505"/>
      <c r="Q424" s="505"/>
      <c r="R424" s="505"/>
      <c r="S424" s="505"/>
      <c r="T424" s="505"/>
      <c r="U424" s="505"/>
      <c r="V424" s="505"/>
      <c r="W424" s="505"/>
      <c r="X424" s="505"/>
      <c r="Y424" s="505"/>
    </row>
    <row r="425" spans="1:26" ht="75.599999999999994" customHeight="1">
      <c r="A425" s="527" t="s">
        <v>475</v>
      </c>
      <c r="B425" s="527"/>
      <c r="C425" s="527"/>
      <c r="D425" s="527"/>
      <c r="E425" s="527"/>
      <c r="F425" s="527"/>
      <c r="G425" s="527"/>
      <c r="H425" s="527"/>
      <c r="I425" s="527"/>
      <c r="J425" s="527"/>
      <c r="K425" s="527"/>
      <c r="L425" s="527"/>
      <c r="M425" s="527"/>
      <c r="N425" s="527"/>
      <c r="O425" s="527"/>
      <c r="P425" s="527"/>
      <c r="Q425" s="527"/>
      <c r="R425" s="527"/>
      <c r="S425" s="527"/>
      <c r="T425" s="527"/>
      <c r="U425" s="527"/>
      <c r="V425" s="527"/>
      <c r="W425" s="527"/>
      <c r="X425" s="527"/>
      <c r="Y425" s="527"/>
    </row>
    <row r="426" spans="1:26" ht="27.6" customHeight="1">
      <c r="A426" s="527" t="s">
        <v>224</v>
      </c>
      <c r="B426" s="527"/>
      <c r="C426" s="527"/>
      <c r="D426" s="527"/>
      <c r="E426" s="527"/>
      <c r="F426" s="527"/>
      <c r="G426" s="527"/>
      <c r="H426" s="527"/>
      <c r="I426" s="527"/>
      <c r="J426" s="527"/>
      <c r="K426" s="527"/>
      <c r="L426" s="527"/>
      <c r="M426" s="527"/>
      <c r="N426" s="527"/>
      <c r="O426" s="527"/>
      <c r="P426" s="527"/>
      <c r="Q426" s="527"/>
      <c r="R426" s="527"/>
      <c r="S426" s="527"/>
      <c r="T426" s="527"/>
      <c r="U426" s="527"/>
      <c r="V426" s="527"/>
      <c r="W426" s="527"/>
      <c r="X426" s="527"/>
      <c r="Y426" s="527"/>
    </row>
    <row r="427" spans="1:26" s="103" customFormat="1" ht="36.6" customHeight="1">
      <c r="A427" s="505" t="s">
        <v>455</v>
      </c>
      <c r="B427" s="505"/>
      <c r="C427" s="505"/>
      <c r="D427" s="505"/>
      <c r="E427" s="505"/>
      <c r="F427" s="505"/>
      <c r="G427" s="505"/>
      <c r="H427" s="505"/>
      <c r="I427" s="505"/>
      <c r="J427" s="505"/>
      <c r="K427" s="505"/>
      <c r="L427" s="505"/>
      <c r="M427" s="505"/>
      <c r="N427" s="505"/>
      <c r="O427" s="505"/>
      <c r="P427" s="505"/>
      <c r="Q427" s="505"/>
      <c r="R427" s="505"/>
      <c r="S427" s="505"/>
      <c r="T427" s="505"/>
      <c r="U427" s="505"/>
      <c r="V427" s="505"/>
      <c r="W427" s="505"/>
      <c r="X427" s="505"/>
      <c r="Y427" s="505"/>
    </row>
    <row r="428" spans="1:26" s="103" customFormat="1" ht="31.95" customHeight="1">
      <c r="A428" s="505" t="s">
        <v>479</v>
      </c>
      <c r="B428" s="505"/>
      <c r="C428" s="505"/>
      <c r="D428" s="505"/>
      <c r="E428" s="505"/>
      <c r="F428" s="505"/>
      <c r="G428" s="505"/>
      <c r="H428" s="505"/>
      <c r="I428" s="505"/>
      <c r="J428" s="505"/>
      <c r="K428" s="505"/>
      <c r="L428" s="505"/>
      <c r="M428" s="505"/>
      <c r="N428" s="505"/>
      <c r="O428" s="505"/>
      <c r="P428" s="505"/>
      <c r="Q428" s="505"/>
      <c r="R428" s="505"/>
      <c r="S428" s="505"/>
      <c r="T428" s="505"/>
      <c r="U428" s="505"/>
      <c r="V428" s="505"/>
      <c r="W428" s="505"/>
      <c r="X428" s="505"/>
      <c r="Y428" s="505"/>
    </row>
    <row r="429" spans="1:26" s="103" customFormat="1" ht="27.6" customHeight="1">
      <c r="A429" s="505" t="s">
        <v>679</v>
      </c>
      <c r="B429" s="505"/>
      <c r="C429" s="505"/>
      <c r="D429" s="505"/>
      <c r="E429" s="505"/>
      <c r="F429" s="505"/>
      <c r="G429" s="505"/>
      <c r="H429" s="505"/>
      <c r="I429" s="505"/>
      <c r="J429" s="505"/>
      <c r="K429" s="505"/>
      <c r="L429" s="505"/>
      <c r="M429" s="505"/>
      <c r="N429" s="505"/>
      <c r="O429" s="505"/>
      <c r="P429" s="505"/>
      <c r="Q429" s="505"/>
      <c r="R429" s="505"/>
      <c r="S429" s="505"/>
      <c r="T429" s="505"/>
      <c r="U429" s="505"/>
      <c r="V429" s="505"/>
      <c r="W429" s="505"/>
      <c r="X429" s="505"/>
    </row>
    <row r="430" spans="1:26" ht="146.4" customHeight="1">
      <c r="A430" s="527" t="s">
        <v>688</v>
      </c>
      <c r="B430" s="527"/>
      <c r="C430" s="527"/>
      <c r="D430" s="527"/>
      <c r="E430" s="527"/>
      <c r="F430" s="527"/>
      <c r="G430" s="527"/>
      <c r="H430" s="527"/>
      <c r="I430" s="527"/>
      <c r="J430" s="527"/>
      <c r="K430" s="527"/>
      <c r="L430" s="527"/>
      <c r="M430" s="527"/>
      <c r="N430" s="527"/>
      <c r="O430" s="527"/>
      <c r="P430" s="527"/>
      <c r="Q430" s="527"/>
      <c r="R430" s="527"/>
      <c r="S430" s="527"/>
      <c r="T430" s="527"/>
      <c r="U430" s="527"/>
      <c r="V430" s="527"/>
      <c r="W430" s="527"/>
      <c r="X430" s="527"/>
      <c r="Y430" s="527"/>
    </row>
    <row r="431" spans="1:26" hidden="1"/>
    <row r="432" spans="1:26" ht="7.2" customHeight="1"/>
  </sheetData>
  <mergeCells count="92">
    <mergeCell ref="A427:Y427"/>
    <mergeCell ref="Y258:Y265"/>
    <mergeCell ref="W8:W10"/>
    <mergeCell ref="A430:Y430"/>
    <mergeCell ref="A401:A408"/>
    <mergeCell ref="Y401:Y408"/>
    <mergeCell ref="A410:A415"/>
    <mergeCell ref="A416:A422"/>
    <mergeCell ref="A425:Y425"/>
    <mergeCell ref="A426:Y426"/>
    <mergeCell ref="A374:A375"/>
    <mergeCell ref="X374:X375"/>
    <mergeCell ref="Y374:Y381"/>
    <mergeCell ref="A390:Y390"/>
    <mergeCell ref="A392:A399"/>
    <mergeCell ref="A361:A363"/>
    <mergeCell ref="A364:A366"/>
    <mergeCell ref="A367:A369"/>
    <mergeCell ref="A424:Y424"/>
    <mergeCell ref="V1:Y1"/>
    <mergeCell ref="Y250:Y257"/>
    <mergeCell ref="A258:A262"/>
    <mergeCell ref="X258:X262"/>
    <mergeCell ref="A234:A238"/>
    <mergeCell ref="X234:X238"/>
    <mergeCell ref="Y234:Y241"/>
    <mergeCell ref="A242:A243"/>
    <mergeCell ref="X242:X249"/>
    <mergeCell ref="Y242:Y249"/>
    <mergeCell ref="A250:A257"/>
    <mergeCell ref="Y191:Y198"/>
    <mergeCell ref="X143:X147"/>
    <mergeCell ref="X191:X198"/>
    <mergeCell ref="X99:X101"/>
    <mergeCell ref="Y99:Y106"/>
    <mergeCell ref="Y143:Y150"/>
    <mergeCell ref="Y90:Y96"/>
    <mergeCell ref="X90:X94"/>
    <mergeCell ref="A3:Y3"/>
    <mergeCell ref="A4:Y4"/>
    <mergeCell ref="A5:Y5"/>
    <mergeCell ref="A6:Y6"/>
    <mergeCell ref="A8:A10"/>
    <mergeCell ref="B8:B10"/>
    <mergeCell ref="C8:F9"/>
    <mergeCell ref="G8:G10"/>
    <mergeCell ref="H8:K9"/>
    <mergeCell ref="L8:L10"/>
    <mergeCell ref="M8:P9"/>
    <mergeCell ref="Q8:Q10"/>
    <mergeCell ref="Y8:Y10"/>
    <mergeCell ref="V8:V10"/>
    <mergeCell ref="X8:X10"/>
    <mergeCell ref="R8:U9"/>
    <mergeCell ref="A429:X429"/>
    <mergeCell ref="A90:A97"/>
    <mergeCell ref="A99:A106"/>
    <mergeCell ref="X307:X316"/>
    <mergeCell ref="X250:X257"/>
    <mergeCell ref="A428:Y428"/>
    <mergeCell ref="Y392:Y399"/>
    <mergeCell ref="X266:X273"/>
    <mergeCell ref="Y266:Y273"/>
    <mergeCell ref="A307:A308"/>
    <mergeCell ref="Y307:Y316"/>
    <mergeCell ref="A370:A373"/>
    <mergeCell ref="A344:A349"/>
    <mergeCell ref="A328:A333"/>
    <mergeCell ref="A266:A267"/>
    <mergeCell ref="A358:A360"/>
    <mergeCell ref="A191:A194"/>
    <mergeCell ref="A161:A163"/>
    <mergeCell ref="A126:A128"/>
    <mergeCell ref="A133:A134"/>
    <mergeCell ref="A172:A174"/>
    <mergeCell ref="A179:A181"/>
    <mergeCell ref="A143:A145"/>
    <mergeCell ref="A89:Y89"/>
    <mergeCell ref="A12:Y12"/>
    <mergeCell ref="A13:Y13"/>
    <mergeCell ref="A32:A34"/>
    <mergeCell ref="A14:Y14"/>
    <mergeCell ref="A48:A51"/>
    <mergeCell ref="A58:A60"/>
    <mergeCell ref="A16:A26"/>
    <mergeCell ref="X16:X26"/>
    <mergeCell ref="Y16:Y26"/>
    <mergeCell ref="X66:X77"/>
    <mergeCell ref="Y66:Y77"/>
    <mergeCell ref="A66:A71"/>
    <mergeCell ref="A72:A77"/>
    <mergeCell ref="A79:A87"/>
  </mergeCells>
  <printOptions horizontalCentered="1"/>
  <pageMargins left="0.39370078740157483" right="0.39370078740157483" top="0.98425196850393704" bottom="0.39370078740157483" header="0.31496062992125984" footer="0.31496062992125984"/>
  <pageSetup paperSize="9" scale="56" fitToHeight="20" orientation="landscape" r:id="rId1"/>
  <headerFooter differentFirst="1">
    <oddHeader>Страница &amp;P</oddHeader>
  </headerFooter>
  <rowBreaks count="2" manualBreakCount="2">
    <brk id="52" max="19" man="1"/>
    <brk id="106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937"/>
  <sheetViews>
    <sheetView showZeros="0" zoomScaleNormal="100" zoomScaleSheetLayoutView="90" workbookViewId="0">
      <pane xSplit="1" ySplit="10" topLeftCell="B405" activePane="bottomRight" state="frozen"/>
      <selection pane="topRight" activeCell="B1" sqref="B1"/>
      <selection pane="bottomLeft" activeCell="A11" sqref="A11"/>
      <selection pane="bottomRight" activeCell="U427" sqref="U427"/>
    </sheetView>
  </sheetViews>
  <sheetFormatPr defaultColWidth="8.88671875" defaultRowHeight="13.8"/>
  <cols>
    <col min="1" max="1" width="40.5546875" style="103" customWidth="1"/>
    <col min="2" max="2" width="21.88671875" style="182" customWidth="1"/>
    <col min="3" max="4" width="8.88671875" style="103" hidden="1" customWidth="1"/>
    <col min="5" max="5" width="9.6640625" style="103" hidden="1" customWidth="1"/>
    <col min="6" max="6" width="8.88671875" style="103" hidden="1" customWidth="1"/>
    <col min="7" max="7" width="13.5546875" style="103" hidden="1" customWidth="1"/>
    <col min="8" max="8" width="12.44140625" style="103" hidden="1" customWidth="1"/>
    <col min="9" max="9" width="12.5546875" style="103" hidden="1" customWidth="1"/>
    <col min="10" max="10" width="12.33203125" style="103" hidden="1" customWidth="1"/>
    <col min="11" max="11" width="12.44140625" style="103" hidden="1" customWidth="1"/>
    <col min="12" max="12" width="0.33203125" style="37" hidden="1" customWidth="1"/>
    <col min="13" max="16" width="15.5546875" style="37" hidden="1" customWidth="1"/>
    <col min="17" max="17" width="12.88671875" style="37" customWidth="1"/>
    <col min="18" max="18" width="11.6640625" style="400" customWidth="1"/>
    <col min="19" max="19" width="11.33203125" style="400" customWidth="1"/>
    <col min="20" max="20" width="10.5546875" style="400" customWidth="1"/>
    <col min="21" max="21" width="11" style="400" customWidth="1"/>
    <col min="22" max="22" width="12.5546875" style="37" customWidth="1"/>
    <col min="23" max="23" width="13" style="37" customWidth="1"/>
    <col min="24" max="24" width="15.44140625" style="37" customWidth="1"/>
    <col min="25" max="25" width="25.5546875" style="37" customWidth="1"/>
    <col min="26" max="26" width="11.88671875" style="55" customWidth="1"/>
    <col min="27" max="27" width="19.109375" style="55" customWidth="1"/>
    <col min="28" max="28" width="11.88671875" style="55" customWidth="1"/>
    <col min="29" max="29" width="10.88671875" style="55" customWidth="1"/>
    <col min="30" max="30" width="15.109375" style="55" customWidth="1"/>
    <col min="31" max="31" width="12.109375" style="55" customWidth="1"/>
    <col min="32" max="32" width="12.33203125" style="55" customWidth="1"/>
    <col min="33" max="33" width="14.88671875" style="55" customWidth="1"/>
    <col min="34" max="34" width="12.88671875" style="55" customWidth="1"/>
    <col min="35" max="35" width="11.44140625" style="55" customWidth="1"/>
    <col min="36" max="16384" width="8.88671875" style="55"/>
  </cols>
  <sheetData>
    <row r="1" spans="1:35" ht="12.6" customHeight="1"/>
    <row r="2" spans="1:35" ht="26.4" customHeight="1">
      <c r="X2" s="435" t="s">
        <v>222</v>
      </c>
      <c r="Y2" s="129"/>
    </row>
    <row r="3" spans="1:35" ht="21" customHeight="1">
      <c r="A3" s="594" t="s">
        <v>218</v>
      </c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  <c r="N3" s="594"/>
      <c r="O3" s="594"/>
      <c r="P3" s="594"/>
      <c r="Q3" s="594"/>
      <c r="R3" s="594"/>
      <c r="S3" s="594"/>
      <c r="T3" s="594"/>
      <c r="U3" s="594"/>
      <c r="V3" s="594"/>
      <c r="W3" s="594"/>
      <c r="X3" s="594"/>
      <c r="Y3" s="594"/>
    </row>
    <row r="4" spans="1:35" ht="43.95" customHeight="1">
      <c r="A4" s="594" t="s">
        <v>219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4"/>
      <c r="P4" s="594"/>
      <c r="Q4" s="594"/>
      <c r="R4" s="594"/>
      <c r="S4" s="594"/>
      <c r="T4" s="594"/>
      <c r="U4" s="594"/>
      <c r="V4" s="594"/>
      <c r="W4" s="594"/>
      <c r="X4" s="594"/>
      <c r="Y4" s="594"/>
    </row>
    <row r="5" spans="1:35" ht="3" customHeight="1">
      <c r="A5" s="104"/>
    </row>
    <row r="6" spans="1:35" ht="21" customHeight="1">
      <c r="A6" s="595" t="s">
        <v>0</v>
      </c>
      <c r="B6" s="595" t="s">
        <v>1</v>
      </c>
      <c r="C6" s="595" t="s">
        <v>151</v>
      </c>
      <c r="D6" s="595"/>
      <c r="E6" s="595"/>
      <c r="F6" s="595"/>
      <c r="G6" s="595" t="s">
        <v>220</v>
      </c>
      <c r="H6" s="595" t="s">
        <v>153</v>
      </c>
      <c r="I6" s="595"/>
      <c r="J6" s="595"/>
      <c r="K6" s="595"/>
      <c r="L6" s="541" t="s">
        <v>8</v>
      </c>
      <c r="M6" s="591" t="s">
        <v>333</v>
      </c>
      <c r="N6" s="592"/>
      <c r="O6" s="592"/>
      <c r="P6" s="593"/>
      <c r="Q6" s="541" t="s">
        <v>9</v>
      </c>
      <c r="R6" s="591" t="s">
        <v>519</v>
      </c>
      <c r="S6" s="592"/>
      <c r="T6" s="592"/>
      <c r="U6" s="593"/>
      <c r="V6" s="541" t="s">
        <v>288</v>
      </c>
      <c r="W6" s="533" t="s">
        <v>370</v>
      </c>
      <c r="X6" s="541" t="s">
        <v>2</v>
      </c>
      <c r="Y6" s="541" t="s">
        <v>3</v>
      </c>
    </row>
    <row r="7" spans="1:35" ht="20.399999999999999" customHeight="1">
      <c r="A7" s="595"/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41"/>
      <c r="M7" s="175" t="s">
        <v>154</v>
      </c>
      <c r="N7" s="175" t="s">
        <v>155</v>
      </c>
      <c r="O7" s="175" t="s">
        <v>156</v>
      </c>
      <c r="P7" s="175" t="s">
        <v>157</v>
      </c>
      <c r="Q7" s="541"/>
      <c r="R7" s="395" t="s">
        <v>154</v>
      </c>
      <c r="S7" s="395" t="s">
        <v>155</v>
      </c>
      <c r="T7" s="395" t="s">
        <v>156</v>
      </c>
      <c r="U7" s="395" t="s">
        <v>157</v>
      </c>
      <c r="V7" s="541"/>
      <c r="W7" s="535"/>
      <c r="X7" s="541"/>
      <c r="Y7" s="541"/>
    </row>
    <row r="8" spans="1:35" ht="4.95" hidden="1" customHeight="1">
      <c r="A8" s="595"/>
      <c r="B8" s="595"/>
      <c r="C8" s="186" t="s">
        <v>4</v>
      </c>
      <c r="D8" s="186" t="s">
        <v>5</v>
      </c>
      <c r="E8" s="186" t="s">
        <v>6</v>
      </c>
      <c r="F8" s="186" t="s">
        <v>7</v>
      </c>
      <c r="G8" s="595"/>
      <c r="H8" s="186" t="s">
        <v>154</v>
      </c>
      <c r="I8" s="186" t="s">
        <v>155</v>
      </c>
      <c r="J8" s="186" t="s">
        <v>156</v>
      </c>
      <c r="K8" s="186" t="s">
        <v>157</v>
      </c>
      <c r="L8" s="541"/>
      <c r="M8" s="175" t="s">
        <v>154</v>
      </c>
      <c r="N8" s="175" t="s">
        <v>155</v>
      </c>
      <c r="O8" s="175" t="s">
        <v>156</v>
      </c>
      <c r="P8" s="175" t="s">
        <v>157</v>
      </c>
      <c r="Q8" s="541"/>
      <c r="R8" s="395"/>
      <c r="S8" s="395"/>
      <c r="T8" s="395"/>
      <c r="U8" s="395"/>
      <c r="V8" s="541"/>
      <c r="W8" s="175"/>
      <c r="X8" s="541"/>
      <c r="Y8" s="541"/>
    </row>
    <row r="9" spans="1:35">
      <c r="A9" s="468">
        <v>1</v>
      </c>
      <c r="B9" s="186">
        <v>2</v>
      </c>
      <c r="C9" s="186">
        <v>3</v>
      </c>
      <c r="D9" s="186">
        <v>4</v>
      </c>
      <c r="E9" s="186">
        <v>5</v>
      </c>
      <c r="F9" s="186">
        <v>6</v>
      </c>
      <c r="G9" s="186">
        <v>3</v>
      </c>
      <c r="H9" s="186">
        <v>4</v>
      </c>
      <c r="I9" s="186">
        <v>5</v>
      </c>
      <c r="J9" s="186">
        <v>6</v>
      </c>
      <c r="K9" s="186">
        <v>7</v>
      </c>
      <c r="L9" s="175">
        <v>3</v>
      </c>
      <c r="M9" s="175">
        <v>4</v>
      </c>
      <c r="N9" s="175">
        <v>5</v>
      </c>
      <c r="O9" s="175">
        <v>6</v>
      </c>
      <c r="P9" s="175">
        <v>7</v>
      </c>
      <c r="Q9" s="175">
        <v>3</v>
      </c>
      <c r="R9" s="395">
        <v>4</v>
      </c>
      <c r="S9" s="395">
        <v>5</v>
      </c>
      <c r="T9" s="395">
        <v>6</v>
      </c>
      <c r="U9" s="395">
        <v>7</v>
      </c>
      <c r="V9" s="395">
        <v>8</v>
      </c>
      <c r="W9" s="395">
        <v>9</v>
      </c>
      <c r="X9" s="395">
        <v>10</v>
      </c>
      <c r="Y9" s="395">
        <v>11</v>
      </c>
      <c r="AA9" s="549">
        <v>2017</v>
      </c>
      <c r="AB9" s="549"/>
      <c r="AC9" s="549"/>
      <c r="AD9" s="549">
        <v>2018</v>
      </c>
      <c r="AE9" s="549"/>
      <c r="AF9" s="549"/>
      <c r="AG9" s="549">
        <v>2019</v>
      </c>
      <c r="AH9" s="549"/>
      <c r="AI9" s="549"/>
    </row>
    <row r="10" spans="1:35" ht="136.19999999999999" hidden="1" customHeight="1">
      <c r="A10" s="467" t="s">
        <v>13</v>
      </c>
      <c r="B10" s="186"/>
      <c r="C10" s="186">
        <v>176</v>
      </c>
      <c r="D10" s="186" t="s">
        <v>16</v>
      </c>
      <c r="E10" s="186" t="s">
        <v>17</v>
      </c>
      <c r="F10" s="186" t="s">
        <v>29</v>
      </c>
      <c r="G10" s="186"/>
      <c r="H10" s="186"/>
      <c r="I10" s="186"/>
      <c r="J10" s="186"/>
      <c r="K10" s="186"/>
      <c r="L10" s="175"/>
      <c r="M10" s="175"/>
      <c r="N10" s="175"/>
      <c r="O10" s="175"/>
      <c r="P10" s="175"/>
      <c r="Q10" s="175"/>
      <c r="R10" s="395"/>
      <c r="S10" s="395"/>
      <c r="T10" s="395"/>
      <c r="U10" s="395"/>
      <c r="V10" s="175"/>
      <c r="W10" s="175"/>
      <c r="X10" s="175"/>
      <c r="Y10" s="175"/>
      <c r="AA10" s="72"/>
      <c r="AB10" s="72"/>
      <c r="AC10" s="72"/>
      <c r="AD10" s="72"/>
      <c r="AE10" s="72"/>
      <c r="AF10" s="72"/>
      <c r="AG10" s="72"/>
      <c r="AH10" s="72"/>
      <c r="AI10" s="72"/>
    </row>
    <row r="11" spans="1:35" ht="27" customHeight="1">
      <c r="A11" s="503" t="s">
        <v>237</v>
      </c>
      <c r="B11" s="83" t="s">
        <v>91</v>
      </c>
      <c r="C11" s="83"/>
      <c r="D11" s="83"/>
      <c r="E11" s="83"/>
      <c r="F11" s="83"/>
      <c r="G11" s="84" t="e">
        <f>K11</f>
        <v>#REF!</v>
      </c>
      <c r="H11" s="84"/>
      <c r="I11" s="84"/>
      <c r="J11" s="84"/>
      <c r="K11" s="84" t="e">
        <f t="shared" ref="K11:P11" si="0">K22+K38+K46+K52+K86+K102+K130+K138+K157+K169+K189+K200+K222+K233+K245+K253+K314+K326+K334+K350+K362+K370+K378+K390+K406</f>
        <v>#REF!</v>
      </c>
      <c r="L11" s="133">
        <f t="shared" si="0"/>
        <v>44.215000000000011</v>
      </c>
      <c r="M11" s="133">
        <f t="shared" si="0"/>
        <v>0</v>
      </c>
      <c r="N11" s="133">
        <f t="shared" si="0"/>
        <v>2.85</v>
      </c>
      <c r="O11" s="133">
        <f t="shared" si="0"/>
        <v>3.3380000000000001</v>
      </c>
      <c r="P11" s="133">
        <f t="shared" si="0"/>
        <v>38.017000000000003</v>
      </c>
      <c r="Q11" s="133">
        <f>Q38+Q86+Q102+Q146+Q157+Q189+Q200+Q253+Q350+Q370+Q390</f>
        <v>39.099999999999994</v>
      </c>
      <c r="R11" s="133">
        <f t="shared" ref="R11" si="1">R38+R86+R102+R146+R157+R189+R200+R253+R350+R370+R390</f>
        <v>0</v>
      </c>
      <c r="S11" s="133"/>
      <c r="T11" s="133"/>
      <c r="U11" s="133"/>
      <c r="V11" s="133">
        <f>V38+V52+V86+V102+V138+V157+V169+V189+V200+V233+V245+V253+V314+V326+V334+V350+V370+V378+V390+V406</f>
        <v>10.199999999999999</v>
      </c>
      <c r="W11" s="133">
        <f>W22+W38+W52+W86+W102+W138+W157+W169+W189+W200+W233+W245+W253+W314+W326+W334+W350+W370+W378+W390+W406</f>
        <v>5.8</v>
      </c>
      <c r="X11" s="541" t="s">
        <v>27</v>
      </c>
      <c r="Y11" s="541" t="s">
        <v>693</v>
      </c>
      <c r="AA11" s="72"/>
      <c r="AB11" s="71" t="s">
        <v>342</v>
      </c>
      <c r="AC11" s="71" t="s">
        <v>343</v>
      </c>
      <c r="AD11" s="72"/>
      <c r="AE11" s="71" t="s">
        <v>342</v>
      </c>
      <c r="AF11" s="71" t="s">
        <v>343</v>
      </c>
      <c r="AG11" s="72"/>
      <c r="AH11" s="71" t="s">
        <v>342</v>
      </c>
      <c r="AI11" s="71" t="s">
        <v>343</v>
      </c>
    </row>
    <row r="12" spans="1:35" ht="27" customHeight="1">
      <c r="A12" s="504"/>
      <c r="B12" s="83" t="s">
        <v>25</v>
      </c>
      <c r="C12" s="83"/>
      <c r="D12" s="83"/>
      <c r="E12" s="83"/>
      <c r="F12" s="83"/>
      <c r="G12" s="81" t="e">
        <f>G13/G11</f>
        <v>#REF!</v>
      </c>
      <c r="H12" s="81"/>
      <c r="I12" s="81"/>
      <c r="J12" s="81"/>
      <c r="K12" s="81" t="e">
        <f>G12</f>
        <v>#REF!</v>
      </c>
      <c r="L12" s="134">
        <f>L13/L11</f>
        <v>29893.618002940173</v>
      </c>
      <c r="M12" s="134"/>
      <c r="N12" s="134"/>
      <c r="O12" s="134"/>
      <c r="P12" s="134"/>
      <c r="Q12" s="134">
        <f>(Q13-Q431)/Q11</f>
        <v>44221.679283887475</v>
      </c>
      <c r="R12" s="134"/>
      <c r="S12" s="134"/>
      <c r="T12" s="134"/>
      <c r="U12" s="134"/>
      <c r="V12" s="134">
        <f>V13/V11</f>
        <v>116687.88235294117</v>
      </c>
      <c r="W12" s="134">
        <f t="shared" ref="W12" si="2">W13/W11</f>
        <v>188382.8448275862</v>
      </c>
      <c r="X12" s="541"/>
      <c r="Y12" s="541"/>
      <c r="AA12" s="72"/>
      <c r="AB12" s="73"/>
      <c r="AC12" s="73"/>
      <c r="AD12" s="74"/>
      <c r="AE12" s="73"/>
      <c r="AF12" s="73"/>
      <c r="AG12" s="74"/>
      <c r="AH12" s="73"/>
      <c r="AI12" s="73"/>
    </row>
    <row r="13" spans="1:35" ht="27" customHeight="1">
      <c r="A13" s="504"/>
      <c r="B13" s="83" t="s">
        <v>26</v>
      </c>
      <c r="C13" s="83">
        <v>176</v>
      </c>
      <c r="D13" s="83" t="s">
        <v>16</v>
      </c>
      <c r="E13" s="83">
        <v>6100404</v>
      </c>
      <c r="F13" s="83">
        <v>414</v>
      </c>
      <c r="G13" s="81" t="e">
        <f>SUM(H13:K13)</f>
        <v>#REF!</v>
      </c>
      <c r="H13" s="81" t="e">
        <f>H15+H17</f>
        <v>#REF!</v>
      </c>
      <c r="I13" s="81" t="e">
        <f>I15+I17</f>
        <v>#REF!</v>
      </c>
      <c r="J13" s="81" t="e">
        <f>J15+J17</f>
        <v>#REF!</v>
      </c>
      <c r="K13" s="81" t="e">
        <f>K15+K17</f>
        <v>#REF!</v>
      </c>
      <c r="L13" s="134">
        <f>L15+L17</f>
        <v>1321746.32</v>
      </c>
      <c r="M13" s="134">
        <f t="shared" ref="M13:P13" si="3">M15+M17</f>
        <v>87614.3</v>
      </c>
      <c r="N13" s="134">
        <f t="shared" si="3"/>
        <v>125592.71999999999</v>
      </c>
      <c r="O13" s="134">
        <f t="shared" si="3"/>
        <v>241343.5</v>
      </c>
      <c r="P13" s="134">
        <f t="shared" si="3"/>
        <v>867195.79999999993</v>
      </c>
      <c r="Q13" s="134">
        <f>SUM(Q15:Q18)</f>
        <v>1803641.6600000001</v>
      </c>
      <c r="R13" s="134">
        <f t="shared" ref="R13:U13" si="4">R15+R16+R17+R18</f>
        <v>23768.053</v>
      </c>
      <c r="S13" s="134">
        <f t="shared" si="4"/>
        <v>172055.56</v>
      </c>
      <c r="T13" s="134">
        <f t="shared" si="4"/>
        <v>975481.23100000003</v>
      </c>
      <c r="U13" s="134">
        <f t="shared" si="4"/>
        <v>632336.81599999999</v>
      </c>
      <c r="V13" s="134">
        <f>V15+V16</f>
        <v>1190216.3999999999</v>
      </c>
      <c r="W13" s="134">
        <f>W15+W17</f>
        <v>1092620.5</v>
      </c>
      <c r="X13" s="541"/>
      <c r="Y13" s="541"/>
      <c r="AA13" s="71" t="s">
        <v>340</v>
      </c>
      <c r="AB13" s="422">
        <f>Q115+Q150+Q165+Q208+Q289</f>
        <v>1.6</v>
      </c>
      <c r="AC13" s="422">
        <f>Q289</f>
        <v>0.9</v>
      </c>
      <c r="AD13" s="71" t="s">
        <v>340</v>
      </c>
      <c r="AE13" s="422">
        <v>0</v>
      </c>
      <c r="AF13" s="424">
        <v>0</v>
      </c>
      <c r="AG13" s="71" t="s">
        <v>340</v>
      </c>
      <c r="AH13" s="170">
        <f>W249+W302</f>
        <v>0</v>
      </c>
      <c r="AI13" s="424">
        <f>W249</f>
        <v>0</v>
      </c>
    </row>
    <row r="14" spans="1:35" ht="27" customHeight="1">
      <c r="A14" s="504"/>
      <c r="B14" s="83" t="s">
        <v>10</v>
      </c>
      <c r="C14" s="83"/>
      <c r="D14" s="83"/>
      <c r="E14" s="83"/>
      <c r="F14" s="83"/>
      <c r="G14" s="81"/>
      <c r="H14" s="81"/>
      <c r="I14" s="81"/>
      <c r="J14" s="81"/>
      <c r="K14" s="81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541"/>
      <c r="Y14" s="541"/>
      <c r="AA14" s="71" t="s">
        <v>341</v>
      </c>
      <c r="AB14" s="422">
        <f>Q42+Q94+Q196+Q276+Q297+Q358+Q374+Q402</f>
        <v>37.5</v>
      </c>
      <c r="AC14" s="422">
        <f>Q42+Q94+Q196+Q276+Q297+Q358+Q374+Q402</f>
        <v>37.5</v>
      </c>
      <c r="AD14" s="71" t="s">
        <v>341</v>
      </c>
      <c r="AE14" s="422">
        <f>V42+V272+V346+V358</f>
        <v>10.199999999999999</v>
      </c>
      <c r="AF14" s="424">
        <f>V42+V272+V346+V358</f>
        <v>10.199999999999999</v>
      </c>
      <c r="AG14" s="71" t="s">
        <v>341</v>
      </c>
      <c r="AH14" s="422">
        <f>AI14</f>
        <v>5.8</v>
      </c>
      <c r="AI14" s="424">
        <f>W42+W263</f>
        <v>5.8</v>
      </c>
    </row>
    <row r="15" spans="1:35" ht="27" customHeight="1">
      <c r="A15" s="504"/>
      <c r="B15" s="83" t="s">
        <v>11</v>
      </c>
      <c r="C15" s="83">
        <v>176</v>
      </c>
      <c r="D15" s="83" t="s">
        <v>16</v>
      </c>
      <c r="E15" s="83">
        <v>6100404</v>
      </c>
      <c r="F15" s="83">
        <v>414</v>
      </c>
      <c r="G15" s="81" t="e">
        <f>SUM(H15:K15)</f>
        <v>#REF!</v>
      </c>
      <c r="H15" s="81" t="e">
        <f>H24+H40+H54+H88+H132+H140+H104+H159+H202+H224+H247+H255+H316+H336+H392+H427</f>
        <v>#REF!</v>
      </c>
      <c r="I15" s="81" t="e">
        <f>I24+I40+I54+I88+I132+I140+I104+I159+I202+I224+I247+I255+I316+I336+I392+I427</f>
        <v>#REF!</v>
      </c>
      <c r="J15" s="81" t="e">
        <f>J24+J40+J54+J88+J132+J140+J104+J159+J202+J224+J247+J255+J316+J336+J392+J427</f>
        <v>#REF!</v>
      </c>
      <c r="K15" s="81" t="e">
        <f>K24+K40+K54+K88+K132+K140+K104+K159+K202+K224+K247+K255+K316+K336+K392+K427</f>
        <v>#REF!</v>
      </c>
      <c r="L15" s="134">
        <f>L54+L104+L132+L140+L159+L202+L224+L247+L255+L316+L328+L336+L352+L372+L392+L427+L408</f>
        <v>696311.52</v>
      </c>
      <c r="M15" s="134">
        <f>M54+M104+M132+M159+M202+M224+M247+M255+M316+M328+M336+M352+M372+M392+M427+M408</f>
        <v>87614.3</v>
      </c>
      <c r="N15" s="134">
        <f>N54+N104+N132+N159+N202+N224+N247+N255+N316+N328+N336+N352+N372+N392+N427+N408</f>
        <v>125592.71999999999</v>
      </c>
      <c r="O15" s="134">
        <f>O54+O104+O132+O159+O202+O224+O247+O255+O316+O328+O336+O352+O372+O392+O427+O408</f>
        <v>111995</v>
      </c>
      <c r="P15" s="134">
        <f>P54+P104+P132+P140+P159+P202+P224+P247+P255+P316+P328+P336+P352+P372+P392+P427+P408</f>
        <v>371109.5</v>
      </c>
      <c r="Q15" s="134">
        <f>Q40+Q88+Q104+Q132+Q140+Q159+Q171+Q191+Q202+Q235+Q247+Q255+Q336+Q352+Q372+Q392+Q427</f>
        <v>1358533.96</v>
      </c>
      <c r="R15" s="134">
        <f t="shared" ref="R15:U15" si="5">R40+R88+R104+R132+R140+R159+R171+R191+R202+R235+R247+R255+R336+R352+R372+R392+R427</f>
        <v>23768.053</v>
      </c>
      <c r="S15" s="134">
        <f t="shared" si="5"/>
        <v>172055.56</v>
      </c>
      <c r="T15" s="134">
        <f t="shared" si="5"/>
        <v>773706.25100000005</v>
      </c>
      <c r="U15" s="134">
        <f t="shared" si="5"/>
        <v>389004.09599999996</v>
      </c>
      <c r="V15" s="134">
        <f>V24+V40+V54+V88+V104+V140+V159+V171+V191+V202+V235+V247+V255+V316+V328+V336+V352+V372+V380+V392+V408+V427</f>
        <v>1010126.4</v>
      </c>
      <c r="W15" s="134">
        <f>W24+W40+W54+W88+W104+W140+W159+W171+W191+W202+W235+W247+W255+W316+W328+W336+W352+W372+W380+W392+W408+W427</f>
        <v>1092620.5</v>
      </c>
      <c r="X15" s="541"/>
      <c r="Y15" s="541"/>
      <c r="Z15" s="167"/>
      <c r="AA15" s="59">
        <v>1377303.5000000002</v>
      </c>
      <c r="AB15" s="55">
        <v>1492997.5999999999</v>
      </c>
      <c r="AC15" s="55">
        <v>1378803.5999999999</v>
      </c>
    </row>
    <row r="16" spans="1:35" ht="27" customHeight="1">
      <c r="A16" s="504"/>
      <c r="B16" s="83" t="s">
        <v>476</v>
      </c>
      <c r="C16" s="83"/>
      <c r="D16" s="83"/>
      <c r="E16" s="83"/>
      <c r="F16" s="83"/>
      <c r="G16" s="81"/>
      <c r="H16" s="81"/>
      <c r="I16" s="81"/>
      <c r="J16" s="81"/>
      <c r="K16" s="81"/>
      <c r="L16" s="134"/>
      <c r="M16" s="134"/>
      <c r="N16" s="134"/>
      <c r="O16" s="134"/>
      <c r="P16" s="134"/>
      <c r="Q16" s="134">
        <f>Q258</f>
        <v>235530.1</v>
      </c>
      <c r="R16" s="134">
        <f t="shared" ref="R16:U16" si="6">R258</f>
        <v>0</v>
      </c>
      <c r="S16" s="134">
        <f t="shared" si="6"/>
        <v>0</v>
      </c>
      <c r="T16" s="134">
        <f t="shared" si="6"/>
        <v>72600</v>
      </c>
      <c r="U16" s="134">
        <f t="shared" si="6"/>
        <v>162930.1</v>
      </c>
      <c r="V16" s="134">
        <f t="shared" ref="V16:W16" si="7">V258</f>
        <v>180090</v>
      </c>
      <c r="W16" s="134">
        <f t="shared" si="7"/>
        <v>0</v>
      </c>
      <c r="X16" s="541"/>
      <c r="Y16" s="541"/>
      <c r="Z16" s="167"/>
      <c r="AA16" s="59"/>
    </row>
    <row r="17" spans="1:35" ht="27" customHeight="1">
      <c r="A17" s="504"/>
      <c r="B17" s="83" t="s">
        <v>35</v>
      </c>
      <c r="C17" s="83">
        <v>176</v>
      </c>
      <c r="D17" s="83" t="s">
        <v>16</v>
      </c>
      <c r="E17" s="83" t="s">
        <v>28</v>
      </c>
      <c r="F17" s="83" t="s">
        <v>29</v>
      </c>
      <c r="G17" s="81" t="e">
        <f>SUM(H17:K17)</f>
        <v>#REF!</v>
      </c>
      <c r="H17" s="81" t="e">
        <f>H25+H41+H48+H55+H89+H105+H133+H141+H160+H172+H192+H203+H225+H236+H258+H248+H317+H329+H337+H353+H365+H373+H381+H393+H409+H428</f>
        <v>#REF!</v>
      </c>
      <c r="I17" s="81" t="e">
        <f>I25+I41+I48+I55+I89+I105+I133+I141+I160+I172+I192+I203+I225+I236+I258+I248+I317+I329+I337+I353+I365+I373+I381+I393+I409+I428</f>
        <v>#REF!</v>
      </c>
      <c r="J17" s="81" t="e">
        <f>J25+J41+J48+J55+J89+J105+J133+J141+J160+J172+J192+J203+J225+J236+J258+J248+J317+J329+J337+J353+J365+J373+J381+J393+J409+J428</f>
        <v>#REF!</v>
      </c>
      <c r="K17" s="81" t="e">
        <f>K25+K41+K48+K55+K89+K105+K133+K141+K160+K172+K192+K203+K225+K236+K258+K248+K317+K329+K337+K353+K365+K373+K381+K393+K409+K428</f>
        <v>#REF!</v>
      </c>
      <c r="L17" s="134">
        <f>L25+L41+L48+L55+L89+L105+L141+L160+L172+L203+L225+L248+L258+L317+L329+L337+L353+L373+L393+L409+L428</f>
        <v>625434.80000000005</v>
      </c>
      <c r="M17" s="134">
        <f>M25+M41+M48+M55+M89+M105+M141+M160+M172+M203+M225+M248+M258+M317+M329+M337+M353+M373+M393+M409+M428</f>
        <v>0</v>
      </c>
      <c r="N17" s="134">
        <f>N25+N41+N48+N55+N89+N105+N141+N160+N172+N203+N225+N248+N258+N317+N329+N337+N353+N373+N393+N409+N428</f>
        <v>0</v>
      </c>
      <c r="O17" s="134">
        <f>O25+O41+O48+O55+O89+O105+O141+O160+O172+O203+O225+O248+O258+O317+O329+O337+O353+O373+O393+O409+O428</f>
        <v>129348.5</v>
      </c>
      <c r="P17" s="134">
        <f>P25+P41+P48+P55+P89+P105+P141+P160+P172+P203+P225+P248+P258+P317+P329+P337+P353+P373+P393+P409+P428</f>
        <v>496086.29999999993</v>
      </c>
      <c r="Q17" s="134">
        <f>Q41+Q55+Q89+Q105+Q141+Q160+Q172+Q192+Q203+Q236+Q248+Q256+Q329+Q337+Q353+Q373+Q381+Q393+Q409+Q428</f>
        <v>203785.09999999998</v>
      </c>
      <c r="R17" s="134">
        <f t="shared" ref="R17:U17" si="8">R41+R55+R89+R105+R141+R160+R172+R192+R203+R236+R248+R256+R329+R337+R353+R373+R381+R393+R409+R428</f>
        <v>0</v>
      </c>
      <c r="S17" s="134">
        <f t="shared" si="8"/>
        <v>0</v>
      </c>
      <c r="T17" s="134">
        <f t="shared" si="8"/>
        <v>123382.48</v>
      </c>
      <c r="U17" s="134">
        <f t="shared" si="8"/>
        <v>80402.62</v>
      </c>
      <c r="V17" s="134">
        <f>V25+V41+V55+V89+V105+V160+V172+V192+V203+V236+V248+V256+V317+V329+V337+V353+V373+V389+V393+V409+V428</f>
        <v>0</v>
      </c>
      <c r="W17" s="134">
        <f>W25+W41+W55+W89+W105+W160+W172+W192+W203+W236+W248+W256+W317+W329+W337+W353+W373+W389+W393+W409+W428</f>
        <v>0</v>
      </c>
      <c r="X17" s="541"/>
      <c r="Y17" s="541"/>
      <c r="AA17" s="59"/>
      <c r="AB17" s="59"/>
      <c r="AC17" s="59"/>
      <c r="AD17" s="59"/>
      <c r="AE17" s="59"/>
      <c r="AF17" s="59"/>
      <c r="AG17" s="59"/>
      <c r="AH17" s="59"/>
      <c r="AI17" s="59"/>
    </row>
    <row r="18" spans="1:35" ht="27" customHeight="1">
      <c r="A18" s="504"/>
      <c r="B18" s="83" t="s">
        <v>678</v>
      </c>
      <c r="C18" s="83"/>
      <c r="D18" s="83"/>
      <c r="E18" s="83"/>
      <c r="F18" s="83"/>
      <c r="G18" s="81"/>
      <c r="H18" s="81"/>
      <c r="I18" s="81"/>
      <c r="J18" s="81"/>
      <c r="K18" s="81"/>
      <c r="L18" s="134"/>
      <c r="M18" s="134"/>
      <c r="N18" s="134"/>
      <c r="O18" s="134"/>
      <c r="P18" s="134"/>
      <c r="Q18" s="134">
        <f>Q299</f>
        <v>5792.5</v>
      </c>
      <c r="R18" s="134">
        <f t="shared" ref="R18:U18" si="9">R299</f>
        <v>0</v>
      </c>
      <c r="S18" s="134">
        <f t="shared" si="9"/>
        <v>0</v>
      </c>
      <c r="T18" s="134">
        <f t="shared" si="9"/>
        <v>5792.5</v>
      </c>
      <c r="U18" s="134">
        <f t="shared" si="9"/>
        <v>0</v>
      </c>
      <c r="V18" s="134"/>
      <c r="W18" s="134"/>
      <c r="X18" s="541"/>
      <c r="Y18" s="541"/>
      <c r="AA18" s="59"/>
      <c r="AB18" s="59"/>
      <c r="AC18" s="59"/>
      <c r="AD18" s="59"/>
      <c r="AE18" s="59"/>
      <c r="AF18" s="59"/>
      <c r="AG18" s="59"/>
      <c r="AH18" s="59"/>
      <c r="AI18" s="59"/>
    </row>
    <row r="19" spans="1:35" ht="27" customHeight="1">
      <c r="A19" s="504"/>
      <c r="B19" s="83" t="s">
        <v>614</v>
      </c>
      <c r="C19" s="83"/>
      <c r="D19" s="83"/>
      <c r="E19" s="83"/>
      <c r="F19" s="83"/>
      <c r="G19" s="81"/>
      <c r="H19" s="81">
        <v>0</v>
      </c>
      <c r="I19" s="81">
        <v>0</v>
      </c>
      <c r="J19" s="81">
        <v>0</v>
      </c>
      <c r="K19" s="81">
        <v>0</v>
      </c>
      <c r="L19" s="134">
        <v>0</v>
      </c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541"/>
      <c r="Y19" s="541"/>
    </row>
    <row r="20" spans="1:35" ht="27" customHeight="1">
      <c r="A20" s="506"/>
      <c r="B20" s="83" t="s">
        <v>665</v>
      </c>
      <c r="C20" s="83"/>
      <c r="D20" s="83"/>
      <c r="E20" s="83"/>
      <c r="F20" s="83"/>
      <c r="G20" s="81"/>
      <c r="H20" s="81">
        <v>0</v>
      </c>
      <c r="I20" s="81">
        <v>0</v>
      </c>
      <c r="J20" s="81">
        <v>0</v>
      </c>
      <c r="K20" s="81">
        <v>0</v>
      </c>
      <c r="L20" s="134">
        <v>0</v>
      </c>
      <c r="M20" s="134"/>
      <c r="N20" s="134"/>
      <c r="O20" s="134"/>
      <c r="P20" s="134"/>
      <c r="Q20" s="134">
        <v>0</v>
      </c>
      <c r="R20" s="134"/>
      <c r="S20" s="134"/>
      <c r="T20" s="134"/>
      <c r="U20" s="134"/>
      <c r="V20" s="134"/>
      <c r="W20" s="134"/>
      <c r="X20" s="541"/>
      <c r="Y20" s="541"/>
      <c r="Z20" s="588"/>
      <c r="AA20" s="589"/>
      <c r="AB20" s="589"/>
    </row>
    <row r="21" spans="1:35" ht="17.399999999999999" hidden="1" customHeight="1">
      <c r="A21" s="183" t="s">
        <v>30</v>
      </c>
      <c r="B21" s="175"/>
      <c r="C21" s="175"/>
      <c r="D21" s="175"/>
      <c r="E21" s="175"/>
      <c r="F21" s="175"/>
      <c r="G21" s="75"/>
      <c r="H21" s="75"/>
      <c r="I21" s="75"/>
      <c r="J21" s="75"/>
      <c r="K21" s="7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75"/>
      <c r="Y21" s="175">
        <v>2</v>
      </c>
    </row>
    <row r="22" spans="1:35" s="56" customFormat="1" ht="24.6" hidden="1" customHeight="1">
      <c r="A22" s="539" t="s">
        <v>99</v>
      </c>
      <c r="B22" s="83" t="s">
        <v>91</v>
      </c>
      <c r="C22" s="83"/>
      <c r="D22" s="83"/>
      <c r="E22" s="83"/>
      <c r="F22" s="83"/>
      <c r="G22" s="81">
        <f>G26+G30+G34</f>
        <v>5.7479999999999993</v>
      </c>
      <c r="H22" s="81">
        <f t="shared" ref="H22:W22" si="10">H26+H30+H34</f>
        <v>0</v>
      </c>
      <c r="I22" s="81">
        <f t="shared" si="10"/>
        <v>0</v>
      </c>
      <c r="J22" s="81">
        <f t="shared" si="10"/>
        <v>0</v>
      </c>
      <c r="K22" s="81">
        <f t="shared" si="10"/>
        <v>5.7479999999999993</v>
      </c>
      <c r="L22" s="134">
        <f t="shared" si="10"/>
        <v>0</v>
      </c>
      <c r="M22" s="134"/>
      <c r="N22" s="134"/>
      <c r="O22" s="134"/>
      <c r="P22" s="134"/>
      <c r="Q22" s="134">
        <f t="shared" si="10"/>
        <v>0</v>
      </c>
      <c r="R22" s="134"/>
      <c r="S22" s="134"/>
      <c r="T22" s="134"/>
      <c r="U22" s="134"/>
      <c r="V22" s="134">
        <f t="shared" si="10"/>
        <v>0</v>
      </c>
      <c r="W22" s="134">
        <f t="shared" si="10"/>
        <v>0</v>
      </c>
      <c r="X22" s="83"/>
      <c r="Y22" s="83"/>
    </row>
    <row r="23" spans="1:35" s="56" customFormat="1" ht="24.6" hidden="1" customHeight="1">
      <c r="A23" s="539"/>
      <c r="B23" s="83" t="s">
        <v>287</v>
      </c>
      <c r="C23" s="83"/>
      <c r="D23" s="83"/>
      <c r="E23" s="83"/>
      <c r="F23" s="83"/>
      <c r="G23" s="81">
        <f>G24+G25</f>
        <v>178800.2</v>
      </c>
      <c r="H23" s="81">
        <f t="shared" ref="H23:W23" si="11">H24+H25</f>
        <v>0</v>
      </c>
      <c r="I23" s="81">
        <f t="shared" si="11"/>
        <v>12414.900000000001</v>
      </c>
      <c r="J23" s="81">
        <f t="shared" si="11"/>
        <v>88004</v>
      </c>
      <c r="K23" s="81">
        <f t="shared" si="11"/>
        <v>78381.3</v>
      </c>
      <c r="L23" s="134">
        <f t="shared" si="11"/>
        <v>0</v>
      </c>
      <c r="M23" s="134"/>
      <c r="N23" s="134"/>
      <c r="O23" s="134"/>
      <c r="P23" s="134"/>
      <c r="Q23" s="134">
        <f t="shared" si="11"/>
        <v>0</v>
      </c>
      <c r="R23" s="134"/>
      <c r="S23" s="134"/>
      <c r="T23" s="134"/>
      <c r="U23" s="134"/>
      <c r="V23" s="134">
        <f t="shared" si="11"/>
        <v>0</v>
      </c>
      <c r="W23" s="134">
        <f t="shared" si="11"/>
        <v>0</v>
      </c>
      <c r="X23" s="83"/>
      <c r="Y23" s="83"/>
    </row>
    <row r="24" spans="1:35" s="56" customFormat="1" ht="24.6" hidden="1" customHeight="1">
      <c r="A24" s="539"/>
      <c r="B24" s="83" t="s">
        <v>11</v>
      </c>
      <c r="C24" s="83"/>
      <c r="D24" s="83"/>
      <c r="E24" s="83"/>
      <c r="F24" s="83"/>
      <c r="G24" s="81">
        <f t="shared" ref="G24:K25" si="12">G28+G32+G36</f>
        <v>23762.1</v>
      </c>
      <c r="H24" s="81">
        <f t="shared" si="12"/>
        <v>0</v>
      </c>
      <c r="I24" s="81">
        <f t="shared" si="12"/>
        <v>0</v>
      </c>
      <c r="J24" s="81">
        <f t="shared" si="12"/>
        <v>0</v>
      </c>
      <c r="K24" s="81">
        <f t="shared" si="12"/>
        <v>23762.1</v>
      </c>
      <c r="L24" s="134">
        <f>L28</f>
        <v>0</v>
      </c>
      <c r="M24" s="134"/>
      <c r="N24" s="134"/>
      <c r="O24" s="134"/>
      <c r="P24" s="134"/>
      <c r="Q24" s="134">
        <f>Q28</f>
        <v>0</v>
      </c>
      <c r="R24" s="134"/>
      <c r="S24" s="134"/>
      <c r="T24" s="134"/>
      <c r="U24" s="134"/>
      <c r="V24" s="134">
        <f t="shared" ref="V24:W24" si="13">V28</f>
        <v>0</v>
      </c>
      <c r="W24" s="134">
        <f t="shared" si="13"/>
        <v>0</v>
      </c>
      <c r="X24" s="83"/>
      <c r="Y24" s="83"/>
    </row>
    <row r="25" spans="1:35" s="56" customFormat="1" ht="24.6" hidden="1" customHeight="1">
      <c r="A25" s="539"/>
      <c r="B25" s="83" t="s">
        <v>35</v>
      </c>
      <c r="C25" s="83"/>
      <c r="D25" s="83"/>
      <c r="E25" s="83"/>
      <c r="F25" s="83"/>
      <c r="G25" s="81">
        <f t="shared" si="12"/>
        <v>155038.1</v>
      </c>
      <c r="H25" s="81">
        <f t="shared" si="12"/>
        <v>0</v>
      </c>
      <c r="I25" s="81">
        <f t="shared" si="12"/>
        <v>12414.900000000001</v>
      </c>
      <c r="J25" s="81">
        <f t="shared" si="12"/>
        <v>88004</v>
      </c>
      <c r="K25" s="81">
        <f t="shared" si="12"/>
        <v>54619.200000000004</v>
      </c>
      <c r="L25" s="134"/>
      <c r="M25" s="134"/>
      <c r="N25" s="134"/>
      <c r="O25" s="134"/>
      <c r="P25" s="134"/>
      <c r="Q25" s="134">
        <f>Q29</f>
        <v>0</v>
      </c>
      <c r="R25" s="134"/>
      <c r="S25" s="134"/>
      <c r="T25" s="134"/>
      <c r="U25" s="134"/>
      <c r="V25" s="134">
        <f t="shared" ref="V25:W25" si="14">V29</f>
        <v>0</v>
      </c>
      <c r="W25" s="134">
        <f t="shared" si="14"/>
        <v>0</v>
      </c>
      <c r="X25" s="83"/>
      <c r="Y25" s="83"/>
    </row>
    <row r="26" spans="1:35" s="56" customFormat="1" ht="0.6" hidden="1" customHeight="1">
      <c r="A26" s="531" t="s">
        <v>362</v>
      </c>
      <c r="B26" s="175" t="s">
        <v>91</v>
      </c>
      <c r="C26" s="83"/>
      <c r="D26" s="83"/>
      <c r="E26" s="83"/>
      <c r="F26" s="83"/>
      <c r="G26" s="75">
        <f>SUM(H26:K26)</f>
        <v>1.0169999999999999</v>
      </c>
      <c r="H26" s="75"/>
      <c r="I26" s="75"/>
      <c r="J26" s="75"/>
      <c r="K26" s="75">
        <v>1.0169999999999999</v>
      </c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57"/>
      <c r="X26" s="83"/>
      <c r="Y26" s="541" t="s">
        <v>620</v>
      </c>
    </row>
    <row r="27" spans="1:35" ht="24.6" hidden="1" customHeight="1">
      <c r="A27" s="531"/>
      <c r="B27" s="175" t="s">
        <v>287</v>
      </c>
      <c r="C27" s="175">
        <v>176</v>
      </c>
      <c r="D27" s="175" t="s">
        <v>16</v>
      </c>
      <c r="E27" s="175">
        <v>6100404</v>
      </c>
      <c r="F27" s="175">
        <v>414</v>
      </c>
      <c r="G27" s="75">
        <f>G28+G29</f>
        <v>30400</v>
      </c>
      <c r="H27" s="75">
        <f>H28+H29</f>
        <v>0</v>
      </c>
      <c r="I27" s="75">
        <f>I28+I29</f>
        <v>0</v>
      </c>
      <c r="J27" s="75">
        <f>J28+J29</f>
        <v>0</v>
      </c>
      <c r="K27" s="75">
        <f>K28+K29</f>
        <v>30400</v>
      </c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>
        <f>W29</f>
        <v>0</v>
      </c>
      <c r="X27" s="175"/>
      <c r="Y27" s="541"/>
    </row>
    <row r="28" spans="1:35" ht="24.6" hidden="1" customHeight="1">
      <c r="A28" s="531"/>
      <c r="B28" s="175" t="s">
        <v>11</v>
      </c>
      <c r="C28" s="175"/>
      <c r="D28" s="175"/>
      <c r="E28" s="175"/>
      <c r="F28" s="175"/>
      <c r="G28" s="75">
        <f>SUM(H28:K28)</f>
        <v>19762.099999999999</v>
      </c>
      <c r="H28" s="75"/>
      <c r="I28" s="75"/>
      <c r="J28" s="75"/>
      <c r="K28" s="75">
        <v>19762.099999999999</v>
      </c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75"/>
      <c r="Y28" s="541"/>
    </row>
    <row r="29" spans="1:35" ht="18.600000000000001" hidden="1" customHeight="1">
      <c r="A29" s="531"/>
      <c r="B29" s="175" t="s">
        <v>35</v>
      </c>
      <c r="C29" s="175"/>
      <c r="D29" s="175"/>
      <c r="E29" s="175"/>
      <c r="F29" s="175"/>
      <c r="G29" s="75">
        <f>SUM(H29:K29)</f>
        <v>10637.9</v>
      </c>
      <c r="H29" s="75"/>
      <c r="I29" s="75"/>
      <c r="J29" s="75"/>
      <c r="K29" s="75">
        <v>10637.9</v>
      </c>
      <c r="L29" s="135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75"/>
      <c r="Y29" s="541"/>
    </row>
    <row r="30" spans="1:35" ht="24.6" hidden="1" customHeight="1">
      <c r="A30" s="590" t="s">
        <v>14</v>
      </c>
      <c r="B30" s="175" t="s">
        <v>91</v>
      </c>
      <c r="C30" s="175"/>
      <c r="D30" s="175"/>
      <c r="E30" s="175"/>
      <c r="F30" s="175"/>
      <c r="G30" s="75">
        <f>SUM(H30:K30)</f>
        <v>2.665</v>
      </c>
      <c r="H30" s="75"/>
      <c r="I30" s="75"/>
      <c r="J30" s="75"/>
      <c r="K30" s="75">
        <v>2.665</v>
      </c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75"/>
      <c r="Y30" s="541" t="s">
        <v>242</v>
      </c>
    </row>
    <row r="31" spans="1:35" ht="24.6" hidden="1" customHeight="1">
      <c r="A31" s="590"/>
      <c r="B31" s="175" t="s">
        <v>287</v>
      </c>
      <c r="C31" s="175">
        <v>176</v>
      </c>
      <c r="D31" s="175" t="s">
        <v>16</v>
      </c>
      <c r="E31" s="175">
        <v>6100404</v>
      </c>
      <c r="F31" s="175">
        <v>414</v>
      </c>
      <c r="G31" s="75">
        <f>G33+G32</f>
        <v>83700.100000000006</v>
      </c>
      <c r="H31" s="75">
        <f>H33+H32</f>
        <v>0</v>
      </c>
      <c r="I31" s="75">
        <f>I33+I32</f>
        <v>6983.6</v>
      </c>
      <c r="J31" s="75">
        <f>J33+J32</f>
        <v>49504</v>
      </c>
      <c r="K31" s="75">
        <f>K33+K32</f>
        <v>27212.5</v>
      </c>
      <c r="L31" s="135">
        <v>0</v>
      </c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75"/>
      <c r="Y31" s="541"/>
    </row>
    <row r="32" spans="1:35" ht="24.6" hidden="1" customHeight="1">
      <c r="A32" s="590"/>
      <c r="B32" s="175" t="s">
        <v>11</v>
      </c>
      <c r="C32" s="175"/>
      <c r="D32" s="175"/>
      <c r="E32" s="175"/>
      <c r="F32" s="175"/>
      <c r="G32" s="75">
        <f>SUM(H32:K32)</f>
        <v>3000</v>
      </c>
      <c r="H32" s="75"/>
      <c r="I32" s="75"/>
      <c r="J32" s="75"/>
      <c r="K32" s="75">
        <v>3000</v>
      </c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75"/>
      <c r="Y32" s="541"/>
    </row>
    <row r="33" spans="1:25" ht="24" hidden="1" customHeight="1">
      <c r="A33" s="590"/>
      <c r="B33" s="175" t="s">
        <v>35</v>
      </c>
      <c r="C33" s="175"/>
      <c r="D33" s="175"/>
      <c r="E33" s="175"/>
      <c r="F33" s="175"/>
      <c r="G33" s="75">
        <f>SUM(H33:K33)</f>
        <v>80700.100000000006</v>
      </c>
      <c r="H33" s="75"/>
      <c r="I33" s="75">
        <v>6983.6</v>
      </c>
      <c r="J33" s="75">
        <v>49504</v>
      </c>
      <c r="K33" s="75">
        <f>31912.4-2420.7-5279.2</f>
        <v>24212.5</v>
      </c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75"/>
      <c r="Y33" s="541"/>
    </row>
    <row r="34" spans="1:25" ht="24.6" hidden="1" customHeight="1">
      <c r="A34" s="531" t="s">
        <v>15</v>
      </c>
      <c r="B34" s="175" t="s">
        <v>91</v>
      </c>
      <c r="C34" s="175"/>
      <c r="D34" s="175"/>
      <c r="E34" s="175"/>
      <c r="F34" s="175"/>
      <c r="G34" s="75">
        <f>SUM(H34:K34)</f>
        <v>2.0659999999999998</v>
      </c>
      <c r="H34" s="75"/>
      <c r="I34" s="75"/>
      <c r="J34" s="75"/>
      <c r="K34" s="75">
        <v>2.0659999999999998</v>
      </c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75"/>
      <c r="Y34" s="541" t="s">
        <v>243</v>
      </c>
    </row>
    <row r="35" spans="1:25" ht="24.6" hidden="1" customHeight="1">
      <c r="A35" s="531"/>
      <c r="B35" s="175" t="s">
        <v>287</v>
      </c>
      <c r="C35" s="175">
        <v>176</v>
      </c>
      <c r="D35" s="175" t="s">
        <v>16</v>
      </c>
      <c r="E35" s="175">
        <v>6100404</v>
      </c>
      <c r="F35" s="175">
        <v>414</v>
      </c>
      <c r="G35" s="75">
        <f>G37+G36</f>
        <v>64700.100000000006</v>
      </c>
      <c r="H35" s="75">
        <f>H37+H36</f>
        <v>0</v>
      </c>
      <c r="I35" s="75">
        <f>I37+I36</f>
        <v>5431.3</v>
      </c>
      <c r="J35" s="75">
        <f>J37+J36</f>
        <v>38500</v>
      </c>
      <c r="K35" s="75">
        <f>K37+K36</f>
        <v>20768.800000000003</v>
      </c>
      <c r="L35" s="135">
        <v>0</v>
      </c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75"/>
      <c r="Y35" s="541"/>
    </row>
    <row r="36" spans="1:25" ht="24.6" hidden="1" customHeight="1">
      <c r="A36" s="531"/>
      <c r="B36" s="175" t="s">
        <v>11</v>
      </c>
      <c r="C36" s="175"/>
      <c r="D36" s="175"/>
      <c r="E36" s="175"/>
      <c r="F36" s="175"/>
      <c r="G36" s="75">
        <f>SUM(H36:K36)</f>
        <v>1000</v>
      </c>
      <c r="H36" s="75"/>
      <c r="I36" s="75"/>
      <c r="J36" s="75"/>
      <c r="K36" s="75">
        <v>1000</v>
      </c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75"/>
      <c r="Y36" s="541"/>
    </row>
    <row r="37" spans="1:25" ht="24.6" hidden="1" customHeight="1">
      <c r="A37" s="531"/>
      <c r="B37" s="175" t="s">
        <v>35</v>
      </c>
      <c r="C37" s="175"/>
      <c r="D37" s="175"/>
      <c r="E37" s="175"/>
      <c r="F37" s="175"/>
      <c r="G37" s="75">
        <f>SUM(H37:K37)</f>
        <v>63700.100000000006</v>
      </c>
      <c r="H37" s="75"/>
      <c r="I37" s="75">
        <v>5431.3</v>
      </c>
      <c r="J37" s="75">
        <v>38500</v>
      </c>
      <c r="K37" s="75">
        <f>24818.7-1206.6-3843.3</f>
        <v>19768.800000000003</v>
      </c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75"/>
      <c r="Y37" s="541"/>
    </row>
    <row r="38" spans="1:25" ht="24.6" customHeight="1">
      <c r="A38" s="539" t="s">
        <v>120</v>
      </c>
      <c r="B38" s="83" t="s">
        <v>91</v>
      </c>
      <c r="C38" s="83"/>
      <c r="D38" s="83"/>
      <c r="E38" s="83"/>
      <c r="F38" s="83"/>
      <c r="G38" s="81">
        <f>G42</f>
        <v>4.2</v>
      </c>
      <c r="H38" s="81">
        <f t="shared" ref="H38:L38" si="15">H42</f>
        <v>0</v>
      </c>
      <c r="I38" s="81">
        <f t="shared" si="15"/>
        <v>0</v>
      </c>
      <c r="J38" s="81">
        <f t="shared" si="15"/>
        <v>0</v>
      </c>
      <c r="K38" s="81">
        <f t="shared" si="15"/>
        <v>4.2</v>
      </c>
      <c r="L38" s="134">
        <f t="shared" si="15"/>
        <v>0</v>
      </c>
      <c r="M38" s="134"/>
      <c r="N38" s="134"/>
      <c r="O38" s="134"/>
      <c r="P38" s="134"/>
      <c r="Q38" s="134">
        <f>Q42</f>
        <v>3.6</v>
      </c>
      <c r="R38" s="134"/>
      <c r="S38" s="134"/>
      <c r="T38" s="134"/>
      <c r="U38" s="134">
        <v>3.6</v>
      </c>
      <c r="V38" s="134">
        <f t="shared" ref="V38:W38" si="16">V42</f>
        <v>3.6</v>
      </c>
      <c r="W38" s="134">
        <f t="shared" si="16"/>
        <v>3.9</v>
      </c>
      <c r="X38" s="130"/>
      <c r="Y38" s="175"/>
    </row>
    <row r="39" spans="1:25" ht="24.6" customHeight="1">
      <c r="A39" s="539"/>
      <c r="B39" s="83" t="s">
        <v>287</v>
      </c>
      <c r="C39" s="83"/>
      <c r="D39" s="83"/>
      <c r="E39" s="83"/>
      <c r="F39" s="83"/>
      <c r="G39" s="81">
        <f>G40+G41</f>
        <v>111074.5</v>
      </c>
      <c r="H39" s="81">
        <f>H40+H41</f>
        <v>0</v>
      </c>
      <c r="I39" s="81">
        <f>I40+I41</f>
        <v>8263.4</v>
      </c>
      <c r="J39" s="81">
        <f>J40+J41</f>
        <v>58576</v>
      </c>
      <c r="K39" s="81">
        <f>K40+K41</f>
        <v>44235.1</v>
      </c>
      <c r="L39" s="134"/>
      <c r="M39" s="134"/>
      <c r="N39" s="134"/>
      <c r="O39" s="134"/>
      <c r="P39" s="134"/>
      <c r="Q39" s="134">
        <f>Q40+Q41</f>
        <v>144789.70000000001</v>
      </c>
      <c r="R39" s="134"/>
      <c r="S39" s="134"/>
      <c r="T39" s="134">
        <f>T40</f>
        <v>78819.3</v>
      </c>
      <c r="U39" s="134">
        <f>U40</f>
        <v>65970.399999999994</v>
      </c>
      <c r="V39" s="134">
        <f t="shared" ref="V39:W39" si="17">V40+V41</f>
        <v>150000</v>
      </c>
      <c r="W39" s="134">
        <f t="shared" si="17"/>
        <v>180000</v>
      </c>
      <c r="X39" s="175"/>
      <c r="Y39" s="175"/>
    </row>
    <row r="40" spans="1:25" ht="24.6" customHeight="1">
      <c r="A40" s="539"/>
      <c r="B40" s="83" t="s">
        <v>11</v>
      </c>
      <c r="C40" s="83"/>
      <c r="D40" s="83"/>
      <c r="E40" s="83"/>
      <c r="F40" s="83"/>
      <c r="G40" s="81">
        <f t="shared" ref="G40:K41" si="18">G44</f>
        <v>6474.5</v>
      </c>
      <c r="H40" s="81">
        <f t="shared" si="18"/>
        <v>0</v>
      </c>
      <c r="I40" s="81">
        <f t="shared" si="18"/>
        <v>0</v>
      </c>
      <c r="J40" s="81">
        <f t="shared" si="18"/>
        <v>0</v>
      </c>
      <c r="K40" s="81">
        <f t="shared" si="18"/>
        <v>6474.5</v>
      </c>
      <c r="L40" s="134"/>
      <c r="M40" s="134"/>
      <c r="N40" s="134"/>
      <c r="O40" s="134"/>
      <c r="P40" s="134"/>
      <c r="Q40" s="134">
        <f>Q44</f>
        <v>144789.70000000001</v>
      </c>
      <c r="R40" s="134"/>
      <c r="S40" s="134"/>
      <c r="T40" s="134">
        <f>T44</f>
        <v>78819.3</v>
      </c>
      <c r="U40" s="134">
        <f>U44</f>
        <v>65970.399999999994</v>
      </c>
      <c r="V40" s="134">
        <f t="shared" ref="V40:W40" si="19">V44</f>
        <v>150000</v>
      </c>
      <c r="W40" s="134">
        <f t="shared" si="19"/>
        <v>180000</v>
      </c>
      <c r="X40" s="175"/>
      <c r="Y40" s="175"/>
    </row>
    <row r="41" spans="1:25" ht="24.6" customHeight="1">
      <c r="A41" s="539"/>
      <c r="B41" s="83" t="s">
        <v>615</v>
      </c>
      <c r="C41" s="83"/>
      <c r="D41" s="83"/>
      <c r="E41" s="83"/>
      <c r="F41" s="83"/>
      <c r="G41" s="81">
        <f t="shared" si="18"/>
        <v>104600</v>
      </c>
      <c r="H41" s="81">
        <f t="shared" si="18"/>
        <v>0</v>
      </c>
      <c r="I41" s="81">
        <f t="shared" si="18"/>
        <v>8263.4</v>
      </c>
      <c r="J41" s="81">
        <f t="shared" si="18"/>
        <v>58576</v>
      </c>
      <c r="K41" s="81">
        <f t="shared" si="18"/>
        <v>37760.6</v>
      </c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75"/>
      <c r="Y41" s="175"/>
    </row>
    <row r="42" spans="1:25" ht="24.6" customHeight="1">
      <c r="A42" s="553" t="s">
        <v>371</v>
      </c>
      <c r="B42" s="175" t="s">
        <v>91</v>
      </c>
      <c r="C42" s="83"/>
      <c r="D42" s="83"/>
      <c r="E42" s="83"/>
      <c r="F42" s="83"/>
      <c r="G42" s="75">
        <f>H42+I42+J42+K42</f>
        <v>4.2</v>
      </c>
      <c r="H42" s="75"/>
      <c r="I42" s="75"/>
      <c r="J42" s="75"/>
      <c r="K42" s="75">
        <v>4.2</v>
      </c>
      <c r="L42" s="134"/>
      <c r="M42" s="134"/>
      <c r="N42" s="134"/>
      <c r="O42" s="134"/>
      <c r="P42" s="134"/>
      <c r="Q42" s="134">
        <v>3.6</v>
      </c>
      <c r="R42" s="134"/>
      <c r="S42" s="134"/>
      <c r="T42" s="134"/>
      <c r="U42" s="134">
        <v>3.6</v>
      </c>
      <c r="V42" s="134">
        <v>3.6</v>
      </c>
      <c r="W42" s="134">
        <v>3.9</v>
      </c>
      <c r="X42" s="175"/>
      <c r="Y42" s="541" t="s">
        <v>372</v>
      </c>
    </row>
    <row r="43" spans="1:25" ht="24.6" customHeight="1">
      <c r="A43" s="554"/>
      <c r="B43" s="175" t="s">
        <v>287</v>
      </c>
      <c r="C43" s="175"/>
      <c r="D43" s="175"/>
      <c r="E43" s="175"/>
      <c r="F43" s="175"/>
      <c r="G43" s="75">
        <f>G45+G44</f>
        <v>111074.5</v>
      </c>
      <c r="H43" s="75">
        <f>H45+H44</f>
        <v>0</v>
      </c>
      <c r="I43" s="75">
        <f>I45+I44</f>
        <v>8263.4</v>
      </c>
      <c r="J43" s="75">
        <f>J45+J44</f>
        <v>58576</v>
      </c>
      <c r="K43" s="75">
        <f>K45+K44</f>
        <v>44235.1</v>
      </c>
      <c r="L43" s="135"/>
      <c r="M43" s="135"/>
      <c r="N43" s="135"/>
      <c r="O43" s="135"/>
      <c r="P43" s="135"/>
      <c r="Q43" s="135">
        <f>Q44+Q45</f>
        <v>144789.70000000001</v>
      </c>
      <c r="R43" s="135"/>
      <c r="S43" s="135"/>
      <c r="T43" s="135">
        <f>T44</f>
        <v>78819.3</v>
      </c>
      <c r="U43" s="135">
        <f>U44</f>
        <v>65970.399999999994</v>
      </c>
      <c r="V43" s="135">
        <f t="shared" ref="V43:W43" si="20">V44+V45</f>
        <v>150000</v>
      </c>
      <c r="W43" s="135">
        <f t="shared" si="20"/>
        <v>180000</v>
      </c>
      <c r="X43" s="175"/>
      <c r="Y43" s="541"/>
    </row>
    <row r="44" spans="1:25" ht="24.6" customHeight="1">
      <c r="A44" s="554"/>
      <c r="B44" s="175" t="s">
        <v>11</v>
      </c>
      <c r="C44" s="175"/>
      <c r="D44" s="175"/>
      <c r="E44" s="175"/>
      <c r="F44" s="175"/>
      <c r="G44" s="75">
        <f>SUM(H44:K44)</f>
        <v>6474.5</v>
      </c>
      <c r="H44" s="75"/>
      <c r="I44" s="75"/>
      <c r="J44" s="75"/>
      <c r="K44" s="75">
        <v>6474.5</v>
      </c>
      <c r="L44" s="135"/>
      <c r="M44" s="135"/>
      <c r="N44" s="135"/>
      <c r="O44" s="135"/>
      <c r="P44" s="135"/>
      <c r="Q44" s="135">
        <f>T44+U44</f>
        <v>144789.70000000001</v>
      </c>
      <c r="R44" s="135"/>
      <c r="S44" s="135"/>
      <c r="T44" s="135">
        <v>78819.3</v>
      </c>
      <c r="U44" s="135">
        <f>67470.4-1500</f>
        <v>65970.399999999994</v>
      </c>
      <c r="V44" s="135">
        <v>150000</v>
      </c>
      <c r="W44" s="135">
        <v>180000</v>
      </c>
      <c r="X44" s="175"/>
      <c r="Y44" s="541"/>
    </row>
    <row r="45" spans="1:25" ht="24" customHeight="1">
      <c r="A45" s="555"/>
      <c r="B45" s="175" t="s">
        <v>615</v>
      </c>
      <c r="C45" s="175"/>
      <c r="D45" s="175"/>
      <c r="E45" s="175"/>
      <c r="F45" s="175"/>
      <c r="G45" s="75">
        <f>SUM(H45:K45)</f>
        <v>104600</v>
      </c>
      <c r="H45" s="75"/>
      <c r="I45" s="75">
        <v>8263.4</v>
      </c>
      <c r="J45" s="75">
        <v>58576</v>
      </c>
      <c r="K45" s="75">
        <f>37760.6</f>
        <v>37760.6</v>
      </c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75"/>
      <c r="Y45" s="541"/>
    </row>
    <row r="46" spans="1:25" s="56" customFormat="1" ht="24.6" hidden="1" customHeight="1">
      <c r="A46" s="539" t="s">
        <v>100</v>
      </c>
      <c r="B46" s="83" t="s">
        <v>91</v>
      </c>
      <c r="C46" s="83"/>
      <c r="D46" s="83"/>
      <c r="E46" s="83"/>
      <c r="F46" s="83"/>
      <c r="G46" s="81">
        <f>SUM(H46:K46)</f>
        <v>2.68</v>
      </c>
      <c r="H46" s="81">
        <f t="shared" ref="H46:Q46" si="21">SUM(H49)</f>
        <v>0</v>
      </c>
      <c r="I46" s="81">
        <f t="shared" si="21"/>
        <v>0</v>
      </c>
      <c r="J46" s="81">
        <f t="shared" si="21"/>
        <v>0</v>
      </c>
      <c r="K46" s="81">
        <f t="shared" si="21"/>
        <v>2.68</v>
      </c>
      <c r="L46" s="134">
        <f t="shared" si="21"/>
        <v>2.5</v>
      </c>
      <c r="M46" s="134">
        <f t="shared" si="21"/>
        <v>0</v>
      </c>
      <c r="N46" s="134">
        <f t="shared" si="21"/>
        <v>0</v>
      </c>
      <c r="O46" s="134">
        <f t="shared" si="21"/>
        <v>2.5</v>
      </c>
      <c r="P46" s="134"/>
      <c r="Q46" s="134">
        <f t="shared" si="21"/>
        <v>0</v>
      </c>
      <c r="R46" s="134"/>
      <c r="S46" s="134"/>
      <c r="T46" s="134"/>
      <c r="U46" s="134"/>
      <c r="V46" s="134"/>
      <c r="W46" s="134"/>
      <c r="X46" s="175"/>
      <c r="Y46" s="83"/>
    </row>
    <row r="47" spans="1:25" s="56" customFormat="1" ht="24.6" hidden="1" customHeight="1">
      <c r="A47" s="539"/>
      <c r="B47" s="83" t="s">
        <v>287</v>
      </c>
      <c r="C47" s="83"/>
      <c r="D47" s="83"/>
      <c r="E47" s="83"/>
      <c r="F47" s="83"/>
      <c r="G47" s="81">
        <f>G48</f>
        <v>68666.899999999994</v>
      </c>
      <c r="H47" s="81">
        <f t="shared" ref="H47:Q47" si="22">H48</f>
        <v>0</v>
      </c>
      <c r="I47" s="81">
        <f t="shared" si="22"/>
        <v>5545.3</v>
      </c>
      <c r="J47" s="81">
        <f t="shared" si="22"/>
        <v>39308.699999999997</v>
      </c>
      <c r="K47" s="81">
        <f t="shared" si="22"/>
        <v>23812.899999999998</v>
      </c>
      <c r="L47" s="134">
        <f t="shared" si="22"/>
        <v>1754.1</v>
      </c>
      <c r="M47" s="134"/>
      <c r="N47" s="134"/>
      <c r="O47" s="134"/>
      <c r="P47" s="134"/>
      <c r="Q47" s="134">
        <f t="shared" si="22"/>
        <v>0</v>
      </c>
      <c r="R47" s="134"/>
      <c r="S47" s="134"/>
      <c r="T47" s="134"/>
      <c r="U47" s="134"/>
      <c r="V47" s="134"/>
      <c r="W47" s="134"/>
      <c r="X47" s="175"/>
      <c r="Y47" s="83"/>
    </row>
    <row r="48" spans="1:25" s="56" customFormat="1" ht="24.6" hidden="1" customHeight="1">
      <c r="A48" s="539"/>
      <c r="B48" s="83" t="s">
        <v>35</v>
      </c>
      <c r="C48" s="83"/>
      <c r="D48" s="83"/>
      <c r="E48" s="83"/>
      <c r="F48" s="83"/>
      <c r="G48" s="81">
        <f>G51</f>
        <v>68666.899999999994</v>
      </c>
      <c r="H48" s="81">
        <f>H51</f>
        <v>0</v>
      </c>
      <c r="I48" s="81">
        <f>I51</f>
        <v>5545.3</v>
      </c>
      <c r="J48" s="81">
        <f>J51</f>
        <v>39308.699999999997</v>
      </c>
      <c r="K48" s="81">
        <f>K51</f>
        <v>23812.899999999998</v>
      </c>
      <c r="L48" s="134">
        <f>L50</f>
        <v>1754.1</v>
      </c>
      <c r="M48" s="134">
        <f t="shared" ref="M48:P48" si="23">M50</f>
        <v>0</v>
      </c>
      <c r="N48" s="134">
        <f t="shared" si="23"/>
        <v>0</v>
      </c>
      <c r="O48" s="135">
        <f t="shared" si="23"/>
        <v>1754.1</v>
      </c>
      <c r="P48" s="134">
        <f t="shared" si="23"/>
        <v>0</v>
      </c>
      <c r="Q48" s="134"/>
      <c r="R48" s="134"/>
      <c r="S48" s="134"/>
      <c r="T48" s="134"/>
      <c r="U48" s="134"/>
      <c r="V48" s="134"/>
      <c r="W48" s="134"/>
      <c r="X48" s="175"/>
      <c r="Y48" s="83"/>
    </row>
    <row r="49" spans="1:34" ht="24.6" hidden="1" customHeight="1">
      <c r="A49" s="584" t="s">
        <v>20</v>
      </c>
      <c r="B49" s="175" t="s">
        <v>91</v>
      </c>
      <c r="C49" s="175">
        <v>176</v>
      </c>
      <c r="D49" s="175" t="s">
        <v>16</v>
      </c>
      <c r="E49" s="175">
        <v>6100404</v>
      </c>
      <c r="F49" s="175">
        <v>414</v>
      </c>
      <c r="G49" s="75">
        <f>SUM(H49:K49)</f>
        <v>2.68</v>
      </c>
      <c r="H49" s="75">
        <f>H50</f>
        <v>0</v>
      </c>
      <c r="I49" s="75"/>
      <c r="J49" s="75"/>
      <c r="K49" s="75">
        <f>2.5+0.18</f>
        <v>2.68</v>
      </c>
      <c r="L49" s="135">
        <v>2.5</v>
      </c>
      <c r="M49" s="135"/>
      <c r="N49" s="135"/>
      <c r="O49" s="135">
        <v>2.5</v>
      </c>
      <c r="P49" s="135"/>
      <c r="Q49" s="135">
        <v>0</v>
      </c>
      <c r="R49" s="135"/>
      <c r="S49" s="135"/>
      <c r="T49" s="135"/>
      <c r="U49" s="135"/>
      <c r="V49" s="135"/>
      <c r="W49" s="135"/>
      <c r="X49" s="175"/>
      <c r="Y49" s="541" t="s">
        <v>325</v>
      </c>
    </row>
    <row r="50" spans="1:34" ht="24.6" hidden="1" customHeight="1">
      <c r="A50" s="584"/>
      <c r="B50" s="175" t="s">
        <v>287</v>
      </c>
      <c r="C50" s="175"/>
      <c r="D50" s="175"/>
      <c r="E50" s="175"/>
      <c r="F50" s="175"/>
      <c r="G50" s="75">
        <f>G51</f>
        <v>68666.899999999994</v>
      </c>
      <c r="H50" s="75">
        <f>H51</f>
        <v>0</v>
      </c>
      <c r="I50" s="75">
        <f>I51</f>
        <v>5545.3</v>
      </c>
      <c r="J50" s="75">
        <f>J51</f>
        <v>39308.699999999997</v>
      </c>
      <c r="K50" s="75">
        <f>K51</f>
        <v>23812.899999999998</v>
      </c>
      <c r="L50" s="135">
        <f>L51</f>
        <v>1754.1</v>
      </c>
      <c r="M50" s="135">
        <f t="shared" ref="M50:O50" si="24">M51</f>
        <v>0</v>
      </c>
      <c r="N50" s="135">
        <f t="shared" si="24"/>
        <v>0</v>
      </c>
      <c r="O50" s="135">
        <f t="shared" si="24"/>
        <v>1754.1</v>
      </c>
      <c r="P50" s="135"/>
      <c r="Q50" s="135"/>
      <c r="R50" s="135"/>
      <c r="S50" s="135"/>
      <c r="T50" s="135"/>
      <c r="U50" s="135"/>
      <c r="V50" s="135"/>
      <c r="W50" s="135"/>
      <c r="X50" s="175"/>
      <c r="Y50" s="541"/>
    </row>
    <row r="51" spans="1:34" ht="24.6" hidden="1" customHeight="1">
      <c r="A51" s="584"/>
      <c r="B51" s="175" t="s">
        <v>35</v>
      </c>
      <c r="C51" s="175"/>
      <c r="D51" s="175"/>
      <c r="E51" s="175"/>
      <c r="F51" s="175"/>
      <c r="G51" s="75">
        <f>SUM(H51:K51)</f>
        <v>68666.899999999994</v>
      </c>
      <c r="H51" s="75"/>
      <c r="I51" s="75">
        <v>5545.3</v>
      </c>
      <c r="J51" s="75">
        <v>39308.699999999997</v>
      </c>
      <c r="K51" s="75">
        <f>25340.1-1527.2</f>
        <v>23812.899999999998</v>
      </c>
      <c r="L51" s="135">
        <v>1754.1</v>
      </c>
      <c r="M51" s="135"/>
      <c r="N51" s="135"/>
      <c r="O51" s="135">
        <v>1754.1</v>
      </c>
      <c r="P51" s="135"/>
      <c r="Q51" s="135"/>
      <c r="R51" s="135"/>
      <c r="S51" s="135"/>
      <c r="T51" s="135"/>
      <c r="U51" s="135"/>
      <c r="V51" s="135"/>
      <c r="W51" s="135"/>
      <c r="X51" s="175"/>
      <c r="Y51" s="541"/>
    </row>
    <row r="52" spans="1:34" s="56" customFormat="1" ht="0.6" hidden="1" customHeight="1">
      <c r="A52" s="585" t="s">
        <v>101</v>
      </c>
      <c r="B52" s="83" t="s">
        <v>91</v>
      </c>
      <c r="C52" s="83"/>
      <c r="D52" s="83"/>
      <c r="E52" s="83"/>
      <c r="F52" s="83"/>
      <c r="G52" s="81">
        <f>SUM(H52:K52)</f>
        <v>2.0510000000000002</v>
      </c>
      <c r="H52" s="81">
        <f>H56+H60+H63+H66</f>
        <v>0</v>
      </c>
      <c r="I52" s="81">
        <f t="shared" ref="I52:P52" si="25">I56+I60+I63+I66</f>
        <v>0</v>
      </c>
      <c r="J52" s="81">
        <f t="shared" si="25"/>
        <v>0</v>
      </c>
      <c r="K52" s="81">
        <f t="shared" si="25"/>
        <v>2.0510000000000002</v>
      </c>
      <c r="L52" s="134">
        <f t="shared" si="25"/>
        <v>1.75</v>
      </c>
      <c r="M52" s="134">
        <f t="shared" si="25"/>
        <v>0</v>
      </c>
      <c r="N52" s="134">
        <f t="shared" si="25"/>
        <v>0</v>
      </c>
      <c r="O52" s="134">
        <f t="shared" si="25"/>
        <v>0</v>
      </c>
      <c r="P52" s="134">
        <f t="shared" si="25"/>
        <v>1.75</v>
      </c>
      <c r="Q52" s="134">
        <f>Q60+Q66+Q70+Q74+Q78+Q82</f>
        <v>0</v>
      </c>
      <c r="R52" s="134"/>
      <c r="S52" s="134"/>
      <c r="T52" s="134"/>
      <c r="U52" s="134"/>
      <c r="V52" s="134">
        <f t="shared" ref="V52:W52" si="26">V60+V66+V70+V74+V78+V82</f>
        <v>0</v>
      </c>
      <c r="W52" s="134">
        <f t="shared" si="26"/>
        <v>0</v>
      </c>
      <c r="X52" s="175"/>
      <c r="Y52" s="83"/>
    </row>
    <row r="53" spans="1:34" s="56" customFormat="1" ht="30.6" hidden="1" customHeight="1">
      <c r="A53" s="586"/>
      <c r="B53" s="83" t="s">
        <v>287</v>
      </c>
      <c r="C53" s="83"/>
      <c r="D53" s="83"/>
      <c r="E53" s="83"/>
      <c r="F53" s="83"/>
      <c r="G53" s="81">
        <f t="shared" ref="G53:K53" si="27">G54+G55</f>
        <v>41968.4</v>
      </c>
      <c r="H53" s="81">
        <f t="shared" si="27"/>
        <v>0</v>
      </c>
      <c r="I53" s="81">
        <f t="shared" si="27"/>
        <v>0</v>
      </c>
      <c r="J53" s="81">
        <f t="shared" si="27"/>
        <v>0</v>
      </c>
      <c r="K53" s="81">
        <f t="shared" si="27"/>
        <v>41968.4</v>
      </c>
      <c r="L53" s="134">
        <f>L54+L55</f>
        <v>46500</v>
      </c>
      <c r="M53" s="134">
        <f t="shared" ref="M53:P53" si="28">M54+M55</f>
        <v>0</v>
      </c>
      <c r="N53" s="134">
        <f t="shared" si="28"/>
        <v>0</v>
      </c>
      <c r="O53" s="134">
        <f t="shared" si="28"/>
        <v>0</v>
      </c>
      <c r="P53" s="134">
        <f t="shared" si="28"/>
        <v>46500</v>
      </c>
      <c r="Q53" s="134">
        <f>Q61+Q67+Q71+Q75+Q79+Q83</f>
        <v>0</v>
      </c>
      <c r="R53" s="134"/>
      <c r="S53" s="134"/>
      <c r="T53" s="134"/>
      <c r="U53" s="134"/>
      <c r="V53" s="134">
        <f t="shared" ref="V53:W53" si="29">V61+V67+V71+V75+V79+V83</f>
        <v>0</v>
      </c>
      <c r="W53" s="134">
        <f t="shared" si="29"/>
        <v>0</v>
      </c>
      <c r="X53" s="175"/>
      <c r="Y53" s="83"/>
    </row>
    <row r="54" spans="1:34" s="56" customFormat="1" ht="24.6" hidden="1" customHeight="1">
      <c r="A54" s="586"/>
      <c r="B54" s="83" t="s">
        <v>11</v>
      </c>
      <c r="C54" s="83"/>
      <c r="D54" s="83"/>
      <c r="E54" s="83"/>
      <c r="F54" s="83"/>
      <c r="G54" s="81">
        <f t="shared" ref="G54:K54" si="30">G58+G68</f>
        <v>20514.900000000001</v>
      </c>
      <c r="H54" s="81">
        <f t="shared" si="30"/>
        <v>0</v>
      </c>
      <c r="I54" s="81">
        <f t="shared" si="30"/>
        <v>0</v>
      </c>
      <c r="J54" s="81">
        <f t="shared" si="30"/>
        <v>0</v>
      </c>
      <c r="K54" s="81">
        <f t="shared" si="30"/>
        <v>20514.900000000001</v>
      </c>
      <c r="L54" s="134">
        <f>L58+L68</f>
        <v>37000</v>
      </c>
      <c r="M54" s="134">
        <f t="shared" ref="M54:P54" si="31">M58+M68</f>
        <v>0</v>
      </c>
      <c r="N54" s="134">
        <f t="shared" si="31"/>
        <v>0</v>
      </c>
      <c r="O54" s="134">
        <f t="shared" si="31"/>
        <v>0</v>
      </c>
      <c r="P54" s="134">
        <f t="shared" si="31"/>
        <v>37000</v>
      </c>
      <c r="Q54" s="134">
        <f>Q68+Q72+Q76+Q80+Q84</f>
        <v>0</v>
      </c>
      <c r="R54" s="134"/>
      <c r="S54" s="134"/>
      <c r="T54" s="134"/>
      <c r="U54" s="134"/>
      <c r="V54" s="134">
        <f t="shared" ref="V54:W54" si="32">V68+V72+V76+V80+V84</f>
        <v>0</v>
      </c>
      <c r="W54" s="134">
        <f t="shared" si="32"/>
        <v>0</v>
      </c>
      <c r="X54" s="175"/>
      <c r="Y54" s="83"/>
    </row>
    <row r="55" spans="1:34" s="56" customFormat="1" ht="23.4" hidden="1" customHeight="1">
      <c r="A55" s="587"/>
      <c r="B55" s="83" t="s">
        <v>35</v>
      </c>
      <c r="C55" s="83"/>
      <c r="D55" s="83"/>
      <c r="E55" s="83"/>
      <c r="F55" s="83"/>
      <c r="G55" s="81">
        <f t="shared" ref="G55:K55" si="33">G59+G62+G65</f>
        <v>21453.5</v>
      </c>
      <c r="H55" s="81">
        <f t="shared" si="33"/>
        <v>0</v>
      </c>
      <c r="I55" s="81">
        <f t="shared" si="33"/>
        <v>0</v>
      </c>
      <c r="J55" s="81">
        <f t="shared" si="33"/>
        <v>0</v>
      </c>
      <c r="K55" s="81">
        <f t="shared" si="33"/>
        <v>21453.5</v>
      </c>
      <c r="L55" s="134">
        <f>L59+L62+L65+L69</f>
        <v>9500</v>
      </c>
      <c r="M55" s="134">
        <f>M59+M62+M65+M69</f>
        <v>0</v>
      </c>
      <c r="N55" s="134">
        <f>N59+N62+N65+N69</f>
        <v>0</v>
      </c>
      <c r="O55" s="134">
        <f>O59+O62+O65+O69</f>
        <v>0</v>
      </c>
      <c r="P55" s="134">
        <f>P59+P62+P65+P69</f>
        <v>9500</v>
      </c>
      <c r="Q55" s="134">
        <f>Q62+Q69+Q73+Q77+Q81+Q85</f>
        <v>0</v>
      </c>
      <c r="R55" s="134"/>
      <c r="S55" s="134"/>
      <c r="T55" s="134"/>
      <c r="U55" s="134"/>
      <c r="V55" s="134">
        <f t="shared" ref="V55:W55" si="34">V62+V69+V73+V77+V81+V85</f>
        <v>0</v>
      </c>
      <c r="W55" s="134">
        <f t="shared" si="34"/>
        <v>0</v>
      </c>
      <c r="X55" s="175"/>
      <c r="Y55" s="83"/>
    </row>
    <row r="56" spans="1:34" s="56" customFormat="1" ht="24.9" hidden="1" customHeight="1">
      <c r="A56" s="531" t="s">
        <v>18</v>
      </c>
      <c r="B56" s="175" t="s">
        <v>91</v>
      </c>
      <c r="C56" s="83"/>
      <c r="D56" s="83"/>
      <c r="E56" s="83"/>
      <c r="F56" s="83"/>
      <c r="G56" s="75">
        <f>SUM(H56:K56)</f>
        <v>2.0510000000000002</v>
      </c>
      <c r="H56" s="75"/>
      <c r="I56" s="75"/>
      <c r="J56" s="75"/>
      <c r="K56" s="75">
        <v>2.0510000000000002</v>
      </c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75"/>
      <c r="Y56" s="83"/>
    </row>
    <row r="57" spans="1:34" ht="24.9" hidden="1" customHeight="1">
      <c r="A57" s="531"/>
      <c r="B57" s="175" t="s">
        <v>287</v>
      </c>
      <c r="C57" s="175">
        <v>176</v>
      </c>
      <c r="D57" s="175" t="s">
        <v>16</v>
      </c>
      <c r="E57" s="175">
        <v>6100404</v>
      </c>
      <c r="F57" s="175">
        <v>414</v>
      </c>
      <c r="G57" s="75">
        <f>G58+G59</f>
        <v>41968.4</v>
      </c>
      <c r="H57" s="75">
        <f>H58+H59</f>
        <v>0</v>
      </c>
      <c r="I57" s="75">
        <f>I58+I59</f>
        <v>0</v>
      </c>
      <c r="J57" s="75">
        <f>J58+J59</f>
        <v>0</v>
      </c>
      <c r="K57" s="75">
        <f>K58+K59</f>
        <v>41968.4</v>
      </c>
      <c r="L57" s="135">
        <v>0</v>
      </c>
      <c r="M57" s="135"/>
      <c r="N57" s="135"/>
      <c r="O57" s="135"/>
      <c r="P57" s="135"/>
      <c r="Q57" s="135">
        <v>0</v>
      </c>
      <c r="R57" s="135"/>
      <c r="S57" s="135"/>
      <c r="T57" s="135"/>
      <c r="U57" s="135"/>
      <c r="V57" s="135">
        <v>0</v>
      </c>
      <c r="W57" s="135"/>
      <c r="X57" s="175"/>
      <c r="Y57" s="541" t="s">
        <v>240</v>
      </c>
    </row>
    <row r="58" spans="1:34" ht="24.9" hidden="1" customHeight="1">
      <c r="A58" s="531"/>
      <c r="B58" s="175" t="s">
        <v>11</v>
      </c>
      <c r="C58" s="175"/>
      <c r="D58" s="175"/>
      <c r="E58" s="175"/>
      <c r="F58" s="175"/>
      <c r="G58" s="75">
        <f>SUM(H58:K58)</f>
        <v>20514.900000000001</v>
      </c>
      <c r="H58" s="75"/>
      <c r="I58" s="75"/>
      <c r="J58" s="75"/>
      <c r="K58" s="75">
        <v>20514.900000000001</v>
      </c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75"/>
      <c r="Y58" s="541"/>
    </row>
    <row r="59" spans="1:34" ht="18.75" hidden="1" customHeight="1">
      <c r="A59" s="531"/>
      <c r="B59" s="175" t="s">
        <v>35</v>
      </c>
      <c r="C59" s="175"/>
      <c r="D59" s="175"/>
      <c r="E59" s="175"/>
      <c r="F59" s="175"/>
      <c r="G59" s="75">
        <f>SUM(H59:K59)</f>
        <v>21453.5</v>
      </c>
      <c r="H59" s="75"/>
      <c r="I59" s="75"/>
      <c r="J59" s="75"/>
      <c r="K59" s="75">
        <v>21453.5</v>
      </c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75"/>
      <c r="Y59" s="541"/>
      <c r="AA59" s="59"/>
      <c r="AC59" s="59"/>
    </row>
    <row r="60" spans="1:34" ht="0.6" hidden="1" customHeight="1">
      <c r="A60" s="531" t="s">
        <v>375</v>
      </c>
      <c r="B60" s="175" t="s">
        <v>91</v>
      </c>
      <c r="C60" s="175"/>
      <c r="D60" s="175"/>
      <c r="E60" s="175"/>
      <c r="F60" s="175"/>
      <c r="G60" s="75"/>
      <c r="H60" s="75"/>
      <c r="I60" s="75"/>
      <c r="J60" s="75"/>
      <c r="K60" s="75"/>
      <c r="L60" s="135"/>
      <c r="M60" s="135"/>
      <c r="N60" s="135"/>
      <c r="O60" s="135"/>
      <c r="P60" s="135"/>
      <c r="Q60" s="157">
        <v>0</v>
      </c>
      <c r="R60" s="157"/>
      <c r="S60" s="157"/>
      <c r="T60" s="157"/>
      <c r="U60" s="157"/>
      <c r="V60" s="135"/>
      <c r="W60" s="135"/>
      <c r="X60" s="175"/>
      <c r="Y60" s="541" t="s">
        <v>617</v>
      </c>
    </row>
    <row r="61" spans="1:34" ht="24.6" hidden="1" customHeight="1">
      <c r="A61" s="531"/>
      <c r="B61" s="175" t="s">
        <v>287</v>
      </c>
      <c r="C61" s="175"/>
      <c r="D61" s="175"/>
      <c r="E61" s="175"/>
      <c r="F61" s="175"/>
      <c r="G61" s="75">
        <f>G62</f>
        <v>0</v>
      </c>
      <c r="H61" s="75">
        <f t="shared" ref="H61:V61" si="35">H62</f>
        <v>0</v>
      </c>
      <c r="I61" s="75">
        <f t="shared" si="35"/>
        <v>0</v>
      </c>
      <c r="J61" s="75">
        <f t="shared" si="35"/>
        <v>0</v>
      </c>
      <c r="K61" s="75">
        <f t="shared" si="35"/>
        <v>0</v>
      </c>
      <c r="L61" s="135">
        <f t="shared" si="35"/>
        <v>0</v>
      </c>
      <c r="M61" s="135"/>
      <c r="N61" s="135"/>
      <c r="O61" s="135"/>
      <c r="P61" s="135"/>
      <c r="Q61" s="135">
        <f t="shared" si="35"/>
        <v>0</v>
      </c>
      <c r="R61" s="135"/>
      <c r="S61" s="135"/>
      <c r="T61" s="135"/>
      <c r="U61" s="135"/>
      <c r="V61" s="135">
        <f t="shared" si="35"/>
        <v>0</v>
      </c>
      <c r="W61" s="135"/>
      <c r="X61" s="175"/>
      <c r="Y61" s="541"/>
      <c r="AA61" s="59"/>
      <c r="AH61" s="59" t="e">
        <f>#REF!-AC13</f>
        <v>#REF!</v>
      </c>
    </row>
    <row r="62" spans="1:34" ht="24.6" hidden="1" customHeight="1">
      <c r="A62" s="531"/>
      <c r="B62" s="175" t="s">
        <v>35</v>
      </c>
      <c r="C62" s="175"/>
      <c r="D62" s="175"/>
      <c r="E62" s="175"/>
      <c r="F62" s="175"/>
      <c r="G62" s="75"/>
      <c r="H62" s="75"/>
      <c r="I62" s="75"/>
      <c r="J62" s="75"/>
      <c r="K62" s="75"/>
      <c r="L62" s="135">
        <v>0</v>
      </c>
      <c r="M62" s="135"/>
      <c r="N62" s="135"/>
      <c r="O62" s="135"/>
      <c r="P62" s="135"/>
      <c r="Q62" s="135">
        <v>0</v>
      </c>
      <c r="R62" s="135"/>
      <c r="S62" s="135"/>
      <c r="T62" s="135"/>
      <c r="U62" s="135"/>
      <c r="V62" s="135"/>
      <c r="W62" s="135"/>
      <c r="X62" s="175"/>
      <c r="Y62" s="541"/>
    </row>
    <row r="63" spans="1:34" ht="24.9" hidden="1" customHeight="1">
      <c r="A63" s="531" t="s">
        <v>259</v>
      </c>
      <c r="B63" s="175" t="s">
        <v>91</v>
      </c>
      <c r="C63" s="175"/>
      <c r="D63" s="175"/>
      <c r="E63" s="175"/>
      <c r="F63" s="175"/>
      <c r="G63" s="75"/>
      <c r="H63" s="75"/>
      <c r="I63" s="75"/>
      <c r="J63" s="75"/>
      <c r="K63" s="7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75"/>
      <c r="Y63" s="541" t="s">
        <v>260</v>
      </c>
      <c r="AA63" s="59"/>
    </row>
    <row r="64" spans="1:34" ht="24.9" hidden="1" customHeight="1">
      <c r="A64" s="531"/>
      <c r="B64" s="175" t="s">
        <v>287</v>
      </c>
      <c r="C64" s="175"/>
      <c r="D64" s="175"/>
      <c r="E64" s="175"/>
      <c r="F64" s="175"/>
      <c r="G64" s="75">
        <f>G65</f>
        <v>0</v>
      </c>
      <c r="H64" s="75">
        <f>H65</f>
        <v>0</v>
      </c>
      <c r="I64" s="75">
        <f>I65</f>
        <v>0</v>
      </c>
      <c r="J64" s="75">
        <f>J65</f>
        <v>0</v>
      </c>
      <c r="K64" s="75">
        <f>K65</f>
        <v>0</v>
      </c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75"/>
      <c r="Y64" s="541"/>
    </row>
    <row r="65" spans="1:25" ht="24.9" hidden="1" customHeight="1">
      <c r="A65" s="531"/>
      <c r="B65" s="175" t="s">
        <v>35</v>
      </c>
      <c r="C65" s="175"/>
      <c r="D65" s="175"/>
      <c r="E65" s="175"/>
      <c r="F65" s="175"/>
      <c r="G65" s="75"/>
      <c r="H65" s="75"/>
      <c r="I65" s="75"/>
      <c r="J65" s="75"/>
      <c r="K65" s="7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75"/>
      <c r="Y65" s="541"/>
    </row>
    <row r="66" spans="1:25" ht="0.6" hidden="1" customHeight="1">
      <c r="A66" s="553" t="s">
        <v>295</v>
      </c>
      <c r="B66" s="175" t="s">
        <v>91</v>
      </c>
      <c r="C66" s="175"/>
      <c r="D66" s="175"/>
      <c r="E66" s="175"/>
      <c r="F66" s="175"/>
      <c r="G66" s="75"/>
      <c r="H66" s="75"/>
      <c r="I66" s="75"/>
      <c r="J66" s="75"/>
      <c r="K66" s="75"/>
      <c r="L66" s="135">
        <f>1.4+0.35</f>
        <v>1.75</v>
      </c>
      <c r="M66" s="135"/>
      <c r="N66" s="135"/>
      <c r="O66" s="135"/>
      <c r="P66" s="135">
        <f>1.4+0.35</f>
        <v>1.75</v>
      </c>
      <c r="Q66" s="157">
        <v>0</v>
      </c>
      <c r="R66" s="157"/>
      <c r="S66" s="157"/>
      <c r="T66" s="157"/>
      <c r="U66" s="157"/>
      <c r="V66" s="135"/>
      <c r="W66" s="135"/>
      <c r="X66" s="175"/>
      <c r="Y66" s="533" t="s">
        <v>469</v>
      </c>
    </row>
    <row r="67" spans="1:25" ht="24.6" hidden="1" customHeight="1">
      <c r="A67" s="554"/>
      <c r="B67" s="175" t="s">
        <v>287</v>
      </c>
      <c r="C67" s="175"/>
      <c r="D67" s="175"/>
      <c r="E67" s="175"/>
      <c r="F67" s="175"/>
      <c r="G67" s="75"/>
      <c r="H67" s="75">
        <f>H68</f>
        <v>0</v>
      </c>
      <c r="I67" s="75">
        <f t="shared" ref="I67:V67" si="36">I68</f>
        <v>0</v>
      </c>
      <c r="J67" s="75">
        <f t="shared" si="36"/>
        <v>0</v>
      </c>
      <c r="K67" s="75">
        <f t="shared" si="36"/>
        <v>0</v>
      </c>
      <c r="L67" s="135">
        <f t="shared" si="36"/>
        <v>37000</v>
      </c>
      <c r="M67" s="135">
        <f t="shared" si="36"/>
        <v>0</v>
      </c>
      <c r="N67" s="135">
        <f t="shared" si="36"/>
        <v>0</v>
      </c>
      <c r="O67" s="135">
        <f t="shared" si="36"/>
        <v>0</v>
      </c>
      <c r="P67" s="135">
        <f t="shared" si="36"/>
        <v>37000</v>
      </c>
      <c r="Q67" s="135">
        <f>Q69</f>
        <v>0</v>
      </c>
      <c r="R67" s="135"/>
      <c r="S67" s="135"/>
      <c r="T67" s="135"/>
      <c r="U67" s="135"/>
      <c r="V67" s="135">
        <f t="shared" si="36"/>
        <v>0</v>
      </c>
      <c r="W67" s="135"/>
      <c r="X67" s="175"/>
      <c r="Y67" s="534"/>
    </row>
    <row r="68" spans="1:25" ht="24.6" hidden="1" customHeight="1">
      <c r="A68" s="554"/>
      <c r="B68" s="175" t="s">
        <v>11</v>
      </c>
      <c r="C68" s="175"/>
      <c r="D68" s="175"/>
      <c r="E68" s="175"/>
      <c r="F68" s="175"/>
      <c r="G68" s="75"/>
      <c r="H68" s="75"/>
      <c r="I68" s="75"/>
      <c r="J68" s="75"/>
      <c r="K68" s="75"/>
      <c r="L68" s="135">
        <v>37000</v>
      </c>
      <c r="M68" s="135"/>
      <c r="N68" s="135"/>
      <c r="O68" s="135"/>
      <c r="P68" s="135">
        <v>37000</v>
      </c>
      <c r="Q68" s="135"/>
      <c r="R68" s="135"/>
      <c r="S68" s="135"/>
      <c r="T68" s="135"/>
      <c r="U68" s="135"/>
      <c r="V68" s="135"/>
      <c r="W68" s="135"/>
      <c r="X68" s="175"/>
      <c r="Y68" s="534"/>
    </row>
    <row r="69" spans="1:25" ht="24.6" hidden="1" customHeight="1">
      <c r="A69" s="555"/>
      <c r="B69" s="175" t="s">
        <v>35</v>
      </c>
      <c r="C69" s="175"/>
      <c r="D69" s="175"/>
      <c r="E69" s="175"/>
      <c r="F69" s="175"/>
      <c r="G69" s="75"/>
      <c r="H69" s="75"/>
      <c r="I69" s="75"/>
      <c r="J69" s="75"/>
      <c r="K69" s="75"/>
      <c r="L69" s="135">
        <f>46500-37000</f>
        <v>9500</v>
      </c>
      <c r="M69" s="135"/>
      <c r="N69" s="135"/>
      <c r="O69" s="135"/>
      <c r="P69" s="135">
        <v>9500</v>
      </c>
      <c r="Q69" s="135">
        <v>0</v>
      </c>
      <c r="R69" s="135"/>
      <c r="S69" s="135"/>
      <c r="T69" s="135"/>
      <c r="U69" s="135"/>
      <c r="V69" s="135"/>
      <c r="W69" s="135"/>
      <c r="X69" s="175"/>
      <c r="Y69" s="535"/>
    </row>
    <row r="70" spans="1:25" ht="24.6" hidden="1" customHeight="1">
      <c r="A70" s="553" t="s">
        <v>603</v>
      </c>
      <c r="B70" s="175" t="s">
        <v>91</v>
      </c>
      <c r="C70" s="175"/>
      <c r="D70" s="175"/>
      <c r="E70" s="175"/>
      <c r="F70" s="175"/>
      <c r="G70" s="75"/>
      <c r="H70" s="75"/>
      <c r="I70" s="75"/>
      <c r="J70" s="75"/>
      <c r="K70" s="7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75"/>
      <c r="Y70" s="533" t="s">
        <v>463</v>
      </c>
    </row>
    <row r="71" spans="1:25" ht="24.6" hidden="1" customHeight="1">
      <c r="A71" s="554"/>
      <c r="B71" s="175" t="s">
        <v>287</v>
      </c>
      <c r="C71" s="175"/>
      <c r="D71" s="175"/>
      <c r="E71" s="175"/>
      <c r="F71" s="175"/>
      <c r="G71" s="75"/>
      <c r="H71" s="75"/>
      <c r="I71" s="75"/>
      <c r="J71" s="75"/>
      <c r="K71" s="7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>
        <f>W72+W73</f>
        <v>0</v>
      </c>
      <c r="X71" s="175"/>
      <c r="Y71" s="534"/>
    </row>
    <row r="72" spans="1:25" ht="24.6" hidden="1" customHeight="1">
      <c r="A72" s="554"/>
      <c r="B72" s="175" t="s">
        <v>11</v>
      </c>
      <c r="C72" s="175"/>
      <c r="D72" s="175"/>
      <c r="E72" s="175"/>
      <c r="F72" s="175"/>
      <c r="G72" s="75"/>
      <c r="H72" s="75"/>
      <c r="I72" s="75"/>
      <c r="J72" s="75"/>
      <c r="K72" s="7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75"/>
      <c r="Y72" s="534"/>
    </row>
    <row r="73" spans="1:25" ht="24.6" hidden="1" customHeight="1">
      <c r="A73" s="555"/>
      <c r="B73" s="177" t="s">
        <v>35</v>
      </c>
      <c r="C73" s="177"/>
      <c r="D73" s="177"/>
      <c r="E73" s="177"/>
      <c r="F73" s="177"/>
      <c r="G73" s="143"/>
      <c r="H73" s="143"/>
      <c r="I73" s="143"/>
      <c r="J73" s="143"/>
      <c r="K73" s="143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77"/>
      <c r="Y73" s="535"/>
    </row>
    <row r="74" spans="1:25" ht="24.6" hidden="1" customHeight="1">
      <c r="A74" s="553" t="s">
        <v>470</v>
      </c>
      <c r="B74" s="177" t="s">
        <v>91</v>
      </c>
      <c r="C74" s="177"/>
      <c r="D74" s="177"/>
      <c r="E74" s="177"/>
      <c r="F74" s="177"/>
      <c r="G74" s="143"/>
      <c r="H74" s="143"/>
      <c r="I74" s="143"/>
      <c r="J74" s="143"/>
      <c r="K74" s="143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92"/>
      <c r="X74" s="177"/>
      <c r="Y74" s="533" t="s">
        <v>621</v>
      </c>
    </row>
    <row r="75" spans="1:25" ht="24.6" hidden="1" customHeight="1">
      <c r="A75" s="554"/>
      <c r="B75" s="177" t="s">
        <v>287</v>
      </c>
      <c r="C75" s="177"/>
      <c r="D75" s="177"/>
      <c r="E75" s="177"/>
      <c r="F75" s="177"/>
      <c r="G75" s="143"/>
      <c r="H75" s="143"/>
      <c r="I75" s="143"/>
      <c r="J75" s="143"/>
      <c r="K75" s="143"/>
      <c r="L75" s="144"/>
      <c r="M75" s="144"/>
      <c r="N75" s="144"/>
      <c r="O75" s="144"/>
      <c r="P75" s="144"/>
      <c r="Q75" s="144"/>
      <c r="R75" s="144"/>
      <c r="S75" s="144"/>
      <c r="T75" s="144"/>
      <c r="U75" s="144"/>
      <c r="V75" s="144"/>
      <c r="W75" s="144">
        <f>W77</f>
        <v>0</v>
      </c>
      <c r="X75" s="177"/>
      <c r="Y75" s="534"/>
    </row>
    <row r="76" spans="1:25" ht="24.6" hidden="1" customHeight="1">
      <c r="A76" s="554"/>
      <c r="B76" s="177" t="s">
        <v>11</v>
      </c>
      <c r="C76" s="177"/>
      <c r="D76" s="177"/>
      <c r="E76" s="177"/>
      <c r="F76" s="177"/>
      <c r="G76" s="143"/>
      <c r="H76" s="143"/>
      <c r="I76" s="143"/>
      <c r="J76" s="143"/>
      <c r="K76" s="143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77"/>
      <c r="Y76" s="534"/>
    </row>
    <row r="77" spans="1:25" ht="0.6" hidden="1" customHeight="1">
      <c r="A77" s="555"/>
      <c r="B77" s="177" t="s">
        <v>35</v>
      </c>
      <c r="C77" s="177"/>
      <c r="D77" s="177"/>
      <c r="E77" s="177"/>
      <c r="F77" s="177"/>
      <c r="G77" s="143"/>
      <c r="H77" s="143"/>
      <c r="I77" s="143"/>
      <c r="J77" s="143"/>
      <c r="K77" s="143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77"/>
      <c r="Y77" s="535"/>
    </row>
    <row r="78" spans="1:25" ht="1.2" hidden="1" customHeight="1">
      <c r="A78" s="553" t="s">
        <v>376</v>
      </c>
      <c r="B78" s="177" t="s">
        <v>91</v>
      </c>
      <c r="C78" s="177"/>
      <c r="D78" s="177"/>
      <c r="E78" s="177"/>
      <c r="F78" s="177"/>
      <c r="G78" s="143"/>
      <c r="H78" s="143"/>
      <c r="I78" s="143"/>
      <c r="J78" s="143"/>
      <c r="K78" s="143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92"/>
      <c r="X78" s="177"/>
      <c r="Y78" s="178"/>
    </row>
    <row r="79" spans="1:25" ht="24.6" hidden="1" customHeight="1">
      <c r="A79" s="554"/>
      <c r="B79" s="177" t="s">
        <v>287</v>
      </c>
      <c r="C79" s="177"/>
      <c r="D79" s="177"/>
      <c r="E79" s="177"/>
      <c r="F79" s="177"/>
      <c r="G79" s="143"/>
      <c r="H79" s="143"/>
      <c r="I79" s="143"/>
      <c r="J79" s="143"/>
      <c r="K79" s="143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>
        <f>V80+V81</f>
        <v>0</v>
      </c>
      <c r="W79" s="144">
        <f>W81</f>
        <v>0</v>
      </c>
      <c r="X79" s="177"/>
      <c r="Y79" s="178" t="s">
        <v>377</v>
      </c>
    </row>
    <row r="80" spans="1:25" ht="24.6" hidden="1" customHeight="1">
      <c r="A80" s="554"/>
      <c r="B80" s="177" t="s">
        <v>11</v>
      </c>
      <c r="C80" s="177"/>
      <c r="D80" s="177"/>
      <c r="E80" s="177"/>
      <c r="F80" s="177"/>
      <c r="G80" s="143"/>
      <c r="H80" s="143"/>
      <c r="I80" s="143"/>
      <c r="J80" s="143"/>
      <c r="K80" s="143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>
        <v>0</v>
      </c>
      <c r="W80" s="144"/>
      <c r="X80" s="177"/>
      <c r="Y80" s="178"/>
    </row>
    <row r="81" spans="1:26" ht="24.6" hidden="1" customHeight="1">
      <c r="A81" s="555"/>
      <c r="B81" s="177" t="s">
        <v>35</v>
      </c>
      <c r="C81" s="177"/>
      <c r="D81" s="177"/>
      <c r="E81" s="177"/>
      <c r="F81" s="177"/>
      <c r="G81" s="143"/>
      <c r="H81" s="143"/>
      <c r="I81" s="143"/>
      <c r="J81" s="143"/>
      <c r="K81" s="143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77"/>
      <c r="Y81" s="178"/>
    </row>
    <row r="82" spans="1:26" ht="0.6" hidden="1" customHeight="1">
      <c r="A82" s="553" t="s">
        <v>374</v>
      </c>
      <c r="B82" s="177" t="s">
        <v>91</v>
      </c>
      <c r="C82" s="177"/>
      <c r="D82" s="177"/>
      <c r="E82" s="177"/>
      <c r="F82" s="177"/>
      <c r="G82" s="143"/>
      <c r="H82" s="143"/>
      <c r="I82" s="143"/>
      <c r="J82" s="143"/>
      <c r="K82" s="143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92"/>
      <c r="X82" s="177"/>
      <c r="Y82" s="533" t="s">
        <v>373</v>
      </c>
    </row>
    <row r="83" spans="1:26" ht="24.6" hidden="1" customHeight="1">
      <c r="A83" s="554"/>
      <c r="B83" s="177" t="s">
        <v>287</v>
      </c>
      <c r="C83" s="177"/>
      <c r="D83" s="177"/>
      <c r="E83" s="177"/>
      <c r="F83" s="177"/>
      <c r="G83" s="143"/>
      <c r="H83" s="143"/>
      <c r="I83" s="143"/>
      <c r="J83" s="143"/>
      <c r="K83" s="143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>
        <f>W85</f>
        <v>0</v>
      </c>
      <c r="X83" s="177"/>
      <c r="Y83" s="534"/>
    </row>
    <row r="84" spans="1:26" ht="24.6" hidden="1" customHeight="1">
      <c r="A84" s="554"/>
      <c r="B84" s="177" t="s">
        <v>11</v>
      </c>
      <c r="C84" s="177"/>
      <c r="D84" s="177"/>
      <c r="E84" s="177"/>
      <c r="F84" s="177"/>
      <c r="G84" s="143"/>
      <c r="H84" s="143"/>
      <c r="I84" s="143"/>
      <c r="J84" s="143"/>
      <c r="K84" s="143"/>
      <c r="L84" s="144"/>
      <c r="M84" s="144"/>
      <c r="N84" s="144"/>
      <c r="O84" s="144"/>
      <c r="P84" s="144"/>
      <c r="Q84" s="144"/>
      <c r="R84" s="144"/>
      <c r="S84" s="144"/>
      <c r="T84" s="144"/>
      <c r="U84" s="144"/>
      <c r="V84" s="144"/>
      <c r="W84" s="144"/>
      <c r="X84" s="177"/>
      <c r="Y84" s="534"/>
    </row>
    <row r="85" spans="1:26" ht="24.6" hidden="1" customHeight="1">
      <c r="A85" s="555"/>
      <c r="B85" s="175" t="s">
        <v>35</v>
      </c>
      <c r="C85" s="175"/>
      <c r="D85" s="175"/>
      <c r="E85" s="175"/>
      <c r="F85" s="175"/>
      <c r="G85" s="75"/>
      <c r="H85" s="75"/>
      <c r="I85" s="75"/>
      <c r="J85" s="75"/>
      <c r="K85" s="7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75"/>
      <c r="Y85" s="535"/>
    </row>
    <row r="86" spans="1:26" s="56" customFormat="1" ht="24.9" customHeight="1">
      <c r="A86" s="550" t="s">
        <v>102</v>
      </c>
      <c r="B86" s="131" t="s">
        <v>91</v>
      </c>
      <c r="C86" s="131"/>
      <c r="D86" s="131"/>
      <c r="E86" s="131"/>
      <c r="F86" s="131"/>
      <c r="G86" s="145">
        <f>SUM(H86:K86)</f>
        <v>1.6819999999999999</v>
      </c>
      <c r="H86" s="145">
        <f t="shared" ref="H86:V86" si="37">H90+H94</f>
        <v>0</v>
      </c>
      <c r="I86" s="145">
        <f t="shared" si="37"/>
        <v>0</v>
      </c>
      <c r="J86" s="145">
        <f t="shared" si="37"/>
        <v>0</v>
      </c>
      <c r="K86" s="145">
        <f t="shared" si="37"/>
        <v>1.6819999999999999</v>
      </c>
      <c r="L86" s="146">
        <f t="shared" si="37"/>
        <v>0</v>
      </c>
      <c r="M86" s="146"/>
      <c r="N86" s="146"/>
      <c r="O86" s="146"/>
      <c r="P86" s="146"/>
      <c r="Q86" s="146">
        <f t="shared" si="37"/>
        <v>2.1</v>
      </c>
      <c r="R86" s="146"/>
      <c r="S86" s="146"/>
      <c r="T86" s="146">
        <v>2.1</v>
      </c>
      <c r="U86" s="146"/>
      <c r="V86" s="146">
        <f t="shared" si="37"/>
        <v>0</v>
      </c>
      <c r="W86" s="146"/>
      <c r="X86" s="179"/>
      <c r="Y86" s="153"/>
    </row>
    <row r="87" spans="1:26" s="56" customFormat="1" ht="27.75" customHeight="1">
      <c r="A87" s="551"/>
      <c r="B87" s="83" t="s">
        <v>287</v>
      </c>
      <c r="C87" s="83"/>
      <c r="D87" s="83"/>
      <c r="E87" s="83"/>
      <c r="F87" s="83"/>
      <c r="G87" s="81">
        <f t="shared" ref="G87:V87" si="38">G88+G89</f>
        <v>49973.100000000006</v>
      </c>
      <c r="H87" s="81">
        <f t="shared" si="38"/>
        <v>0</v>
      </c>
      <c r="I87" s="81">
        <f t="shared" si="38"/>
        <v>4056.6</v>
      </c>
      <c r="J87" s="81">
        <f t="shared" si="38"/>
        <v>28756</v>
      </c>
      <c r="K87" s="81">
        <f t="shared" si="38"/>
        <v>17160.500000000004</v>
      </c>
      <c r="L87" s="134">
        <f t="shared" si="38"/>
        <v>0</v>
      </c>
      <c r="M87" s="134"/>
      <c r="N87" s="134"/>
      <c r="O87" s="134"/>
      <c r="P87" s="134"/>
      <c r="Q87" s="134">
        <f t="shared" si="38"/>
        <v>68154.48</v>
      </c>
      <c r="R87" s="134"/>
      <c r="S87" s="134"/>
      <c r="T87" s="134">
        <f>T88+T89</f>
        <v>68154.48</v>
      </c>
      <c r="U87" s="134"/>
      <c r="V87" s="134">
        <f t="shared" si="38"/>
        <v>0</v>
      </c>
      <c r="W87" s="134"/>
      <c r="X87" s="175"/>
      <c r="Y87" s="83"/>
    </row>
    <row r="88" spans="1:26" s="56" customFormat="1" ht="24.9" customHeight="1">
      <c r="A88" s="551"/>
      <c r="B88" s="83" t="s">
        <v>11</v>
      </c>
      <c r="C88" s="83"/>
      <c r="D88" s="83"/>
      <c r="E88" s="83"/>
      <c r="F88" s="83"/>
      <c r="G88" s="81">
        <f t="shared" ref="G88:K89" si="39">G92</f>
        <v>2000</v>
      </c>
      <c r="H88" s="81">
        <f t="shared" si="39"/>
        <v>0</v>
      </c>
      <c r="I88" s="81">
        <f t="shared" si="39"/>
        <v>0</v>
      </c>
      <c r="J88" s="81">
        <f t="shared" si="39"/>
        <v>0</v>
      </c>
      <c r="K88" s="81">
        <f t="shared" si="39"/>
        <v>2000</v>
      </c>
      <c r="L88" s="134">
        <f>L96</f>
        <v>0</v>
      </c>
      <c r="M88" s="134"/>
      <c r="N88" s="134"/>
      <c r="O88" s="134"/>
      <c r="P88" s="134"/>
      <c r="Q88" s="134">
        <f>Q96</f>
        <v>34772</v>
      </c>
      <c r="R88" s="134"/>
      <c r="S88" s="134"/>
      <c r="T88" s="134">
        <f>T96</f>
        <v>34772</v>
      </c>
      <c r="U88" s="134"/>
      <c r="V88" s="134">
        <f>V96</f>
        <v>0</v>
      </c>
      <c r="W88" s="134"/>
      <c r="X88" s="175"/>
      <c r="Y88" s="83"/>
    </row>
    <row r="89" spans="1:26" s="56" customFormat="1" ht="24.9" customHeight="1">
      <c r="A89" s="552"/>
      <c r="B89" s="83" t="s">
        <v>35</v>
      </c>
      <c r="C89" s="83"/>
      <c r="D89" s="83"/>
      <c r="E89" s="83"/>
      <c r="F89" s="83"/>
      <c r="G89" s="81">
        <f t="shared" si="39"/>
        <v>47973.100000000006</v>
      </c>
      <c r="H89" s="81">
        <f t="shared" si="39"/>
        <v>0</v>
      </c>
      <c r="I89" s="81">
        <f t="shared" si="39"/>
        <v>4056.6</v>
      </c>
      <c r="J89" s="81">
        <f t="shared" si="39"/>
        <v>28756</v>
      </c>
      <c r="K89" s="81">
        <f t="shared" si="39"/>
        <v>15160.500000000004</v>
      </c>
      <c r="L89" s="134">
        <f>L93+L97</f>
        <v>0</v>
      </c>
      <c r="M89" s="134"/>
      <c r="N89" s="134"/>
      <c r="O89" s="134"/>
      <c r="P89" s="134"/>
      <c r="Q89" s="134">
        <f>Q93+Q97</f>
        <v>33382.479999999996</v>
      </c>
      <c r="R89" s="134"/>
      <c r="S89" s="134"/>
      <c r="T89" s="134">
        <f>T97</f>
        <v>33382.479999999996</v>
      </c>
      <c r="U89" s="134"/>
      <c r="V89" s="134">
        <f>V93+V97</f>
        <v>0</v>
      </c>
      <c r="W89" s="134"/>
      <c r="X89" s="175"/>
      <c r="Y89" s="83"/>
    </row>
    <row r="90" spans="1:26" s="56" customFormat="1" ht="24.9" hidden="1" customHeight="1">
      <c r="A90" s="531" t="s">
        <v>19</v>
      </c>
      <c r="B90" s="175" t="s">
        <v>91</v>
      </c>
      <c r="C90" s="83"/>
      <c r="D90" s="83"/>
      <c r="E90" s="83"/>
      <c r="F90" s="83"/>
      <c r="G90" s="75">
        <f>SUM(H90:K90)</f>
        <v>1.6819999999999999</v>
      </c>
      <c r="H90" s="81"/>
      <c r="I90" s="81"/>
      <c r="J90" s="81"/>
      <c r="K90" s="75">
        <v>1.6819999999999999</v>
      </c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75"/>
      <c r="Y90" s="541" t="s">
        <v>282</v>
      </c>
    </row>
    <row r="91" spans="1:26" ht="24.9" hidden="1" customHeight="1">
      <c r="A91" s="531"/>
      <c r="B91" s="175" t="s">
        <v>287</v>
      </c>
      <c r="C91" s="175">
        <v>176</v>
      </c>
      <c r="D91" s="175" t="s">
        <v>16</v>
      </c>
      <c r="E91" s="175">
        <v>6100404</v>
      </c>
      <c r="F91" s="175">
        <v>414</v>
      </c>
      <c r="G91" s="75">
        <f>G93+G92</f>
        <v>49973.100000000006</v>
      </c>
      <c r="H91" s="75">
        <f>H93+H92</f>
        <v>0</v>
      </c>
      <c r="I91" s="75">
        <f>I93+I92</f>
        <v>4056.6</v>
      </c>
      <c r="J91" s="75">
        <f>J93+J92</f>
        <v>28756</v>
      </c>
      <c r="K91" s="75">
        <f>K93+K92</f>
        <v>17160.500000000004</v>
      </c>
      <c r="L91" s="135">
        <f>L93</f>
        <v>0</v>
      </c>
      <c r="M91" s="135"/>
      <c r="N91" s="135"/>
      <c r="O91" s="135"/>
      <c r="P91" s="135"/>
      <c r="Q91" s="135">
        <f>Q93</f>
        <v>0</v>
      </c>
      <c r="R91" s="135"/>
      <c r="S91" s="135"/>
      <c r="T91" s="135"/>
      <c r="U91" s="135"/>
      <c r="V91" s="135"/>
      <c r="W91" s="135"/>
      <c r="X91" s="175"/>
      <c r="Y91" s="541"/>
    </row>
    <row r="92" spans="1:26" ht="24.9" hidden="1" customHeight="1">
      <c r="A92" s="531"/>
      <c r="B92" s="175" t="s">
        <v>11</v>
      </c>
      <c r="C92" s="175"/>
      <c r="D92" s="175"/>
      <c r="E92" s="175"/>
      <c r="F92" s="175"/>
      <c r="G92" s="75">
        <f>SUM(H92:K92)</f>
        <v>2000</v>
      </c>
      <c r="H92" s="75"/>
      <c r="I92" s="75"/>
      <c r="J92" s="75"/>
      <c r="K92" s="75">
        <v>2000</v>
      </c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75"/>
      <c r="Y92" s="541"/>
    </row>
    <row r="93" spans="1:26" ht="24.9" hidden="1" customHeight="1">
      <c r="A93" s="531"/>
      <c r="B93" s="175" t="s">
        <v>35</v>
      </c>
      <c r="C93" s="175"/>
      <c r="D93" s="175"/>
      <c r="E93" s="175"/>
      <c r="F93" s="175"/>
      <c r="G93" s="75">
        <f>SUM(H93:K93)</f>
        <v>47973.100000000006</v>
      </c>
      <c r="H93" s="75"/>
      <c r="I93" s="75">
        <v>4056.6</v>
      </c>
      <c r="J93" s="75">
        <v>28756</v>
      </c>
      <c r="K93" s="75">
        <f>18537.4-498.6-2878.3</f>
        <v>15160.500000000004</v>
      </c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75"/>
      <c r="Y93" s="541"/>
    </row>
    <row r="94" spans="1:26" ht="24.9" customHeight="1">
      <c r="A94" s="531" t="s">
        <v>654</v>
      </c>
      <c r="B94" s="175" t="s">
        <v>91</v>
      </c>
      <c r="C94" s="175"/>
      <c r="D94" s="175"/>
      <c r="E94" s="175"/>
      <c r="F94" s="175"/>
      <c r="G94" s="75">
        <f>SUM(H94:K94)</f>
        <v>0</v>
      </c>
      <c r="H94" s="75"/>
      <c r="I94" s="75"/>
      <c r="J94" s="75"/>
      <c r="K94" s="75"/>
      <c r="L94" s="135"/>
      <c r="M94" s="135"/>
      <c r="N94" s="135"/>
      <c r="O94" s="135"/>
      <c r="P94" s="135"/>
      <c r="Q94" s="135">
        <v>2.1</v>
      </c>
      <c r="R94" s="135"/>
      <c r="S94" s="135"/>
      <c r="T94" s="135">
        <v>2.1</v>
      </c>
      <c r="U94" s="135"/>
      <c r="V94" s="135"/>
      <c r="W94" s="135"/>
      <c r="X94" s="175"/>
      <c r="Y94" s="175"/>
    </row>
    <row r="95" spans="1:26" ht="29.25" customHeight="1">
      <c r="A95" s="531"/>
      <c r="B95" s="175" t="s">
        <v>287</v>
      </c>
      <c r="C95" s="175">
        <v>176</v>
      </c>
      <c r="D95" s="175" t="s">
        <v>16</v>
      </c>
      <c r="E95" s="175">
        <v>6100404</v>
      </c>
      <c r="F95" s="175">
        <v>414</v>
      </c>
      <c r="G95" s="75">
        <f>G96+G97</f>
        <v>0</v>
      </c>
      <c r="H95" s="75">
        <f t="shared" ref="H95:Q95" si="40">H96+H97</f>
        <v>0</v>
      </c>
      <c r="I95" s="75">
        <f t="shared" si="40"/>
        <v>0</v>
      </c>
      <c r="J95" s="75">
        <f t="shared" si="40"/>
        <v>0</v>
      </c>
      <c r="K95" s="75">
        <f t="shared" si="40"/>
        <v>0</v>
      </c>
      <c r="L95" s="135">
        <f t="shared" si="40"/>
        <v>0</v>
      </c>
      <c r="M95" s="135"/>
      <c r="N95" s="135"/>
      <c r="O95" s="135"/>
      <c r="P95" s="135"/>
      <c r="Q95" s="135">
        <f t="shared" si="40"/>
        <v>68154.48</v>
      </c>
      <c r="R95" s="135"/>
      <c r="S95" s="135"/>
      <c r="T95" s="135">
        <f>T96+T97</f>
        <v>68154.48</v>
      </c>
      <c r="U95" s="135"/>
      <c r="V95" s="135"/>
      <c r="W95" s="135"/>
      <c r="X95" s="175"/>
      <c r="Y95" s="541" t="s">
        <v>440</v>
      </c>
      <c r="Z95" s="167"/>
    </row>
    <row r="96" spans="1:26" ht="24.9" customHeight="1">
      <c r="A96" s="531"/>
      <c r="B96" s="175" t="s">
        <v>11</v>
      </c>
      <c r="C96" s="175"/>
      <c r="D96" s="175"/>
      <c r="E96" s="175"/>
      <c r="F96" s="175"/>
      <c r="G96" s="75"/>
      <c r="H96" s="75"/>
      <c r="I96" s="75"/>
      <c r="J96" s="75"/>
      <c r="K96" s="75"/>
      <c r="L96" s="135"/>
      <c r="M96" s="135"/>
      <c r="N96" s="135"/>
      <c r="O96" s="135"/>
      <c r="P96" s="135"/>
      <c r="Q96" s="135">
        <f>T96</f>
        <v>34772</v>
      </c>
      <c r="R96" s="135"/>
      <c r="S96" s="135"/>
      <c r="T96" s="135">
        <f>44411.4-9639.4</f>
        <v>34772</v>
      </c>
      <c r="U96" s="135"/>
      <c r="V96" s="135"/>
      <c r="W96" s="135"/>
      <c r="X96" s="175"/>
      <c r="Y96" s="541"/>
      <c r="Z96" s="167"/>
    </row>
    <row r="97" spans="1:25" ht="24.9" customHeight="1">
      <c r="A97" s="531"/>
      <c r="B97" s="175" t="s">
        <v>35</v>
      </c>
      <c r="C97" s="175"/>
      <c r="D97" s="175"/>
      <c r="E97" s="175"/>
      <c r="F97" s="175"/>
      <c r="G97" s="75"/>
      <c r="H97" s="75"/>
      <c r="I97" s="75"/>
      <c r="J97" s="75"/>
      <c r="K97" s="75"/>
      <c r="L97" s="135"/>
      <c r="M97" s="135"/>
      <c r="N97" s="135"/>
      <c r="O97" s="135"/>
      <c r="P97" s="135"/>
      <c r="Q97" s="135">
        <f>T97</f>
        <v>33382.479999999996</v>
      </c>
      <c r="R97" s="135"/>
      <c r="S97" s="135"/>
      <c r="T97" s="135">
        <f>23742.3+9639.4+0.78</f>
        <v>33382.479999999996</v>
      </c>
      <c r="U97" s="135"/>
      <c r="V97" s="135"/>
      <c r="W97" s="135"/>
      <c r="X97" s="175"/>
      <c r="Y97" s="541"/>
    </row>
    <row r="98" spans="1:25" ht="24.9" customHeight="1">
      <c r="A98" s="553" t="s">
        <v>361</v>
      </c>
      <c r="B98" s="175" t="s">
        <v>91</v>
      </c>
      <c r="C98" s="175"/>
      <c r="D98" s="175"/>
      <c r="E98" s="175"/>
      <c r="F98" s="175"/>
      <c r="G98" s="75"/>
      <c r="H98" s="75"/>
      <c r="I98" s="75"/>
      <c r="J98" s="75"/>
      <c r="K98" s="7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75"/>
      <c r="Y98" s="533" t="s">
        <v>365</v>
      </c>
    </row>
    <row r="99" spans="1:25" ht="24.9" customHeight="1">
      <c r="A99" s="554"/>
      <c r="B99" s="175" t="s">
        <v>287</v>
      </c>
      <c r="C99" s="175"/>
      <c r="D99" s="175"/>
      <c r="E99" s="175"/>
      <c r="F99" s="175"/>
      <c r="G99" s="75"/>
      <c r="H99" s="75"/>
      <c r="I99" s="75"/>
      <c r="J99" s="75"/>
      <c r="K99" s="7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75"/>
      <c r="Y99" s="534"/>
    </row>
    <row r="100" spans="1:25" ht="24.9" customHeight="1">
      <c r="A100" s="554"/>
      <c r="B100" s="175" t="s">
        <v>11</v>
      </c>
      <c r="C100" s="175"/>
      <c r="D100" s="175"/>
      <c r="E100" s="175"/>
      <c r="F100" s="175"/>
      <c r="G100" s="75"/>
      <c r="H100" s="75"/>
      <c r="I100" s="75"/>
      <c r="J100" s="75"/>
      <c r="K100" s="7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75"/>
      <c r="Y100" s="534"/>
    </row>
    <row r="101" spans="1:25" ht="24.9" customHeight="1">
      <c r="A101" s="555"/>
      <c r="B101" s="175" t="s">
        <v>615</v>
      </c>
      <c r="C101" s="175"/>
      <c r="D101" s="175"/>
      <c r="E101" s="175"/>
      <c r="F101" s="175"/>
      <c r="G101" s="75"/>
      <c r="H101" s="75"/>
      <c r="I101" s="75"/>
      <c r="J101" s="75"/>
      <c r="K101" s="7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75"/>
      <c r="Y101" s="535"/>
    </row>
    <row r="102" spans="1:25" s="56" customFormat="1" ht="24.9" customHeight="1">
      <c r="A102" s="539" t="s">
        <v>103</v>
      </c>
      <c r="B102" s="83" t="s">
        <v>91</v>
      </c>
      <c r="C102" s="83"/>
      <c r="D102" s="83"/>
      <c r="E102" s="83"/>
      <c r="F102" s="83"/>
      <c r="G102" s="81">
        <f>G115+G118+G122+G126</f>
        <v>0.91</v>
      </c>
      <c r="H102" s="81">
        <f t="shared" ref="H102:K102" si="41">H115+H118+H122+H126</f>
        <v>0</v>
      </c>
      <c r="I102" s="81">
        <f t="shared" si="41"/>
        <v>0</v>
      </c>
      <c r="J102" s="81">
        <f t="shared" si="41"/>
        <v>0</v>
      </c>
      <c r="K102" s="81">
        <f t="shared" si="41"/>
        <v>0.91</v>
      </c>
      <c r="L102" s="134">
        <f>L115+L118+L122+L126+L112+L109</f>
        <v>2.1419999999999999</v>
      </c>
      <c r="M102" s="134">
        <f t="shared" ref="M102:P102" si="42">M115+M118+M122+M126</f>
        <v>0</v>
      </c>
      <c r="N102" s="134">
        <f t="shared" si="42"/>
        <v>0</v>
      </c>
      <c r="O102" s="134">
        <f t="shared" si="42"/>
        <v>0</v>
      </c>
      <c r="P102" s="134">
        <f t="shared" si="42"/>
        <v>2.1419999999999999</v>
      </c>
      <c r="Q102" s="134">
        <f>Q115+Q118+Q126</f>
        <v>0.1</v>
      </c>
      <c r="R102" s="134">
        <f t="shared" ref="R102:T102" si="43">R115+R118+R126</f>
        <v>0</v>
      </c>
      <c r="S102" s="134">
        <f t="shared" si="43"/>
        <v>0</v>
      </c>
      <c r="T102" s="134">
        <f t="shared" si="43"/>
        <v>0.1</v>
      </c>
      <c r="U102" s="134"/>
      <c r="V102" s="134">
        <f t="shared" ref="V102:W102" si="44">V115+V118+V126</f>
        <v>0</v>
      </c>
      <c r="W102" s="134">
        <f t="shared" si="44"/>
        <v>0</v>
      </c>
      <c r="X102" s="175"/>
      <c r="Y102" s="83"/>
    </row>
    <row r="103" spans="1:25" s="56" customFormat="1" ht="29.25" customHeight="1">
      <c r="A103" s="539"/>
      <c r="B103" s="83" t="s">
        <v>287</v>
      </c>
      <c r="C103" s="83"/>
      <c r="D103" s="83"/>
      <c r="E103" s="83"/>
      <c r="F103" s="83"/>
      <c r="G103" s="81">
        <f>G104+G105</f>
        <v>86253.9</v>
      </c>
      <c r="H103" s="81">
        <f t="shared" ref="H103:W103" si="45">H104+H105</f>
        <v>62029</v>
      </c>
      <c r="I103" s="81">
        <f t="shared" si="45"/>
        <v>1913.7</v>
      </c>
      <c r="J103" s="81">
        <f t="shared" si="45"/>
        <v>13565.9</v>
      </c>
      <c r="K103" s="81">
        <f t="shared" si="45"/>
        <v>8745.2999999999993</v>
      </c>
      <c r="L103" s="134">
        <f t="shared" si="45"/>
        <v>43938.8</v>
      </c>
      <c r="M103" s="134">
        <f t="shared" si="45"/>
        <v>0</v>
      </c>
      <c r="N103" s="134">
        <f t="shared" si="45"/>
        <v>0</v>
      </c>
      <c r="O103" s="134">
        <f t="shared" si="45"/>
        <v>0</v>
      </c>
      <c r="P103" s="134">
        <f t="shared" si="45"/>
        <v>43938.8</v>
      </c>
      <c r="Q103" s="134">
        <f t="shared" si="45"/>
        <v>9309.4</v>
      </c>
      <c r="R103" s="134">
        <f t="shared" si="45"/>
        <v>0</v>
      </c>
      <c r="S103" s="134">
        <f t="shared" si="45"/>
        <v>0</v>
      </c>
      <c r="T103" s="134">
        <f t="shared" si="45"/>
        <v>9309.4</v>
      </c>
      <c r="U103" s="134"/>
      <c r="V103" s="134">
        <f t="shared" si="45"/>
        <v>0</v>
      </c>
      <c r="W103" s="134">
        <f t="shared" si="45"/>
        <v>0</v>
      </c>
      <c r="X103" s="175"/>
      <c r="Y103" s="83"/>
    </row>
    <row r="104" spans="1:25" s="56" customFormat="1" ht="24.9" customHeight="1">
      <c r="A104" s="539"/>
      <c r="B104" s="83" t="s">
        <v>11</v>
      </c>
      <c r="C104" s="83"/>
      <c r="D104" s="83"/>
      <c r="E104" s="83"/>
      <c r="F104" s="83"/>
      <c r="G104" s="81">
        <f>SUM(H104:K104)</f>
        <v>62029</v>
      </c>
      <c r="H104" s="81">
        <f>H117+H120+H124+H128</f>
        <v>62029</v>
      </c>
      <c r="I104" s="81">
        <f t="shared" ref="I104:K104" si="46">I117+I120+I124+I128</f>
        <v>0</v>
      </c>
      <c r="J104" s="81">
        <f t="shared" si="46"/>
        <v>0</v>
      </c>
      <c r="K104" s="81">
        <f t="shared" si="46"/>
        <v>0</v>
      </c>
      <c r="L104" s="134">
        <f>L120+L124+L128</f>
        <v>19384.8</v>
      </c>
      <c r="M104" s="134">
        <f t="shared" ref="M104:P104" si="47">M120+M124+M128</f>
        <v>0</v>
      </c>
      <c r="N104" s="134">
        <f t="shared" si="47"/>
        <v>0</v>
      </c>
      <c r="O104" s="134">
        <f t="shared" si="47"/>
        <v>0</v>
      </c>
      <c r="P104" s="134">
        <f t="shared" si="47"/>
        <v>19384.8</v>
      </c>
      <c r="Q104" s="134">
        <f>Q117+Q120+Q128</f>
        <v>9309.4</v>
      </c>
      <c r="R104" s="134">
        <f t="shared" ref="R104:T104" si="48">R117+R120+R128</f>
        <v>0</v>
      </c>
      <c r="S104" s="134">
        <f t="shared" si="48"/>
        <v>0</v>
      </c>
      <c r="T104" s="134">
        <f t="shared" si="48"/>
        <v>9309.4</v>
      </c>
      <c r="U104" s="134"/>
      <c r="V104" s="134">
        <f t="shared" ref="V104:W104" si="49">V117+V120+V128</f>
        <v>0</v>
      </c>
      <c r="W104" s="134">
        <f t="shared" si="49"/>
        <v>0</v>
      </c>
      <c r="X104" s="175"/>
      <c r="Y104" s="83"/>
    </row>
    <row r="105" spans="1:25" s="56" customFormat="1" ht="24.6" customHeight="1">
      <c r="A105" s="539"/>
      <c r="B105" s="83" t="s">
        <v>615</v>
      </c>
      <c r="C105" s="83"/>
      <c r="D105" s="83"/>
      <c r="E105" s="83"/>
      <c r="F105" s="83"/>
      <c r="G105" s="81">
        <f>SUM(H105:K105)</f>
        <v>24224.9</v>
      </c>
      <c r="H105" s="81">
        <f>H121+H125+H129</f>
        <v>0</v>
      </c>
      <c r="I105" s="81">
        <f>I121+I125+I129</f>
        <v>1913.7</v>
      </c>
      <c r="J105" s="81">
        <f>J121+J125+J129</f>
        <v>13565.9</v>
      </c>
      <c r="K105" s="81">
        <f>K121+K125+K129</f>
        <v>8745.2999999999993</v>
      </c>
      <c r="L105" s="134">
        <f>L121+L125+L129+L117</f>
        <v>24554</v>
      </c>
      <c r="M105" s="134">
        <f t="shared" ref="M105:P105" si="50">M121+M125+M129+M117</f>
        <v>0</v>
      </c>
      <c r="N105" s="134">
        <f t="shared" si="50"/>
        <v>0</v>
      </c>
      <c r="O105" s="134">
        <f t="shared" si="50"/>
        <v>0</v>
      </c>
      <c r="P105" s="134">
        <f t="shared" si="50"/>
        <v>24554</v>
      </c>
      <c r="Q105" s="134">
        <f>Q121+Q129</f>
        <v>0</v>
      </c>
      <c r="R105" s="134"/>
      <c r="S105" s="134"/>
      <c r="T105" s="134"/>
      <c r="U105" s="134"/>
      <c r="V105" s="134">
        <f t="shared" ref="V105:W105" si="51">V121+V129</f>
        <v>0</v>
      </c>
      <c r="W105" s="134">
        <f t="shared" si="51"/>
        <v>0</v>
      </c>
      <c r="X105" s="175"/>
      <c r="Y105" s="83"/>
    </row>
    <row r="106" spans="1:25" s="56" customFormat="1" ht="24.9" hidden="1" customHeight="1">
      <c r="A106" s="581" t="s">
        <v>355</v>
      </c>
      <c r="B106" s="175" t="s">
        <v>91</v>
      </c>
      <c r="C106" s="83"/>
      <c r="D106" s="83"/>
      <c r="E106" s="83"/>
      <c r="F106" s="83"/>
      <c r="G106" s="81">
        <f>SUM(H106:K106)</f>
        <v>0</v>
      </c>
      <c r="H106" s="81"/>
      <c r="I106" s="81"/>
      <c r="J106" s="81"/>
      <c r="K106" s="81"/>
      <c r="L106" s="135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75"/>
      <c r="Y106" s="533" t="s">
        <v>32</v>
      </c>
    </row>
    <row r="107" spans="1:25" ht="24.9" hidden="1" customHeight="1">
      <c r="A107" s="582"/>
      <c r="B107" s="175" t="s">
        <v>287</v>
      </c>
      <c r="C107" s="175">
        <v>176</v>
      </c>
      <c r="D107" s="175" t="s">
        <v>16</v>
      </c>
      <c r="E107" s="175">
        <v>6100404</v>
      </c>
      <c r="F107" s="175">
        <v>414</v>
      </c>
      <c r="G107" s="75">
        <f t="shared" ref="G107:Q107" si="52">G108</f>
        <v>62029</v>
      </c>
      <c r="H107" s="75">
        <f t="shared" si="52"/>
        <v>62029</v>
      </c>
      <c r="I107" s="75">
        <f t="shared" si="52"/>
        <v>0</v>
      </c>
      <c r="J107" s="75">
        <f t="shared" si="52"/>
        <v>0</v>
      </c>
      <c r="K107" s="75">
        <f t="shared" si="52"/>
        <v>0</v>
      </c>
      <c r="L107" s="135">
        <f t="shared" si="52"/>
        <v>0</v>
      </c>
      <c r="M107" s="135">
        <f t="shared" si="52"/>
        <v>0</v>
      </c>
      <c r="N107" s="135">
        <f t="shared" si="52"/>
        <v>0</v>
      </c>
      <c r="O107" s="135">
        <f t="shared" si="52"/>
        <v>0</v>
      </c>
      <c r="P107" s="135">
        <f t="shared" si="52"/>
        <v>0</v>
      </c>
      <c r="Q107" s="135">
        <f t="shared" si="52"/>
        <v>0</v>
      </c>
      <c r="R107" s="135"/>
      <c r="S107" s="135"/>
      <c r="T107" s="135"/>
      <c r="U107" s="135"/>
      <c r="V107" s="135">
        <f>V108</f>
        <v>80000</v>
      </c>
      <c r="W107" s="135"/>
      <c r="X107" s="175"/>
      <c r="Y107" s="534"/>
    </row>
    <row r="108" spans="1:25" ht="24.9" hidden="1" customHeight="1">
      <c r="A108" s="583"/>
      <c r="B108" s="175" t="s">
        <v>35</v>
      </c>
      <c r="C108" s="175"/>
      <c r="D108" s="175"/>
      <c r="E108" s="175"/>
      <c r="F108" s="175"/>
      <c r="G108" s="75">
        <f>SUM(H108:K108)</f>
        <v>62029</v>
      </c>
      <c r="H108" s="75">
        <v>62029</v>
      </c>
      <c r="I108" s="75"/>
      <c r="J108" s="75"/>
      <c r="K108" s="75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>
        <v>80000</v>
      </c>
      <c r="W108" s="135"/>
      <c r="X108" s="175"/>
      <c r="Y108" s="535"/>
    </row>
    <row r="109" spans="1:25" ht="0.6" customHeight="1">
      <c r="A109" s="581" t="s">
        <v>356</v>
      </c>
      <c r="B109" s="175" t="str">
        <f t="shared" ref="B109:V109" si="53">B106</f>
        <v>Мощность, км</v>
      </c>
      <c r="C109" s="175">
        <f t="shared" si="53"/>
        <v>0</v>
      </c>
      <c r="D109" s="175">
        <f t="shared" si="53"/>
        <v>0</v>
      </c>
      <c r="E109" s="175">
        <f t="shared" si="53"/>
        <v>0</v>
      </c>
      <c r="F109" s="175">
        <f t="shared" si="53"/>
        <v>0</v>
      </c>
      <c r="G109" s="75">
        <f t="shared" si="53"/>
        <v>0</v>
      </c>
      <c r="H109" s="75">
        <f t="shared" si="53"/>
        <v>0</v>
      </c>
      <c r="I109" s="75">
        <f t="shared" si="53"/>
        <v>0</v>
      </c>
      <c r="J109" s="75">
        <f t="shared" si="53"/>
        <v>0</v>
      </c>
      <c r="K109" s="75">
        <f t="shared" si="53"/>
        <v>0</v>
      </c>
      <c r="L109" s="135">
        <f t="shared" si="53"/>
        <v>0</v>
      </c>
      <c r="M109" s="135">
        <f t="shared" si="53"/>
        <v>0</v>
      </c>
      <c r="N109" s="135">
        <f t="shared" si="53"/>
        <v>0</v>
      </c>
      <c r="O109" s="135">
        <f t="shared" si="53"/>
        <v>0</v>
      </c>
      <c r="P109" s="135">
        <f t="shared" si="53"/>
        <v>0</v>
      </c>
      <c r="Q109" s="135">
        <f t="shared" si="53"/>
        <v>0</v>
      </c>
      <c r="R109" s="135"/>
      <c r="S109" s="135"/>
      <c r="T109" s="135"/>
      <c r="U109" s="135"/>
      <c r="V109" s="135">
        <f t="shared" si="53"/>
        <v>0</v>
      </c>
      <c r="W109" s="135"/>
      <c r="X109" s="175"/>
      <c r="Y109" s="533" t="str">
        <f>Y106</f>
        <v>Объем работ уточняется</v>
      </c>
    </row>
    <row r="110" spans="1:25" ht="24.6" hidden="1" customHeight="1">
      <c r="A110" s="582"/>
      <c r="B110" s="175" t="str">
        <f t="shared" ref="B110:Q110" si="54">B107</f>
        <v>Сумма затрат (тыс.руб.), в том числе:</v>
      </c>
      <c r="C110" s="175">
        <f t="shared" si="54"/>
        <v>176</v>
      </c>
      <c r="D110" s="175" t="str">
        <f t="shared" si="54"/>
        <v>0409</v>
      </c>
      <c r="E110" s="175">
        <f t="shared" si="54"/>
        <v>6100404</v>
      </c>
      <c r="F110" s="175">
        <f t="shared" si="54"/>
        <v>414</v>
      </c>
      <c r="G110" s="75">
        <f t="shared" si="54"/>
        <v>62029</v>
      </c>
      <c r="H110" s="75">
        <f t="shared" si="54"/>
        <v>62029</v>
      </c>
      <c r="I110" s="75">
        <f t="shared" si="54"/>
        <v>0</v>
      </c>
      <c r="J110" s="75">
        <f t="shared" si="54"/>
        <v>0</v>
      </c>
      <c r="K110" s="75">
        <f t="shared" si="54"/>
        <v>0</v>
      </c>
      <c r="L110" s="135">
        <f t="shared" si="54"/>
        <v>0</v>
      </c>
      <c r="M110" s="135">
        <f t="shared" si="54"/>
        <v>0</v>
      </c>
      <c r="N110" s="135">
        <f t="shared" si="54"/>
        <v>0</v>
      </c>
      <c r="O110" s="135">
        <f t="shared" si="54"/>
        <v>0</v>
      </c>
      <c r="P110" s="135">
        <f t="shared" si="54"/>
        <v>0</v>
      </c>
      <c r="Q110" s="135">
        <f t="shared" si="54"/>
        <v>0</v>
      </c>
      <c r="R110" s="135"/>
      <c r="S110" s="135"/>
      <c r="T110" s="135"/>
      <c r="U110" s="135"/>
      <c r="V110" s="135">
        <f>V111</f>
        <v>0</v>
      </c>
      <c r="W110" s="135"/>
      <c r="X110" s="175"/>
      <c r="Y110" s="534"/>
    </row>
    <row r="111" spans="1:25" ht="24.6" hidden="1" customHeight="1">
      <c r="A111" s="583"/>
      <c r="B111" s="175" t="str">
        <f t="shared" ref="B111:Q111" si="55">B108</f>
        <v>федеральный бюджет *</v>
      </c>
      <c r="C111" s="175">
        <f t="shared" si="55"/>
        <v>0</v>
      </c>
      <c r="D111" s="175">
        <f t="shared" si="55"/>
        <v>0</v>
      </c>
      <c r="E111" s="175">
        <f t="shared" si="55"/>
        <v>0</v>
      </c>
      <c r="F111" s="175">
        <f t="shared" si="55"/>
        <v>0</v>
      </c>
      <c r="G111" s="75">
        <f t="shared" si="55"/>
        <v>62029</v>
      </c>
      <c r="H111" s="75">
        <f t="shared" si="55"/>
        <v>62029</v>
      </c>
      <c r="I111" s="75">
        <f t="shared" si="55"/>
        <v>0</v>
      </c>
      <c r="J111" s="75">
        <f t="shared" si="55"/>
        <v>0</v>
      </c>
      <c r="K111" s="75">
        <f t="shared" si="55"/>
        <v>0</v>
      </c>
      <c r="L111" s="135">
        <f t="shared" si="55"/>
        <v>0</v>
      </c>
      <c r="M111" s="135">
        <f t="shared" si="55"/>
        <v>0</v>
      </c>
      <c r="N111" s="135">
        <f t="shared" si="55"/>
        <v>0</v>
      </c>
      <c r="O111" s="135">
        <f t="shared" si="55"/>
        <v>0</v>
      </c>
      <c r="P111" s="135">
        <f t="shared" si="55"/>
        <v>0</v>
      </c>
      <c r="Q111" s="135">
        <f t="shared" si="55"/>
        <v>0</v>
      </c>
      <c r="R111" s="135"/>
      <c r="S111" s="135"/>
      <c r="T111" s="135"/>
      <c r="U111" s="135"/>
      <c r="V111" s="135">
        <v>0</v>
      </c>
      <c r="W111" s="135"/>
      <c r="X111" s="175"/>
      <c r="Y111" s="535"/>
    </row>
    <row r="112" spans="1:25" ht="24.6" hidden="1" customHeight="1">
      <c r="A112" s="581" t="s">
        <v>357</v>
      </c>
      <c r="B112" s="175" t="s">
        <v>91</v>
      </c>
      <c r="C112" s="175"/>
      <c r="D112" s="175"/>
      <c r="E112" s="175"/>
      <c r="F112" s="175"/>
      <c r="G112" s="75"/>
      <c r="H112" s="75"/>
      <c r="I112" s="75"/>
      <c r="J112" s="75"/>
      <c r="K112" s="7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75"/>
      <c r="Y112" s="178" t="s">
        <v>32</v>
      </c>
    </row>
    <row r="113" spans="1:32" ht="24.6" hidden="1" customHeight="1">
      <c r="A113" s="582"/>
      <c r="B113" s="175" t="s">
        <v>287</v>
      </c>
      <c r="C113" s="175"/>
      <c r="D113" s="175"/>
      <c r="E113" s="175"/>
      <c r="F113" s="175"/>
      <c r="G113" s="75"/>
      <c r="H113" s="75"/>
      <c r="I113" s="75"/>
      <c r="J113" s="75"/>
      <c r="K113" s="7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>
        <f>V114</f>
        <v>0</v>
      </c>
      <c r="W113" s="135"/>
      <c r="X113" s="175"/>
      <c r="Y113" s="178"/>
    </row>
    <row r="114" spans="1:32" ht="24.6" hidden="1" customHeight="1">
      <c r="A114" s="583"/>
      <c r="B114" s="175" t="s">
        <v>35</v>
      </c>
      <c r="C114" s="175"/>
      <c r="D114" s="175"/>
      <c r="E114" s="175"/>
      <c r="F114" s="175"/>
      <c r="G114" s="75"/>
      <c r="H114" s="75"/>
      <c r="I114" s="75"/>
      <c r="J114" s="75"/>
      <c r="K114" s="7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>
        <v>0</v>
      </c>
      <c r="W114" s="135"/>
      <c r="X114" s="175"/>
      <c r="Y114" s="178"/>
    </row>
    <row r="115" spans="1:32" ht="24.9" customHeight="1">
      <c r="A115" s="581" t="s">
        <v>378</v>
      </c>
      <c r="B115" s="175" t="s">
        <v>91</v>
      </c>
      <c r="C115" s="83"/>
      <c r="D115" s="83"/>
      <c r="E115" s="83"/>
      <c r="F115" s="83"/>
      <c r="G115" s="81">
        <f>SUM(H115:K115)</f>
        <v>0</v>
      </c>
      <c r="H115" s="81"/>
      <c r="I115" s="81"/>
      <c r="J115" s="81"/>
      <c r="K115" s="81"/>
      <c r="L115" s="135">
        <v>0.98</v>
      </c>
      <c r="M115" s="134"/>
      <c r="N115" s="134"/>
      <c r="O115" s="134"/>
      <c r="P115" s="134">
        <v>0.98</v>
      </c>
      <c r="Q115" s="135">
        <v>0.22</v>
      </c>
      <c r="R115" s="134"/>
      <c r="S115" s="134"/>
      <c r="T115" s="134">
        <v>0.22</v>
      </c>
      <c r="U115" s="134"/>
      <c r="V115" s="134"/>
      <c r="W115" s="134">
        <f t="shared" ref="W115" si="56">+W118+W126</f>
        <v>0</v>
      </c>
      <c r="X115" s="175"/>
      <c r="Y115" s="533" t="s">
        <v>625</v>
      </c>
      <c r="AF115" s="55">
        <v>63.82</v>
      </c>
    </row>
    <row r="116" spans="1:32" ht="24.9" customHeight="1">
      <c r="A116" s="582"/>
      <c r="B116" s="175" t="s">
        <v>287</v>
      </c>
      <c r="C116" s="175">
        <v>176</v>
      </c>
      <c r="D116" s="175" t="s">
        <v>16</v>
      </c>
      <c r="E116" s="175">
        <v>6100404</v>
      </c>
      <c r="F116" s="175">
        <v>414</v>
      </c>
      <c r="G116" s="75">
        <f t="shared" ref="G116:Q116" si="57">G117</f>
        <v>62029</v>
      </c>
      <c r="H116" s="75">
        <f t="shared" si="57"/>
        <v>62029</v>
      </c>
      <c r="I116" s="75">
        <f t="shared" si="57"/>
        <v>0</v>
      </c>
      <c r="J116" s="75">
        <f t="shared" si="57"/>
        <v>0</v>
      </c>
      <c r="K116" s="75">
        <f t="shared" si="57"/>
        <v>0</v>
      </c>
      <c r="L116" s="135">
        <f t="shared" si="57"/>
        <v>24554</v>
      </c>
      <c r="M116" s="135">
        <f t="shared" si="57"/>
        <v>0</v>
      </c>
      <c r="N116" s="135">
        <f t="shared" si="57"/>
        <v>0</v>
      </c>
      <c r="O116" s="135">
        <f t="shared" si="57"/>
        <v>0</v>
      </c>
      <c r="P116" s="135">
        <f t="shared" si="57"/>
        <v>24554</v>
      </c>
      <c r="Q116" s="135">
        <f t="shared" si="57"/>
        <v>9309.4</v>
      </c>
      <c r="R116" s="135"/>
      <c r="S116" s="135"/>
      <c r="T116" s="135">
        <f>T117</f>
        <v>9309.4</v>
      </c>
      <c r="U116" s="135"/>
      <c r="V116" s="135"/>
      <c r="W116" s="135"/>
      <c r="X116" s="175"/>
      <c r="Y116" s="534"/>
    </row>
    <row r="117" spans="1:32" ht="22.2" customHeight="1">
      <c r="A117" s="583"/>
      <c r="B117" s="175" t="s">
        <v>11</v>
      </c>
      <c r="C117" s="175"/>
      <c r="D117" s="175"/>
      <c r="E117" s="175"/>
      <c r="F117" s="175"/>
      <c r="G117" s="75">
        <f>SUM(H117:K117)</f>
        <v>62029</v>
      </c>
      <c r="H117" s="75">
        <v>62029</v>
      </c>
      <c r="I117" s="75"/>
      <c r="J117" s="75"/>
      <c r="K117" s="75"/>
      <c r="L117" s="135">
        <v>24554</v>
      </c>
      <c r="M117" s="135"/>
      <c r="N117" s="135"/>
      <c r="O117" s="135"/>
      <c r="P117" s="135">
        <v>24554</v>
      </c>
      <c r="Q117" s="135">
        <f>T117</f>
        <v>9309.4</v>
      </c>
      <c r="R117" s="135"/>
      <c r="S117" s="135"/>
      <c r="T117" s="135">
        <f>10966-1644.9-11.7</f>
        <v>9309.4</v>
      </c>
      <c r="U117" s="135"/>
      <c r="V117" s="135"/>
      <c r="W117" s="135"/>
      <c r="X117" s="175"/>
      <c r="Y117" s="535"/>
    </row>
    <row r="118" spans="1:32" ht="24.6" hidden="1" customHeight="1">
      <c r="A118" s="601" t="s">
        <v>290</v>
      </c>
      <c r="B118" s="175" t="s">
        <v>91</v>
      </c>
      <c r="C118" s="175">
        <v>176</v>
      </c>
      <c r="D118" s="175" t="s">
        <v>16</v>
      </c>
      <c r="E118" s="175">
        <v>6100404</v>
      </c>
      <c r="F118" s="175">
        <v>414</v>
      </c>
      <c r="G118" s="75">
        <f>SUM(H118:K118)</f>
        <v>0</v>
      </c>
      <c r="H118" s="75"/>
      <c r="I118" s="75"/>
      <c r="J118" s="75"/>
      <c r="K118" s="7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75"/>
      <c r="Y118" s="541" t="s">
        <v>604</v>
      </c>
    </row>
    <row r="119" spans="1:32" ht="24.6" hidden="1" customHeight="1">
      <c r="A119" s="601"/>
      <c r="B119" s="175" t="s">
        <v>287</v>
      </c>
      <c r="C119" s="175"/>
      <c r="D119" s="175"/>
      <c r="E119" s="175"/>
      <c r="F119" s="175"/>
      <c r="G119" s="75">
        <f>G120+G121</f>
        <v>0</v>
      </c>
      <c r="H119" s="75">
        <f t="shared" ref="H119:V119" si="58">H120+H121</f>
        <v>0</v>
      </c>
      <c r="I119" s="75">
        <f t="shared" si="58"/>
        <v>0</v>
      </c>
      <c r="J119" s="75">
        <f t="shared" si="58"/>
        <v>0</v>
      </c>
      <c r="K119" s="75">
        <f t="shared" si="58"/>
        <v>0</v>
      </c>
      <c r="L119" s="135">
        <f t="shared" si="58"/>
        <v>0</v>
      </c>
      <c r="M119" s="135"/>
      <c r="N119" s="135"/>
      <c r="O119" s="135"/>
      <c r="P119" s="135"/>
      <c r="Q119" s="135">
        <f t="shared" si="58"/>
        <v>0</v>
      </c>
      <c r="R119" s="135"/>
      <c r="S119" s="135"/>
      <c r="T119" s="135"/>
      <c r="U119" s="135"/>
      <c r="V119" s="135">
        <f t="shared" si="58"/>
        <v>0</v>
      </c>
      <c r="W119" s="135"/>
      <c r="X119" s="175"/>
      <c r="Y119" s="541"/>
    </row>
    <row r="120" spans="1:32" ht="24.6" hidden="1" customHeight="1">
      <c r="A120" s="601"/>
      <c r="B120" s="175" t="s">
        <v>11</v>
      </c>
      <c r="C120" s="175"/>
      <c r="D120" s="175"/>
      <c r="E120" s="175"/>
      <c r="F120" s="175"/>
      <c r="G120" s="81">
        <f>SUM(H120:K120)</f>
        <v>0</v>
      </c>
      <c r="H120" s="75"/>
      <c r="I120" s="75"/>
      <c r="J120" s="75"/>
      <c r="K120" s="7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75"/>
      <c r="Y120" s="541"/>
    </row>
    <row r="121" spans="1:32" ht="24.6" hidden="1" customHeight="1">
      <c r="A121" s="601"/>
      <c r="B121" s="175" t="s">
        <v>35</v>
      </c>
      <c r="C121" s="175"/>
      <c r="D121" s="175"/>
      <c r="E121" s="175"/>
      <c r="F121" s="175"/>
      <c r="G121" s="81">
        <f>SUM(H121:K121)</f>
        <v>0</v>
      </c>
      <c r="H121" s="75"/>
      <c r="I121" s="75"/>
      <c r="J121" s="75"/>
      <c r="K121" s="75"/>
      <c r="L121" s="135"/>
      <c r="M121" s="135"/>
      <c r="N121" s="135"/>
      <c r="O121" s="135"/>
      <c r="P121" s="135"/>
      <c r="Q121" s="135">
        <v>0</v>
      </c>
      <c r="R121" s="135"/>
      <c r="S121" s="135"/>
      <c r="T121" s="135"/>
      <c r="U121" s="135"/>
      <c r="V121" s="135"/>
      <c r="W121" s="135"/>
      <c r="X121" s="175"/>
      <c r="Y121" s="541"/>
    </row>
    <row r="122" spans="1:32" ht="24.6" hidden="1" customHeight="1">
      <c r="A122" s="584" t="s">
        <v>289</v>
      </c>
      <c r="B122" s="175" t="s">
        <v>91</v>
      </c>
      <c r="C122" s="175"/>
      <c r="D122" s="175"/>
      <c r="E122" s="175"/>
      <c r="F122" s="175"/>
      <c r="G122" s="75">
        <f>SUM(H122:K122)</f>
        <v>0.91</v>
      </c>
      <c r="H122" s="75"/>
      <c r="I122" s="75"/>
      <c r="J122" s="75"/>
      <c r="K122" s="75">
        <v>0.91</v>
      </c>
      <c r="L122" s="135">
        <f>0.74+0.422</f>
        <v>1.1619999999999999</v>
      </c>
      <c r="M122" s="135"/>
      <c r="N122" s="135"/>
      <c r="O122" s="135"/>
      <c r="P122" s="135">
        <f t="shared" ref="P122" si="59">0.74+0.422</f>
        <v>1.1619999999999999</v>
      </c>
      <c r="Q122" s="135"/>
      <c r="R122" s="135"/>
      <c r="S122" s="135"/>
      <c r="T122" s="135"/>
      <c r="U122" s="135"/>
      <c r="V122" s="135"/>
      <c r="W122" s="135"/>
      <c r="X122" s="175"/>
      <c r="Y122" s="541" t="s">
        <v>322</v>
      </c>
    </row>
    <row r="123" spans="1:32" ht="24.6" hidden="1" customHeight="1">
      <c r="A123" s="584"/>
      <c r="B123" s="175" t="s">
        <v>287</v>
      </c>
      <c r="C123" s="175">
        <v>176</v>
      </c>
      <c r="D123" s="175" t="s">
        <v>16</v>
      </c>
      <c r="E123" s="175">
        <v>6100404</v>
      </c>
      <c r="F123" s="175">
        <v>414</v>
      </c>
      <c r="G123" s="75">
        <f>G124+G125</f>
        <v>24224.9</v>
      </c>
      <c r="H123" s="75">
        <f t="shared" ref="H123:V123" si="60">H124+H125</f>
        <v>0</v>
      </c>
      <c r="I123" s="75">
        <f t="shared" si="60"/>
        <v>1913.7</v>
      </c>
      <c r="J123" s="75">
        <f t="shared" si="60"/>
        <v>13565.9</v>
      </c>
      <c r="K123" s="75">
        <f t="shared" si="60"/>
        <v>8745.2999999999993</v>
      </c>
      <c r="L123" s="135">
        <f t="shared" si="60"/>
        <v>19384.8</v>
      </c>
      <c r="M123" s="135">
        <f t="shared" si="60"/>
        <v>0</v>
      </c>
      <c r="N123" s="135">
        <f t="shared" si="60"/>
        <v>0</v>
      </c>
      <c r="O123" s="135">
        <f t="shared" si="60"/>
        <v>0</v>
      </c>
      <c r="P123" s="135">
        <f t="shared" si="60"/>
        <v>19384.8</v>
      </c>
      <c r="Q123" s="135">
        <f t="shared" si="60"/>
        <v>0</v>
      </c>
      <c r="R123" s="135"/>
      <c r="S123" s="135"/>
      <c r="T123" s="135"/>
      <c r="U123" s="135"/>
      <c r="V123" s="135">
        <f t="shared" si="60"/>
        <v>0</v>
      </c>
      <c r="W123" s="135"/>
      <c r="X123" s="175"/>
      <c r="Y123" s="541"/>
    </row>
    <row r="124" spans="1:32" ht="24.6" hidden="1" customHeight="1">
      <c r="A124" s="584"/>
      <c r="B124" s="175" t="s">
        <v>11</v>
      </c>
      <c r="C124" s="175"/>
      <c r="D124" s="175"/>
      <c r="E124" s="175"/>
      <c r="F124" s="175"/>
      <c r="G124" s="75">
        <f>SUM(H124:K124)</f>
        <v>0</v>
      </c>
      <c r="H124" s="75"/>
      <c r="I124" s="75"/>
      <c r="J124" s="75"/>
      <c r="K124" s="75"/>
      <c r="L124" s="135">
        <f>19384.8</f>
        <v>19384.8</v>
      </c>
      <c r="M124" s="135"/>
      <c r="N124" s="135"/>
      <c r="O124" s="135"/>
      <c r="P124" s="135">
        <v>19384.8</v>
      </c>
      <c r="Q124" s="135"/>
      <c r="R124" s="135"/>
      <c r="S124" s="135"/>
      <c r="T124" s="135"/>
      <c r="U124" s="135"/>
      <c r="V124" s="135"/>
      <c r="W124" s="135"/>
      <c r="X124" s="175"/>
      <c r="Y124" s="541"/>
    </row>
    <row r="125" spans="1:32" ht="24.6" hidden="1" customHeight="1">
      <c r="A125" s="584"/>
      <c r="B125" s="175" t="s">
        <v>35</v>
      </c>
      <c r="C125" s="175"/>
      <c r="D125" s="175"/>
      <c r="E125" s="175"/>
      <c r="F125" s="175"/>
      <c r="G125" s="75">
        <f>SUM(H125:K125)</f>
        <v>24224.9</v>
      </c>
      <c r="H125" s="75"/>
      <c r="I125" s="75">
        <v>1913.7</v>
      </c>
      <c r="J125" s="75">
        <v>13565.9</v>
      </c>
      <c r="K125" s="75">
        <v>8745.2999999999993</v>
      </c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75"/>
      <c r="Y125" s="541"/>
    </row>
    <row r="126" spans="1:32" ht="0.6" hidden="1" customHeight="1">
      <c r="A126" s="584" t="s">
        <v>608</v>
      </c>
      <c r="B126" s="175" t="s">
        <v>91</v>
      </c>
      <c r="C126" s="175"/>
      <c r="D126" s="175"/>
      <c r="E126" s="175"/>
      <c r="F126" s="175"/>
      <c r="G126" s="75">
        <f>SUM(H126:K126)</f>
        <v>0</v>
      </c>
      <c r="H126" s="75"/>
      <c r="I126" s="75"/>
      <c r="J126" s="75"/>
      <c r="K126" s="7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75"/>
      <c r="Y126" s="541" t="s">
        <v>435</v>
      </c>
    </row>
    <row r="127" spans="1:32" ht="24.6" hidden="1" customHeight="1">
      <c r="A127" s="584"/>
      <c r="B127" s="175" t="s">
        <v>287</v>
      </c>
      <c r="C127" s="175">
        <v>176</v>
      </c>
      <c r="D127" s="175" t="s">
        <v>16</v>
      </c>
      <c r="E127" s="175">
        <v>6100404</v>
      </c>
      <c r="F127" s="175">
        <v>414</v>
      </c>
      <c r="G127" s="75">
        <f t="shared" ref="G127:V127" si="61">G128+G129</f>
        <v>0</v>
      </c>
      <c r="H127" s="75">
        <f t="shared" si="61"/>
        <v>0</v>
      </c>
      <c r="I127" s="75">
        <f t="shared" si="61"/>
        <v>0</v>
      </c>
      <c r="J127" s="75">
        <f t="shared" si="61"/>
        <v>0</v>
      </c>
      <c r="K127" s="75">
        <f t="shared" si="61"/>
        <v>0</v>
      </c>
      <c r="L127" s="135">
        <f t="shared" si="61"/>
        <v>0</v>
      </c>
      <c r="M127" s="135"/>
      <c r="N127" s="135"/>
      <c r="O127" s="135"/>
      <c r="P127" s="135"/>
      <c r="Q127" s="135">
        <f t="shared" si="61"/>
        <v>0</v>
      </c>
      <c r="R127" s="135"/>
      <c r="S127" s="135"/>
      <c r="T127" s="135"/>
      <c r="U127" s="135"/>
      <c r="V127" s="135">
        <f t="shared" si="61"/>
        <v>0</v>
      </c>
      <c r="W127" s="135"/>
      <c r="X127" s="175"/>
      <c r="Y127" s="541"/>
    </row>
    <row r="128" spans="1:32" ht="30.6" hidden="1" customHeight="1">
      <c r="A128" s="584"/>
      <c r="B128" s="175" t="s">
        <v>11</v>
      </c>
      <c r="C128" s="175"/>
      <c r="D128" s="175"/>
      <c r="E128" s="175"/>
      <c r="F128" s="175"/>
      <c r="G128" s="81">
        <f>SUM(H128:K128)</f>
        <v>0</v>
      </c>
      <c r="H128" s="75"/>
      <c r="I128" s="75"/>
      <c r="J128" s="75"/>
      <c r="K128" s="7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75"/>
      <c r="Y128" s="541"/>
    </row>
    <row r="129" spans="1:25" ht="24" hidden="1" customHeight="1">
      <c r="A129" s="584"/>
      <c r="B129" s="175" t="s">
        <v>35</v>
      </c>
      <c r="C129" s="175"/>
      <c r="D129" s="175"/>
      <c r="E129" s="175"/>
      <c r="F129" s="175"/>
      <c r="G129" s="81">
        <f>SUM(H129:K129)</f>
        <v>0</v>
      </c>
      <c r="H129" s="75"/>
      <c r="I129" s="75"/>
      <c r="J129" s="75"/>
      <c r="K129" s="75"/>
      <c r="L129" s="135"/>
      <c r="M129" s="135"/>
      <c r="N129" s="135"/>
      <c r="O129" s="135"/>
      <c r="P129" s="135"/>
      <c r="Q129" s="135">
        <v>0</v>
      </c>
      <c r="R129" s="135"/>
      <c r="S129" s="135"/>
      <c r="T129" s="135"/>
      <c r="U129" s="135"/>
      <c r="V129" s="135"/>
      <c r="W129" s="135"/>
      <c r="X129" s="175"/>
      <c r="Y129" s="541"/>
    </row>
    <row r="130" spans="1:25" ht="0.6" customHeight="1">
      <c r="A130" s="556" t="s">
        <v>124</v>
      </c>
      <c r="B130" s="83" t="s">
        <v>91</v>
      </c>
      <c r="C130" s="175"/>
      <c r="D130" s="175"/>
      <c r="E130" s="175"/>
      <c r="F130" s="175"/>
      <c r="G130" s="81">
        <f>G134</f>
        <v>0.64</v>
      </c>
      <c r="H130" s="81">
        <f t="shared" ref="H130:Q130" si="62">H134</f>
        <v>0</v>
      </c>
      <c r="I130" s="81">
        <f t="shared" si="62"/>
        <v>0</v>
      </c>
      <c r="J130" s="81">
        <f t="shared" si="62"/>
        <v>0</v>
      </c>
      <c r="K130" s="81">
        <f t="shared" si="62"/>
        <v>0.64</v>
      </c>
      <c r="L130" s="134">
        <f>L134</f>
        <v>0.83799999999999997</v>
      </c>
      <c r="M130" s="134">
        <f t="shared" ref="M130:N130" si="63">M134</f>
        <v>0</v>
      </c>
      <c r="N130" s="134">
        <f t="shared" si="63"/>
        <v>0</v>
      </c>
      <c r="O130" s="134">
        <f>O134</f>
        <v>0.83799999999999997</v>
      </c>
      <c r="P130" s="134"/>
      <c r="Q130" s="134">
        <f t="shared" si="62"/>
        <v>0</v>
      </c>
      <c r="R130" s="134"/>
      <c r="S130" s="134"/>
      <c r="T130" s="134"/>
      <c r="U130" s="134"/>
      <c r="V130" s="134"/>
      <c r="W130" s="134"/>
      <c r="X130" s="130"/>
      <c r="Y130" s="175"/>
    </row>
    <row r="131" spans="1:25" ht="21.6" customHeight="1">
      <c r="A131" s="556"/>
      <c r="B131" s="83" t="s">
        <v>287</v>
      </c>
      <c r="C131" s="175"/>
      <c r="D131" s="175"/>
      <c r="E131" s="175"/>
      <c r="F131" s="175"/>
      <c r="G131" s="81">
        <f>G133+G132</f>
        <v>15427.8</v>
      </c>
      <c r="H131" s="81">
        <f t="shared" ref="H131:V131" si="64">H133+H132</f>
        <v>0</v>
      </c>
      <c r="I131" s="81">
        <f t="shared" si="64"/>
        <v>0</v>
      </c>
      <c r="J131" s="81">
        <f t="shared" si="64"/>
        <v>0</v>
      </c>
      <c r="K131" s="81">
        <f t="shared" si="64"/>
        <v>15427.8</v>
      </c>
      <c r="L131" s="134">
        <f t="shared" si="64"/>
        <v>21615.200000000001</v>
      </c>
      <c r="M131" s="134">
        <f t="shared" si="64"/>
        <v>0</v>
      </c>
      <c r="N131" s="134">
        <f t="shared" si="64"/>
        <v>0</v>
      </c>
      <c r="O131" s="134">
        <f t="shared" si="64"/>
        <v>21615.200000000001</v>
      </c>
      <c r="P131" s="134">
        <f t="shared" si="64"/>
        <v>0</v>
      </c>
      <c r="Q131" s="134">
        <f t="shared" si="64"/>
        <v>0</v>
      </c>
      <c r="R131" s="134"/>
      <c r="S131" s="134"/>
      <c r="T131" s="134"/>
      <c r="U131" s="134"/>
      <c r="V131" s="134">
        <f t="shared" si="64"/>
        <v>0</v>
      </c>
      <c r="W131" s="134"/>
      <c r="X131" s="130"/>
      <c r="Y131" s="175"/>
    </row>
    <row r="132" spans="1:25" ht="31.95" customHeight="1">
      <c r="A132" s="556"/>
      <c r="B132" s="83" t="s">
        <v>11</v>
      </c>
      <c r="C132" s="175"/>
      <c r="D132" s="175"/>
      <c r="E132" s="175"/>
      <c r="F132" s="175"/>
      <c r="G132" s="81">
        <f>G136</f>
        <v>15427.8</v>
      </c>
      <c r="H132" s="81">
        <f t="shared" ref="H132:V133" si="65">H136</f>
        <v>0</v>
      </c>
      <c r="I132" s="81">
        <f t="shared" si="65"/>
        <v>0</v>
      </c>
      <c r="J132" s="81">
        <f t="shared" si="65"/>
        <v>0</v>
      </c>
      <c r="K132" s="81">
        <f t="shared" si="65"/>
        <v>15427.8</v>
      </c>
      <c r="L132" s="134">
        <f t="shared" si="65"/>
        <v>21615.200000000001</v>
      </c>
      <c r="M132" s="134">
        <f t="shared" si="65"/>
        <v>0</v>
      </c>
      <c r="N132" s="134">
        <f t="shared" si="65"/>
        <v>0</v>
      </c>
      <c r="O132" s="134">
        <f t="shared" si="65"/>
        <v>21615.200000000001</v>
      </c>
      <c r="P132" s="134">
        <f t="shared" si="65"/>
        <v>0</v>
      </c>
      <c r="Q132" s="134">
        <f t="shared" si="65"/>
        <v>0</v>
      </c>
      <c r="R132" s="134"/>
      <c r="S132" s="134"/>
      <c r="T132" s="134"/>
      <c r="U132" s="134"/>
      <c r="V132" s="134"/>
      <c r="W132" s="134"/>
      <c r="X132" s="130"/>
      <c r="Y132" s="175"/>
    </row>
    <row r="133" spans="1:25" ht="24.6" customHeight="1">
      <c r="A133" s="556"/>
      <c r="B133" s="83" t="s">
        <v>35</v>
      </c>
      <c r="C133" s="175"/>
      <c r="D133" s="175"/>
      <c r="E133" s="175"/>
      <c r="F133" s="175"/>
      <c r="G133" s="81">
        <f>G137</f>
        <v>0</v>
      </c>
      <c r="H133" s="81">
        <f t="shared" si="65"/>
        <v>0</v>
      </c>
      <c r="I133" s="81">
        <f t="shared" si="65"/>
        <v>0</v>
      </c>
      <c r="J133" s="81">
        <f t="shared" si="65"/>
        <v>0</v>
      </c>
      <c r="K133" s="81">
        <f t="shared" si="65"/>
        <v>0</v>
      </c>
      <c r="L133" s="134">
        <f t="shared" si="65"/>
        <v>0</v>
      </c>
      <c r="M133" s="134"/>
      <c r="N133" s="134"/>
      <c r="O133" s="134"/>
      <c r="P133" s="134"/>
      <c r="Q133" s="134">
        <f t="shared" si="65"/>
        <v>0</v>
      </c>
      <c r="R133" s="134"/>
      <c r="S133" s="134"/>
      <c r="T133" s="134"/>
      <c r="U133" s="134"/>
      <c r="V133" s="134">
        <f t="shared" si="65"/>
        <v>0</v>
      </c>
      <c r="W133" s="134"/>
      <c r="X133" s="130"/>
      <c r="Y133" s="175"/>
    </row>
    <row r="134" spans="1:25" ht="0.6" customHeight="1">
      <c r="A134" s="598" t="s">
        <v>346</v>
      </c>
      <c r="B134" s="175" t="s">
        <v>91</v>
      </c>
      <c r="C134" s="175"/>
      <c r="D134" s="175"/>
      <c r="E134" s="175"/>
      <c r="F134" s="175"/>
      <c r="G134" s="75">
        <f>SUM(H134:K134)</f>
        <v>0.64</v>
      </c>
      <c r="H134" s="75"/>
      <c r="I134" s="75"/>
      <c r="J134" s="75"/>
      <c r="K134" s="75">
        <v>0.64</v>
      </c>
      <c r="L134" s="135">
        <f>0.76+0.078</f>
        <v>0.83799999999999997</v>
      </c>
      <c r="M134" s="135"/>
      <c r="N134" s="135"/>
      <c r="O134" s="135">
        <v>0.83799999999999997</v>
      </c>
      <c r="P134" s="136"/>
      <c r="Q134" s="135"/>
      <c r="R134" s="135"/>
      <c r="S134" s="135"/>
      <c r="T134" s="135"/>
      <c r="U134" s="135"/>
      <c r="V134" s="135"/>
      <c r="W134" s="135"/>
      <c r="X134" s="175"/>
      <c r="Y134" s="541" t="s">
        <v>323</v>
      </c>
    </row>
    <row r="135" spans="1:25" ht="24.6" customHeight="1">
      <c r="A135" s="599"/>
      <c r="B135" s="175" t="s">
        <v>287</v>
      </c>
      <c r="C135" s="175"/>
      <c r="D135" s="175"/>
      <c r="E135" s="175"/>
      <c r="F135" s="175"/>
      <c r="G135" s="75">
        <f>G137+G136</f>
        <v>15427.8</v>
      </c>
      <c r="H135" s="75">
        <f t="shared" ref="H135:V135" si="66">H137+H136</f>
        <v>0</v>
      </c>
      <c r="I135" s="75">
        <f t="shared" si="66"/>
        <v>0</v>
      </c>
      <c r="J135" s="75">
        <f t="shared" si="66"/>
        <v>0</v>
      </c>
      <c r="K135" s="75">
        <f t="shared" si="66"/>
        <v>15427.8</v>
      </c>
      <c r="L135" s="135">
        <f t="shared" si="66"/>
        <v>21615.200000000001</v>
      </c>
      <c r="M135" s="135">
        <f t="shared" si="66"/>
        <v>0</v>
      </c>
      <c r="N135" s="135">
        <f t="shared" si="66"/>
        <v>0</v>
      </c>
      <c r="O135" s="135">
        <f t="shared" si="66"/>
        <v>21615.200000000001</v>
      </c>
      <c r="P135" s="135">
        <f t="shared" si="66"/>
        <v>0</v>
      </c>
      <c r="Q135" s="135">
        <f t="shared" si="66"/>
        <v>0</v>
      </c>
      <c r="R135" s="135"/>
      <c r="S135" s="135"/>
      <c r="T135" s="135"/>
      <c r="U135" s="135"/>
      <c r="V135" s="135">
        <f t="shared" si="66"/>
        <v>0</v>
      </c>
      <c r="W135" s="135"/>
      <c r="X135" s="175"/>
      <c r="Y135" s="541"/>
    </row>
    <row r="136" spans="1:25" ht="28.95" customHeight="1">
      <c r="A136" s="599"/>
      <c r="B136" s="175" t="s">
        <v>11</v>
      </c>
      <c r="C136" s="175"/>
      <c r="D136" s="175"/>
      <c r="E136" s="175"/>
      <c r="F136" s="175"/>
      <c r="G136" s="75">
        <f>SUM(H136:K136)</f>
        <v>15427.8</v>
      </c>
      <c r="H136" s="75"/>
      <c r="I136" s="75"/>
      <c r="J136" s="75"/>
      <c r="K136" s="75">
        <v>15427.8</v>
      </c>
      <c r="L136" s="135">
        <f>19815.2+1800</f>
        <v>21615.200000000001</v>
      </c>
      <c r="M136" s="135"/>
      <c r="N136" s="135"/>
      <c r="O136" s="135">
        <v>21615.200000000001</v>
      </c>
      <c r="P136" s="135"/>
      <c r="Q136" s="135"/>
      <c r="R136" s="135"/>
      <c r="S136" s="135"/>
      <c r="T136" s="135"/>
      <c r="U136" s="135"/>
      <c r="V136" s="135"/>
      <c r="W136" s="135"/>
      <c r="X136" s="175"/>
      <c r="Y136" s="541"/>
    </row>
    <row r="137" spans="1:25" ht="24.6" customHeight="1">
      <c r="A137" s="600"/>
      <c r="B137" s="175" t="s">
        <v>35</v>
      </c>
      <c r="C137" s="175"/>
      <c r="D137" s="175"/>
      <c r="E137" s="175"/>
      <c r="F137" s="175"/>
      <c r="G137" s="75">
        <f>SUM(H137:V137)</f>
        <v>0</v>
      </c>
      <c r="H137" s="75"/>
      <c r="I137" s="75"/>
      <c r="J137" s="75"/>
      <c r="K137" s="7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75"/>
      <c r="Y137" s="541"/>
    </row>
    <row r="138" spans="1:25" ht="24.6" hidden="1" customHeight="1">
      <c r="A138" s="556" t="s">
        <v>129</v>
      </c>
      <c r="B138" s="83" t="s">
        <v>91</v>
      </c>
      <c r="C138" s="175"/>
      <c r="D138" s="175"/>
      <c r="E138" s="175"/>
      <c r="F138" s="175"/>
      <c r="G138" s="81">
        <f>G142+G154</f>
        <v>0.17</v>
      </c>
      <c r="H138" s="81">
        <f t="shared" ref="H138:W138" si="67">H142+H154</f>
        <v>0</v>
      </c>
      <c r="I138" s="81">
        <f t="shared" si="67"/>
        <v>0</v>
      </c>
      <c r="J138" s="81">
        <f t="shared" si="67"/>
        <v>0</v>
      </c>
      <c r="K138" s="81">
        <f t="shared" si="67"/>
        <v>0.17</v>
      </c>
      <c r="L138" s="134">
        <f>L142+L154</f>
        <v>0.2</v>
      </c>
      <c r="M138" s="134"/>
      <c r="N138" s="134"/>
      <c r="O138" s="134"/>
      <c r="P138" s="134">
        <v>0.2</v>
      </c>
      <c r="Q138" s="134">
        <f t="shared" si="67"/>
        <v>0</v>
      </c>
      <c r="R138" s="134"/>
      <c r="S138" s="134"/>
      <c r="T138" s="134"/>
      <c r="U138" s="134"/>
      <c r="V138" s="134">
        <f t="shared" si="67"/>
        <v>0</v>
      </c>
      <c r="W138" s="134">
        <f t="shared" si="67"/>
        <v>0</v>
      </c>
      <c r="X138" s="175"/>
      <c r="Y138" s="175"/>
    </row>
    <row r="139" spans="1:25" ht="24.6" hidden="1" customHeight="1">
      <c r="A139" s="556"/>
      <c r="B139" s="83" t="s">
        <v>287</v>
      </c>
      <c r="C139" s="175"/>
      <c r="D139" s="175"/>
      <c r="E139" s="175"/>
      <c r="F139" s="175"/>
      <c r="G139" s="81">
        <f t="shared" ref="G139:P139" si="68">G141+G140</f>
        <v>2029</v>
      </c>
      <c r="H139" s="81">
        <f t="shared" si="68"/>
        <v>0</v>
      </c>
      <c r="I139" s="81">
        <f t="shared" si="68"/>
        <v>0</v>
      </c>
      <c r="J139" s="81">
        <f t="shared" si="68"/>
        <v>0</v>
      </c>
      <c r="K139" s="81">
        <f t="shared" si="68"/>
        <v>2029</v>
      </c>
      <c r="L139" s="134">
        <f t="shared" si="68"/>
        <v>2171</v>
      </c>
      <c r="M139" s="134">
        <f t="shared" si="68"/>
        <v>0</v>
      </c>
      <c r="N139" s="134">
        <f t="shared" si="68"/>
        <v>0</v>
      </c>
      <c r="O139" s="134">
        <f t="shared" si="68"/>
        <v>0</v>
      </c>
      <c r="P139" s="134">
        <f t="shared" si="68"/>
        <v>2171</v>
      </c>
      <c r="Q139" s="134">
        <f>Q141</f>
        <v>0</v>
      </c>
      <c r="R139" s="134"/>
      <c r="S139" s="134"/>
      <c r="T139" s="134"/>
      <c r="U139" s="134"/>
      <c r="V139" s="134">
        <f>V140+V141</f>
        <v>0</v>
      </c>
      <c r="W139" s="134">
        <f>W140+W141</f>
        <v>0</v>
      </c>
      <c r="X139" s="175"/>
      <c r="Y139" s="175"/>
    </row>
    <row r="140" spans="1:25" ht="24.6" hidden="1" customHeight="1">
      <c r="A140" s="556"/>
      <c r="B140" s="83" t="s">
        <v>11</v>
      </c>
      <c r="C140" s="175"/>
      <c r="D140" s="175"/>
      <c r="E140" s="175"/>
      <c r="F140" s="175"/>
      <c r="G140" s="81">
        <f t="shared" ref="G140:P140" si="69">G144</f>
        <v>2029</v>
      </c>
      <c r="H140" s="81">
        <f t="shared" si="69"/>
        <v>0</v>
      </c>
      <c r="I140" s="81">
        <f t="shared" si="69"/>
        <v>0</v>
      </c>
      <c r="J140" s="81">
        <f t="shared" si="69"/>
        <v>0</v>
      </c>
      <c r="K140" s="81">
        <f t="shared" si="69"/>
        <v>2029</v>
      </c>
      <c r="L140" s="134">
        <f t="shared" si="69"/>
        <v>2171</v>
      </c>
      <c r="M140" s="134">
        <f t="shared" si="69"/>
        <v>0</v>
      </c>
      <c r="N140" s="134">
        <f t="shared" si="69"/>
        <v>0</v>
      </c>
      <c r="O140" s="134">
        <f t="shared" si="69"/>
        <v>0</v>
      </c>
      <c r="P140" s="134">
        <f t="shared" si="69"/>
        <v>2171</v>
      </c>
      <c r="Q140" s="134"/>
      <c r="R140" s="134"/>
      <c r="S140" s="134"/>
      <c r="T140" s="134"/>
      <c r="U140" s="134"/>
      <c r="V140" s="134">
        <f>V144</f>
        <v>0</v>
      </c>
      <c r="W140" s="134">
        <f>W144</f>
        <v>0</v>
      </c>
      <c r="X140" s="175"/>
      <c r="Y140" s="175"/>
    </row>
    <row r="141" spans="1:25" ht="23.4" hidden="1" customHeight="1">
      <c r="A141" s="556"/>
      <c r="B141" s="83" t="s">
        <v>35</v>
      </c>
      <c r="C141" s="175"/>
      <c r="D141" s="175"/>
      <c r="E141" s="175"/>
      <c r="F141" s="175"/>
      <c r="G141" s="81">
        <f t="shared" ref="G141:V141" si="70">G153+G156</f>
        <v>0</v>
      </c>
      <c r="H141" s="81">
        <f t="shared" si="70"/>
        <v>0</v>
      </c>
      <c r="I141" s="81">
        <f t="shared" si="70"/>
        <v>0</v>
      </c>
      <c r="J141" s="81">
        <f t="shared" si="70"/>
        <v>0</v>
      </c>
      <c r="K141" s="81">
        <f t="shared" si="70"/>
        <v>0</v>
      </c>
      <c r="L141" s="134">
        <f t="shared" si="70"/>
        <v>0</v>
      </c>
      <c r="M141" s="134"/>
      <c r="N141" s="134"/>
      <c r="O141" s="134"/>
      <c r="P141" s="134"/>
      <c r="Q141" s="134">
        <f t="shared" si="70"/>
        <v>0</v>
      </c>
      <c r="R141" s="134"/>
      <c r="S141" s="134"/>
      <c r="T141" s="134"/>
      <c r="U141" s="134"/>
      <c r="V141" s="134">
        <f t="shared" si="70"/>
        <v>0</v>
      </c>
      <c r="W141" s="134"/>
      <c r="X141" s="175"/>
      <c r="Y141" s="175"/>
    </row>
    <row r="142" spans="1:25" ht="24.6" hidden="1" customHeight="1">
      <c r="A142" s="408" t="s">
        <v>441</v>
      </c>
      <c r="B142" s="175" t="s">
        <v>91</v>
      </c>
      <c r="C142" s="175"/>
      <c r="D142" s="175"/>
      <c r="E142" s="175"/>
      <c r="F142" s="175"/>
      <c r="G142" s="75">
        <f>SUM(H142:K142)</f>
        <v>0.17</v>
      </c>
      <c r="H142" s="75"/>
      <c r="I142" s="75"/>
      <c r="J142" s="75"/>
      <c r="K142" s="75">
        <v>0.17</v>
      </c>
      <c r="L142" s="135">
        <v>0.2</v>
      </c>
      <c r="M142" s="135"/>
      <c r="N142" s="135"/>
      <c r="O142" s="135"/>
      <c r="P142" s="135">
        <v>0.2</v>
      </c>
      <c r="Q142" s="135"/>
      <c r="R142" s="135"/>
      <c r="S142" s="135"/>
      <c r="T142" s="135"/>
      <c r="U142" s="135"/>
      <c r="V142" s="135"/>
      <c r="W142" s="135"/>
      <c r="X142" s="175"/>
      <c r="Y142" s="541" t="s">
        <v>379</v>
      </c>
    </row>
    <row r="143" spans="1:25" ht="24.6" hidden="1" customHeight="1">
      <c r="A143" s="409"/>
      <c r="B143" s="175" t="s">
        <v>287</v>
      </c>
      <c r="C143" s="175"/>
      <c r="D143" s="175"/>
      <c r="E143" s="175"/>
      <c r="F143" s="175"/>
      <c r="G143" s="75">
        <f>G153+G144</f>
        <v>2029</v>
      </c>
      <c r="H143" s="75">
        <f>H153+H144</f>
        <v>0</v>
      </c>
      <c r="I143" s="75">
        <f>I153+I144</f>
        <v>0</v>
      </c>
      <c r="J143" s="75">
        <f>J153+J144</f>
        <v>0</v>
      </c>
      <c r="K143" s="75">
        <f>K153+K144</f>
        <v>2029</v>
      </c>
      <c r="L143" s="135">
        <f>L144</f>
        <v>2171</v>
      </c>
      <c r="M143" s="135">
        <f t="shared" ref="M143:P143" si="71">M144</f>
        <v>0</v>
      </c>
      <c r="N143" s="135">
        <f t="shared" si="71"/>
        <v>0</v>
      </c>
      <c r="O143" s="135">
        <f t="shared" si="71"/>
        <v>0</v>
      </c>
      <c r="P143" s="135">
        <f t="shared" si="71"/>
        <v>2171</v>
      </c>
      <c r="Q143" s="135"/>
      <c r="R143" s="135"/>
      <c r="S143" s="135"/>
      <c r="T143" s="135"/>
      <c r="U143" s="135"/>
      <c r="V143" s="135">
        <f>V144</f>
        <v>0</v>
      </c>
      <c r="W143" s="135">
        <f>W144</f>
        <v>0</v>
      </c>
      <c r="X143" s="175"/>
      <c r="Y143" s="541"/>
    </row>
    <row r="144" spans="1:25" ht="24.6" hidden="1" customHeight="1">
      <c r="A144" s="409"/>
      <c r="B144" s="175" t="s">
        <v>11</v>
      </c>
      <c r="C144" s="175"/>
      <c r="D144" s="175"/>
      <c r="E144" s="175"/>
      <c r="F144" s="175"/>
      <c r="G144" s="75">
        <f>SUM(H144:K144)</f>
        <v>2029</v>
      </c>
      <c r="H144" s="75"/>
      <c r="I144" s="75"/>
      <c r="J144" s="75"/>
      <c r="K144" s="75">
        <v>2029</v>
      </c>
      <c r="L144" s="135">
        <f>SUM(M144:P144)</f>
        <v>2171</v>
      </c>
      <c r="M144" s="135"/>
      <c r="N144" s="135"/>
      <c r="O144" s="135"/>
      <c r="P144" s="135">
        <v>2171</v>
      </c>
      <c r="Q144" s="135"/>
      <c r="R144" s="204"/>
      <c r="S144" s="204"/>
      <c r="T144" s="204"/>
      <c r="U144" s="204"/>
      <c r="V144" s="410"/>
      <c r="W144" s="135"/>
      <c r="X144" s="175"/>
      <c r="Y144" s="541"/>
    </row>
    <row r="145" spans="1:45" ht="24.6" hidden="1" customHeight="1">
      <c r="A145" s="409"/>
      <c r="B145" s="396" t="s">
        <v>615</v>
      </c>
      <c r="C145" s="396"/>
      <c r="D145" s="396"/>
      <c r="E145" s="396"/>
      <c r="F145" s="396"/>
      <c r="G145" s="143"/>
      <c r="H145" s="143"/>
      <c r="I145" s="143"/>
      <c r="J145" s="143"/>
      <c r="K145" s="143"/>
      <c r="L145" s="144"/>
      <c r="M145" s="144"/>
      <c r="N145" s="144"/>
      <c r="O145" s="144"/>
      <c r="P145" s="144"/>
      <c r="Q145" s="144"/>
      <c r="R145" s="144"/>
      <c r="S145" s="144"/>
      <c r="T145" s="144"/>
      <c r="U145" s="144"/>
      <c r="V145" s="410"/>
      <c r="W145" s="144"/>
      <c r="X145" s="396"/>
      <c r="Y145" s="541"/>
    </row>
    <row r="146" spans="1:45" ht="24.6" hidden="1" customHeight="1">
      <c r="A146" s="602" t="s">
        <v>127</v>
      </c>
      <c r="B146" s="414" t="s">
        <v>91</v>
      </c>
      <c r="C146" s="396"/>
      <c r="D146" s="396"/>
      <c r="E146" s="396"/>
      <c r="F146" s="396"/>
      <c r="G146" s="143"/>
      <c r="H146" s="143"/>
      <c r="I146" s="143"/>
      <c r="J146" s="143"/>
      <c r="K146" s="143"/>
      <c r="L146" s="144"/>
      <c r="M146" s="144"/>
      <c r="N146" s="144"/>
      <c r="O146" s="144"/>
      <c r="P146" s="144"/>
      <c r="Q146" s="402">
        <f>Q150</f>
        <v>0</v>
      </c>
      <c r="R146" s="402">
        <f t="shared" ref="R146:U146" si="72">R150</f>
        <v>0</v>
      </c>
      <c r="S146" s="402">
        <f t="shared" si="72"/>
        <v>0</v>
      </c>
      <c r="T146" s="402">
        <f t="shared" si="72"/>
        <v>0</v>
      </c>
      <c r="U146" s="402">
        <f t="shared" si="72"/>
        <v>0</v>
      </c>
      <c r="V146" s="410"/>
      <c r="W146" s="144"/>
      <c r="X146" s="396"/>
      <c r="Y146" s="533"/>
    </row>
    <row r="147" spans="1:45" ht="24.6" hidden="1" customHeight="1">
      <c r="A147" s="603"/>
      <c r="B147" s="414" t="s">
        <v>287</v>
      </c>
      <c r="C147" s="396"/>
      <c r="D147" s="396"/>
      <c r="E147" s="396"/>
      <c r="F147" s="396"/>
      <c r="G147" s="143"/>
      <c r="H147" s="143"/>
      <c r="I147" s="143"/>
      <c r="J147" s="143"/>
      <c r="K147" s="143"/>
      <c r="L147" s="144"/>
      <c r="M147" s="144"/>
      <c r="N147" s="144"/>
      <c r="O147" s="144"/>
      <c r="P147" s="144"/>
      <c r="Q147" s="402">
        <f>Q148</f>
        <v>0</v>
      </c>
      <c r="R147" s="402">
        <f t="shared" ref="R147:U147" si="73">R148</f>
        <v>0</v>
      </c>
      <c r="S147" s="402">
        <f t="shared" si="73"/>
        <v>0</v>
      </c>
      <c r="T147" s="402">
        <f t="shared" si="73"/>
        <v>0</v>
      </c>
      <c r="U147" s="402">
        <f t="shared" si="73"/>
        <v>0</v>
      </c>
      <c r="V147" s="410"/>
      <c r="W147" s="144"/>
      <c r="X147" s="396"/>
      <c r="Y147" s="534"/>
    </row>
    <row r="148" spans="1:45" ht="24.6" hidden="1" customHeight="1">
      <c r="A148" s="603"/>
      <c r="B148" s="414" t="s">
        <v>11</v>
      </c>
      <c r="C148" s="396"/>
      <c r="D148" s="396"/>
      <c r="E148" s="396"/>
      <c r="F148" s="396"/>
      <c r="G148" s="143"/>
      <c r="H148" s="143"/>
      <c r="I148" s="143"/>
      <c r="J148" s="143"/>
      <c r="K148" s="143"/>
      <c r="L148" s="144"/>
      <c r="M148" s="144"/>
      <c r="N148" s="144"/>
      <c r="O148" s="144"/>
      <c r="P148" s="144"/>
      <c r="Q148" s="402">
        <f>Q152</f>
        <v>0</v>
      </c>
      <c r="R148" s="402">
        <f t="shared" ref="R148:U148" si="74">R152</f>
        <v>0</v>
      </c>
      <c r="S148" s="402">
        <f t="shared" si="74"/>
        <v>0</v>
      </c>
      <c r="T148" s="402">
        <f t="shared" si="74"/>
        <v>0</v>
      </c>
      <c r="U148" s="402">
        <f t="shared" si="74"/>
        <v>0</v>
      </c>
      <c r="V148" s="410"/>
      <c r="W148" s="144"/>
      <c r="X148" s="396"/>
      <c r="Y148" s="534"/>
    </row>
    <row r="149" spans="1:45" ht="24.6" hidden="1" customHeight="1">
      <c r="A149" s="604"/>
      <c r="B149" s="414" t="s">
        <v>615</v>
      </c>
      <c r="C149" s="396"/>
      <c r="D149" s="396"/>
      <c r="E149" s="396"/>
      <c r="F149" s="396"/>
      <c r="G149" s="143"/>
      <c r="H149" s="143"/>
      <c r="I149" s="143"/>
      <c r="J149" s="143"/>
      <c r="K149" s="143"/>
      <c r="L149" s="144"/>
      <c r="M149" s="144"/>
      <c r="N149" s="144"/>
      <c r="O149" s="144"/>
      <c r="P149" s="144"/>
      <c r="Q149" s="144"/>
      <c r="R149" s="144"/>
      <c r="S149" s="144"/>
      <c r="T149" s="144"/>
      <c r="U149" s="144"/>
      <c r="V149" s="410"/>
      <c r="W149" s="144"/>
      <c r="X149" s="396"/>
      <c r="Y149" s="535"/>
    </row>
    <row r="150" spans="1:45" ht="24.6" hidden="1" customHeight="1">
      <c r="A150" s="605" t="s">
        <v>618</v>
      </c>
      <c r="B150" s="413" t="s">
        <v>91</v>
      </c>
      <c r="C150" s="396"/>
      <c r="D150" s="396"/>
      <c r="E150" s="396"/>
      <c r="F150" s="396"/>
      <c r="G150" s="143"/>
      <c r="H150" s="143"/>
      <c r="I150" s="143"/>
      <c r="J150" s="143"/>
      <c r="K150" s="143"/>
      <c r="L150" s="144"/>
      <c r="M150" s="144"/>
      <c r="N150" s="144"/>
      <c r="O150" s="144"/>
      <c r="P150" s="144"/>
      <c r="Q150" s="144"/>
      <c r="R150" s="144"/>
      <c r="S150" s="144"/>
      <c r="T150" s="144"/>
      <c r="U150" s="144"/>
      <c r="V150" s="410"/>
      <c r="W150" s="144"/>
      <c r="X150" s="396"/>
      <c r="Y150" s="533" t="s">
        <v>655</v>
      </c>
    </row>
    <row r="151" spans="1:45" ht="24.6" hidden="1" customHeight="1">
      <c r="A151" s="606"/>
      <c r="B151" s="413" t="s">
        <v>287</v>
      </c>
      <c r="C151" s="396"/>
      <c r="D151" s="396"/>
      <c r="E151" s="396"/>
      <c r="F151" s="396"/>
      <c r="G151" s="143"/>
      <c r="H151" s="143"/>
      <c r="I151" s="143"/>
      <c r="J151" s="143"/>
      <c r="K151" s="143"/>
      <c r="L151" s="144"/>
      <c r="M151" s="144"/>
      <c r="N151" s="144"/>
      <c r="O151" s="144"/>
      <c r="P151" s="144"/>
      <c r="Q151" s="144">
        <f>Q152</f>
        <v>0</v>
      </c>
      <c r="R151" s="144"/>
      <c r="S151" s="144"/>
      <c r="T151" s="144"/>
      <c r="U151" s="144">
        <f>U152</f>
        <v>0</v>
      </c>
      <c r="V151" s="410"/>
      <c r="W151" s="144"/>
      <c r="X151" s="396"/>
      <c r="Y151" s="534"/>
    </row>
    <row r="152" spans="1:45" ht="24.6" hidden="1" customHeight="1">
      <c r="A152" s="606"/>
      <c r="B152" s="413" t="s">
        <v>11</v>
      </c>
      <c r="C152" s="396"/>
      <c r="D152" s="396"/>
      <c r="E152" s="396"/>
      <c r="F152" s="396"/>
      <c r="G152" s="143"/>
      <c r="H152" s="143"/>
      <c r="I152" s="143"/>
      <c r="J152" s="143"/>
      <c r="K152" s="143"/>
      <c r="L152" s="144"/>
      <c r="M152" s="144"/>
      <c r="N152" s="144"/>
      <c r="O152" s="144"/>
      <c r="P152" s="144"/>
      <c r="Q152" s="144">
        <f>U152</f>
        <v>0</v>
      </c>
      <c r="R152" s="144"/>
      <c r="S152" s="144"/>
      <c r="T152" s="144"/>
      <c r="U152" s="144"/>
      <c r="V152" s="410"/>
      <c r="W152" s="144"/>
      <c r="X152" s="396"/>
      <c r="Y152" s="534"/>
    </row>
    <row r="153" spans="1:45" s="72" customFormat="1" ht="24" hidden="1" customHeight="1">
      <c r="A153" s="596"/>
      <c r="B153" s="399" t="s">
        <v>615</v>
      </c>
      <c r="C153" s="395"/>
      <c r="D153" s="395"/>
      <c r="E153" s="395"/>
      <c r="F153" s="395"/>
      <c r="G153" s="75">
        <f>SUM(H153:K153)</f>
        <v>0</v>
      </c>
      <c r="H153" s="75"/>
      <c r="I153" s="75"/>
      <c r="J153" s="75"/>
      <c r="K153" s="7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395"/>
      <c r="Y153" s="535"/>
      <c r="Z153" s="412"/>
      <c r="AA153" s="412"/>
      <c r="AB153" s="412"/>
      <c r="AC153" s="412"/>
      <c r="AD153" s="412"/>
      <c r="AE153" s="412"/>
      <c r="AF153" s="412"/>
      <c r="AG153" s="412"/>
      <c r="AH153" s="412"/>
      <c r="AI153" s="412"/>
      <c r="AJ153" s="412"/>
      <c r="AK153" s="412"/>
      <c r="AL153" s="412"/>
      <c r="AM153" s="412"/>
      <c r="AN153" s="412"/>
      <c r="AO153" s="412"/>
      <c r="AP153" s="412"/>
      <c r="AQ153" s="412"/>
      <c r="AR153" s="412"/>
      <c r="AS153" s="411"/>
    </row>
    <row r="154" spans="1:45" s="56" customFormat="1" ht="24.6" hidden="1" customHeight="1">
      <c r="A154" s="596" t="s">
        <v>261</v>
      </c>
      <c r="B154" s="397" t="s">
        <v>91</v>
      </c>
      <c r="C154" s="397"/>
      <c r="D154" s="397"/>
      <c r="E154" s="397"/>
      <c r="F154" s="397"/>
      <c r="G154" s="406"/>
      <c r="H154" s="406"/>
      <c r="I154" s="406"/>
      <c r="J154" s="406"/>
      <c r="K154" s="406"/>
      <c r="L154" s="407"/>
      <c r="M154" s="407"/>
      <c r="N154" s="407"/>
      <c r="O154" s="407"/>
      <c r="P154" s="407"/>
      <c r="Q154" s="407">
        <v>0</v>
      </c>
      <c r="R154" s="407"/>
      <c r="S154" s="407"/>
      <c r="T154" s="407"/>
      <c r="U154" s="407"/>
      <c r="V154" s="407">
        <v>0</v>
      </c>
      <c r="W154" s="407"/>
      <c r="X154" s="397"/>
      <c r="Y154" s="541" t="s">
        <v>266</v>
      </c>
    </row>
    <row r="155" spans="1:45" s="56" customFormat="1" ht="24.6" hidden="1" customHeight="1">
      <c r="A155" s="597"/>
      <c r="B155" s="175" t="s">
        <v>287</v>
      </c>
      <c r="C155" s="175"/>
      <c r="D155" s="175"/>
      <c r="E155" s="175"/>
      <c r="F155" s="175"/>
      <c r="G155" s="75">
        <f>G156</f>
        <v>0</v>
      </c>
      <c r="H155" s="75">
        <f t="shared" ref="H155:V155" si="75">H156</f>
        <v>0</v>
      </c>
      <c r="I155" s="75">
        <f t="shared" si="75"/>
        <v>0</v>
      </c>
      <c r="J155" s="75">
        <f t="shared" si="75"/>
        <v>0</v>
      </c>
      <c r="K155" s="75">
        <f t="shared" si="75"/>
        <v>0</v>
      </c>
      <c r="L155" s="135">
        <f t="shared" si="75"/>
        <v>0</v>
      </c>
      <c r="M155" s="135"/>
      <c r="N155" s="135"/>
      <c r="O155" s="135"/>
      <c r="P155" s="135"/>
      <c r="Q155" s="135">
        <f t="shared" si="75"/>
        <v>0</v>
      </c>
      <c r="R155" s="135"/>
      <c r="S155" s="135"/>
      <c r="T155" s="135"/>
      <c r="U155" s="135"/>
      <c r="V155" s="135">
        <f t="shared" si="75"/>
        <v>0</v>
      </c>
      <c r="W155" s="135"/>
      <c r="X155" s="175"/>
      <c r="Y155" s="541"/>
    </row>
    <row r="156" spans="1:45" s="56" customFormat="1" ht="24.6" hidden="1" customHeight="1">
      <c r="A156" s="597"/>
      <c r="B156" s="175" t="s">
        <v>35</v>
      </c>
      <c r="C156" s="175"/>
      <c r="D156" s="175"/>
      <c r="E156" s="175"/>
      <c r="F156" s="175"/>
      <c r="G156" s="75"/>
      <c r="H156" s="75"/>
      <c r="I156" s="75"/>
      <c r="J156" s="75"/>
      <c r="K156" s="75"/>
      <c r="L156" s="135"/>
      <c r="M156" s="135"/>
      <c r="N156" s="135"/>
      <c r="O156" s="135"/>
      <c r="P156" s="135"/>
      <c r="Q156" s="135">
        <v>0</v>
      </c>
      <c r="R156" s="135"/>
      <c r="S156" s="135"/>
      <c r="T156" s="135"/>
      <c r="U156" s="135"/>
      <c r="V156" s="135">
        <v>0</v>
      </c>
      <c r="W156" s="135"/>
      <c r="X156" s="175"/>
      <c r="Y156" s="541"/>
    </row>
    <row r="157" spans="1:45" s="56" customFormat="1" ht="24.9" customHeight="1">
      <c r="A157" s="607" t="s">
        <v>104</v>
      </c>
      <c r="B157" s="83" t="s">
        <v>91</v>
      </c>
      <c r="C157" s="83"/>
      <c r="D157" s="83"/>
      <c r="E157" s="83"/>
      <c r="F157" s="83"/>
      <c r="G157" s="81" t="e">
        <f>#REF!+G161+G165</f>
        <v>#REF!</v>
      </c>
      <c r="H157" s="81" t="e">
        <f>#REF!+H161+H165</f>
        <v>#REF!</v>
      </c>
      <c r="I157" s="81" t="e">
        <f>#REF!+I161+I165</f>
        <v>#REF!</v>
      </c>
      <c r="J157" s="81" t="e">
        <f>#REF!+J161+J165</f>
        <v>#REF!</v>
      </c>
      <c r="K157" s="81" t="e">
        <f>#REF!+K161+K165</f>
        <v>#REF!</v>
      </c>
      <c r="L157" s="134">
        <f>L161+L165</f>
        <v>5.85</v>
      </c>
      <c r="M157" s="134">
        <f t="shared" ref="M157:V157" si="76">M161+M165</f>
        <v>0</v>
      </c>
      <c r="N157" s="134">
        <f t="shared" si="76"/>
        <v>0</v>
      </c>
      <c r="O157" s="134">
        <f t="shared" si="76"/>
        <v>0</v>
      </c>
      <c r="P157" s="134">
        <f t="shared" si="76"/>
        <v>5.85</v>
      </c>
      <c r="Q157" s="134">
        <f t="shared" si="76"/>
        <v>0</v>
      </c>
      <c r="R157" s="134">
        <f t="shared" si="76"/>
        <v>0</v>
      </c>
      <c r="S157" s="134">
        <f t="shared" si="76"/>
        <v>0</v>
      </c>
      <c r="T157" s="134">
        <f t="shared" si="76"/>
        <v>0</v>
      </c>
      <c r="U157" s="134">
        <f t="shared" si="76"/>
        <v>0</v>
      </c>
      <c r="V157" s="134">
        <f t="shared" si="76"/>
        <v>0</v>
      </c>
      <c r="W157" s="134"/>
      <c r="X157" s="175"/>
      <c r="Y157" s="83"/>
    </row>
    <row r="158" spans="1:45" ht="24.9" customHeight="1">
      <c r="A158" s="607"/>
      <c r="B158" s="83" t="s">
        <v>287</v>
      </c>
      <c r="C158" s="83"/>
      <c r="D158" s="83"/>
      <c r="E158" s="83"/>
      <c r="F158" s="83"/>
      <c r="G158" s="81" t="e">
        <f t="shared" ref="G158:V158" si="77">G159+G160</f>
        <v>#REF!</v>
      </c>
      <c r="H158" s="81" t="e">
        <f t="shared" si="77"/>
        <v>#REF!</v>
      </c>
      <c r="I158" s="81" t="e">
        <f t="shared" si="77"/>
        <v>#REF!</v>
      </c>
      <c r="J158" s="81" t="e">
        <f t="shared" si="77"/>
        <v>#REF!</v>
      </c>
      <c r="K158" s="81" t="e">
        <f t="shared" si="77"/>
        <v>#REF!</v>
      </c>
      <c r="L158" s="134">
        <f t="shared" si="77"/>
        <v>199495</v>
      </c>
      <c r="M158" s="134">
        <f t="shared" si="77"/>
        <v>50000</v>
      </c>
      <c r="N158" s="134">
        <f t="shared" si="77"/>
        <v>10600</v>
      </c>
      <c r="O158" s="134">
        <f t="shared" si="77"/>
        <v>12000</v>
      </c>
      <c r="P158" s="134">
        <f t="shared" si="77"/>
        <v>126894.99999999999</v>
      </c>
      <c r="Q158" s="134">
        <f t="shared" si="77"/>
        <v>111891.6</v>
      </c>
      <c r="R158" s="134">
        <f t="shared" si="77"/>
        <v>0</v>
      </c>
      <c r="S158" s="134">
        <f t="shared" si="77"/>
        <v>66291.5</v>
      </c>
      <c r="T158" s="134">
        <f t="shared" si="77"/>
        <v>36660.5</v>
      </c>
      <c r="U158" s="134">
        <f t="shared" si="77"/>
        <v>8939.5999999999985</v>
      </c>
      <c r="V158" s="134">
        <f t="shared" si="77"/>
        <v>0</v>
      </c>
      <c r="W158" s="134"/>
      <c r="X158" s="175"/>
      <c r="Y158" s="83"/>
    </row>
    <row r="159" spans="1:45" ht="24.9" customHeight="1">
      <c r="A159" s="607"/>
      <c r="B159" s="83" t="s">
        <v>11</v>
      </c>
      <c r="C159" s="83"/>
      <c r="D159" s="83"/>
      <c r="E159" s="83"/>
      <c r="F159" s="83"/>
      <c r="G159" s="81" t="e">
        <f>#REF!+G163+G167</f>
        <v>#REF!</v>
      </c>
      <c r="H159" s="81" t="e">
        <f>#REF!+H163+H167</f>
        <v>#REF!</v>
      </c>
      <c r="I159" s="81" t="e">
        <f>#REF!+I163+I167</f>
        <v>#REF!</v>
      </c>
      <c r="J159" s="81" t="e">
        <f>#REF!+J163+J167</f>
        <v>#REF!</v>
      </c>
      <c r="K159" s="81" t="e">
        <f>#REF!+K163+K167</f>
        <v>#REF!</v>
      </c>
      <c r="L159" s="134">
        <f>L163+L167</f>
        <v>199316.8</v>
      </c>
      <c r="M159" s="134">
        <f t="shared" ref="M159:V159" si="78">M163+M167</f>
        <v>50000</v>
      </c>
      <c r="N159" s="134">
        <f t="shared" si="78"/>
        <v>10600</v>
      </c>
      <c r="O159" s="134">
        <f t="shared" si="78"/>
        <v>12000</v>
      </c>
      <c r="P159" s="134">
        <f t="shared" si="78"/>
        <v>126716.79999999999</v>
      </c>
      <c r="Q159" s="134">
        <f t="shared" si="78"/>
        <v>111891.6</v>
      </c>
      <c r="R159" s="134">
        <f t="shared" si="78"/>
        <v>0</v>
      </c>
      <c r="S159" s="134">
        <f t="shared" si="78"/>
        <v>66291.5</v>
      </c>
      <c r="T159" s="134">
        <f t="shared" si="78"/>
        <v>36660.5</v>
      </c>
      <c r="U159" s="134">
        <f t="shared" si="78"/>
        <v>8939.5999999999985</v>
      </c>
      <c r="V159" s="134">
        <f t="shared" si="78"/>
        <v>0</v>
      </c>
      <c r="W159" s="134"/>
      <c r="X159" s="175"/>
      <c r="Y159" s="83"/>
    </row>
    <row r="160" spans="1:45" ht="24" customHeight="1">
      <c r="A160" s="607"/>
      <c r="B160" s="83" t="s">
        <v>615</v>
      </c>
      <c r="C160" s="83"/>
      <c r="D160" s="83"/>
      <c r="E160" s="83"/>
      <c r="F160" s="83"/>
      <c r="G160" s="81" t="e">
        <f>#REF!+G164+G168</f>
        <v>#REF!</v>
      </c>
      <c r="H160" s="81" t="e">
        <f>#REF!+H164+H168</f>
        <v>#REF!</v>
      </c>
      <c r="I160" s="81" t="e">
        <f>#REF!+I164+I168</f>
        <v>#REF!</v>
      </c>
      <c r="J160" s="81" t="e">
        <f>#REF!+J164+J168</f>
        <v>#REF!</v>
      </c>
      <c r="K160" s="81" t="e">
        <f>#REF!+K164+K168</f>
        <v>#REF!</v>
      </c>
      <c r="L160" s="134">
        <f>L164+L168</f>
        <v>178.2</v>
      </c>
      <c r="M160" s="134">
        <f t="shared" ref="M160:P160" si="79">M164+M168</f>
        <v>0</v>
      </c>
      <c r="N160" s="134">
        <f t="shared" si="79"/>
        <v>0</v>
      </c>
      <c r="O160" s="134">
        <f t="shared" si="79"/>
        <v>0</v>
      </c>
      <c r="P160" s="134">
        <f t="shared" si="79"/>
        <v>178.2</v>
      </c>
      <c r="Q160" s="134">
        <f>Q164+Q168</f>
        <v>0</v>
      </c>
      <c r="R160" s="134"/>
      <c r="S160" s="134"/>
      <c r="T160" s="134"/>
      <c r="U160" s="134"/>
      <c r="V160" s="134">
        <f>V164+V168</f>
        <v>0</v>
      </c>
      <c r="W160" s="134"/>
      <c r="X160" s="175"/>
      <c r="Y160" s="83"/>
    </row>
    <row r="161" spans="1:34" ht="0.6" customHeight="1">
      <c r="A161" s="531" t="s">
        <v>380</v>
      </c>
      <c r="B161" s="175" t="s">
        <v>91</v>
      </c>
      <c r="C161" s="175">
        <v>176</v>
      </c>
      <c r="D161" s="175" t="s">
        <v>16</v>
      </c>
      <c r="E161" s="175">
        <v>6100404</v>
      </c>
      <c r="F161" s="175">
        <v>414</v>
      </c>
      <c r="G161" s="75">
        <f>SUM(H161:K161)</f>
        <v>0</v>
      </c>
      <c r="H161" s="75">
        <v>0</v>
      </c>
      <c r="I161" s="75"/>
      <c r="J161" s="75"/>
      <c r="K161" s="75"/>
      <c r="L161" s="135">
        <v>2.2999999999999998</v>
      </c>
      <c r="M161" s="135"/>
      <c r="N161" s="135"/>
      <c r="O161" s="135"/>
      <c r="P161" s="135">
        <v>2.2999999999999998</v>
      </c>
      <c r="Q161" s="135"/>
      <c r="R161" s="135"/>
      <c r="S161" s="135"/>
      <c r="T161" s="135"/>
      <c r="U161" s="135"/>
      <c r="V161" s="135"/>
      <c r="W161" s="135"/>
      <c r="X161" s="175"/>
      <c r="Y161" s="541" t="s">
        <v>381</v>
      </c>
    </row>
    <row r="162" spans="1:34" ht="24.6" hidden="1" customHeight="1">
      <c r="A162" s="531"/>
      <c r="B162" s="175" t="s">
        <v>287</v>
      </c>
      <c r="C162" s="175"/>
      <c r="D162" s="175"/>
      <c r="E162" s="175"/>
      <c r="F162" s="175"/>
      <c r="G162" s="75">
        <f>G163+G164</f>
        <v>48598.1</v>
      </c>
      <c r="H162" s="75">
        <f t="shared" ref="H162:V162" si="80">H163+H164</f>
        <v>0</v>
      </c>
      <c r="I162" s="75">
        <f t="shared" si="80"/>
        <v>4294.2</v>
      </c>
      <c r="J162" s="75">
        <f t="shared" si="80"/>
        <v>30439.7</v>
      </c>
      <c r="K162" s="75">
        <f>K163+K164</f>
        <v>13864.199999999999</v>
      </c>
      <c r="L162" s="135">
        <f t="shared" si="80"/>
        <v>12000</v>
      </c>
      <c r="M162" s="135">
        <f t="shared" si="80"/>
        <v>0</v>
      </c>
      <c r="N162" s="135">
        <f t="shared" si="80"/>
        <v>0</v>
      </c>
      <c r="O162" s="135">
        <f t="shared" si="80"/>
        <v>12000</v>
      </c>
      <c r="P162" s="135">
        <f t="shared" si="80"/>
        <v>0</v>
      </c>
      <c r="Q162" s="135">
        <f t="shared" si="80"/>
        <v>0</v>
      </c>
      <c r="R162" s="135"/>
      <c r="S162" s="135"/>
      <c r="T162" s="135"/>
      <c r="U162" s="135"/>
      <c r="V162" s="135">
        <f t="shared" si="80"/>
        <v>0</v>
      </c>
      <c r="W162" s="135"/>
      <c r="X162" s="175"/>
      <c r="Y162" s="541"/>
      <c r="AF162" s="55">
        <v>121.4</v>
      </c>
      <c r="AH162" s="59"/>
    </row>
    <row r="163" spans="1:34" ht="24.6" hidden="1" customHeight="1">
      <c r="A163" s="531"/>
      <c r="B163" s="175" t="s">
        <v>11</v>
      </c>
      <c r="C163" s="175"/>
      <c r="D163" s="175"/>
      <c r="E163" s="175"/>
      <c r="F163" s="175"/>
      <c r="G163" s="75">
        <f t="shared" ref="G163:G168" si="81">SUM(H163:K163)</f>
        <v>9000</v>
      </c>
      <c r="H163" s="75"/>
      <c r="I163" s="75"/>
      <c r="J163" s="75"/>
      <c r="K163" s="75">
        <v>9000</v>
      </c>
      <c r="L163" s="135">
        <v>12000</v>
      </c>
      <c r="M163" s="135"/>
      <c r="N163" s="135"/>
      <c r="O163" s="135">
        <v>12000</v>
      </c>
      <c r="P163" s="135"/>
      <c r="Q163" s="135"/>
      <c r="R163" s="135"/>
      <c r="S163" s="135"/>
      <c r="T163" s="135"/>
      <c r="U163" s="135"/>
      <c r="V163" s="135"/>
      <c r="W163" s="135"/>
      <c r="X163" s="175"/>
      <c r="Y163" s="541"/>
    </row>
    <row r="164" spans="1:34" ht="24.6" hidden="1" customHeight="1">
      <c r="A164" s="531"/>
      <c r="B164" s="175" t="s">
        <v>35</v>
      </c>
      <c r="C164" s="175"/>
      <c r="D164" s="175"/>
      <c r="E164" s="175"/>
      <c r="F164" s="175"/>
      <c r="G164" s="75">
        <f t="shared" si="81"/>
        <v>39598.1</v>
      </c>
      <c r="H164" s="75"/>
      <c r="I164" s="75">
        <v>4294.2</v>
      </c>
      <c r="J164" s="75">
        <v>30439.7</v>
      </c>
      <c r="K164" s="75">
        <f>19622.8-5148.7-9609.9</f>
        <v>4864.1999999999989</v>
      </c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75"/>
      <c r="Y164" s="541"/>
    </row>
    <row r="165" spans="1:34" ht="24.9" customHeight="1">
      <c r="A165" s="531" t="s">
        <v>247</v>
      </c>
      <c r="B165" s="175" t="s">
        <v>91</v>
      </c>
      <c r="C165" s="175"/>
      <c r="D165" s="175"/>
      <c r="E165" s="175"/>
      <c r="F165" s="175"/>
      <c r="G165" s="75">
        <f t="shared" si="81"/>
        <v>0.59</v>
      </c>
      <c r="H165" s="75"/>
      <c r="I165" s="75"/>
      <c r="J165" s="75"/>
      <c r="K165" s="75">
        <v>0.59</v>
      </c>
      <c r="L165" s="135">
        <v>3.55</v>
      </c>
      <c r="M165" s="135"/>
      <c r="N165" s="135"/>
      <c r="O165" s="135"/>
      <c r="P165" s="135">
        <v>3.55</v>
      </c>
      <c r="Q165" s="135"/>
      <c r="R165" s="135"/>
      <c r="S165" s="135"/>
      <c r="T165" s="135"/>
      <c r="U165" s="135"/>
      <c r="V165" s="135"/>
      <c r="W165" s="135"/>
      <c r="X165" s="175"/>
      <c r="Y165" s="541" t="s">
        <v>692</v>
      </c>
    </row>
    <row r="166" spans="1:34" ht="24.9" customHeight="1">
      <c r="A166" s="531"/>
      <c r="B166" s="175" t="s">
        <v>287</v>
      </c>
      <c r="C166" s="175"/>
      <c r="D166" s="175"/>
      <c r="E166" s="175"/>
      <c r="F166" s="175"/>
      <c r="G166" s="75">
        <f>G167+G168</f>
        <v>25429</v>
      </c>
      <c r="H166" s="75">
        <f t="shared" ref="H166:V166" si="82">H167+H168</f>
        <v>0</v>
      </c>
      <c r="I166" s="75">
        <f t="shared" si="82"/>
        <v>1580</v>
      </c>
      <c r="J166" s="75">
        <f t="shared" si="82"/>
        <v>11200</v>
      </c>
      <c r="K166" s="75">
        <f t="shared" si="82"/>
        <v>12649</v>
      </c>
      <c r="L166" s="135">
        <f t="shared" si="82"/>
        <v>187495</v>
      </c>
      <c r="M166" s="135">
        <f t="shared" si="82"/>
        <v>50000</v>
      </c>
      <c r="N166" s="135">
        <f t="shared" si="82"/>
        <v>10600</v>
      </c>
      <c r="O166" s="135">
        <f t="shared" si="82"/>
        <v>0</v>
      </c>
      <c r="P166" s="135">
        <f t="shared" si="82"/>
        <v>126894.99999999999</v>
      </c>
      <c r="Q166" s="135">
        <f t="shared" si="82"/>
        <v>111891.6</v>
      </c>
      <c r="R166" s="135"/>
      <c r="S166" s="135">
        <v>66291.5</v>
      </c>
      <c r="T166" s="135">
        <f>T167</f>
        <v>36660.5</v>
      </c>
      <c r="U166" s="135">
        <f>U167</f>
        <v>8939.5999999999985</v>
      </c>
      <c r="V166" s="135">
        <f t="shared" si="82"/>
        <v>0</v>
      </c>
      <c r="W166" s="135"/>
      <c r="X166" s="175"/>
      <c r="Y166" s="541"/>
    </row>
    <row r="167" spans="1:34" ht="29.25" customHeight="1">
      <c r="A167" s="531"/>
      <c r="B167" s="175" t="s">
        <v>11</v>
      </c>
      <c r="C167" s="175"/>
      <c r="D167" s="175"/>
      <c r="E167" s="175"/>
      <c r="F167" s="175"/>
      <c r="G167" s="75">
        <f t="shared" si="81"/>
        <v>0</v>
      </c>
      <c r="H167" s="75"/>
      <c r="I167" s="75"/>
      <c r="J167" s="75"/>
      <c r="K167" s="75"/>
      <c r="L167" s="135">
        <f>SUM(M167:P167)</f>
        <v>187316.8</v>
      </c>
      <c r="M167" s="135">
        <v>50000</v>
      </c>
      <c r="N167" s="135">
        <v>10600</v>
      </c>
      <c r="O167" s="135"/>
      <c r="P167" s="135">
        <f>68795.7+57921.1</f>
        <v>126716.79999999999</v>
      </c>
      <c r="Q167" s="135">
        <f>R167+S167+T167+U167</f>
        <v>111891.6</v>
      </c>
      <c r="R167" s="135"/>
      <c r="S167" s="135">
        <v>66291.5</v>
      </c>
      <c r="T167" s="135">
        <v>36660.5</v>
      </c>
      <c r="U167" s="135">
        <f>16439.6-7500</f>
        <v>8939.5999999999985</v>
      </c>
      <c r="V167" s="135"/>
      <c r="W167" s="135"/>
      <c r="X167" s="175"/>
      <c r="Y167" s="541"/>
    </row>
    <row r="168" spans="1:34" ht="24.9" customHeight="1">
      <c r="A168" s="531"/>
      <c r="B168" s="175" t="s">
        <v>615</v>
      </c>
      <c r="C168" s="175"/>
      <c r="D168" s="175"/>
      <c r="E168" s="175"/>
      <c r="F168" s="175"/>
      <c r="G168" s="75">
        <f t="shared" si="81"/>
        <v>25429</v>
      </c>
      <c r="H168" s="75"/>
      <c r="I168" s="75">
        <v>1580</v>
      </c>
      <c r="J168" s="75">
        <v>11200</v>
      </c>
      <c r="K168" s="75">
        <f>7220+5429</f>
        <v>12649</v>
      </c>
      <c r="L168" s="135">
        <v>178.2</v>
      </c>
      <c r="M168" s="135"/>
      <c r="N168" s="135"/>
      <c r="O168" s="135"/>
      <c r="P168" s="135">
        <v>178.2</v>
      </c>
      <c r="Q168" s="135"/>
      <c r="R168" s="135"/>
      <c r="S168" s="135"/>
      <c r="T168" s="135"/>
      <c r="U168" s="135"/>
      <c r="V168" s="135"/>
      <c r="W168" s="135"/>
      <c r="X168" s="175"/>
      <c r="Y168" s="541"/>
    </row>
    <row r="169" spans="1:34" ht="24.9" customHeight="1">
      <c r="A169" s="607" t="s">
        <v>130</v>
      </c>
      <c r="B169" s="83" t="s">
        <v>91</v>
      </c>
      <c r="C169" s="175"/>
      <c r="D169" s="175"/>
      <c r="E169" s="175"/>
      <c r="F169" s="175"/>
      <c r="G169" s="81">
        <f>G173+G176</f>
        <v>0</v>
      </c>
      <c r="H169" s="81">
        <f>H173+H176</f>
        <v>0</v>
      </c>
      <c r="I169" s="81">
        <f>I173+I176</f>
        <v>0</v>
      </c>
      <c r="J169" s="81">
        <f>J173+J176</f>
        <v>0</v>
      </c>
      <c r="K169" s="81">
        <f>K173+K176</f>
        <v>0</v>
      </c>
      <c r="L169" s="134">
        <f>L173+L176+L179+L182</f>
        <v>0</v>
      </c>
      <c r="M169" s="134"/>
      <c r="N169" s="134"/>
      <c r="O169" s="134"/>
      <c r="P169" s="134"/>
      <c r="Q169" s="134">
        <f>Q173+Q176</f>
        <v>0</v>
      </c>
      <c r="R169" s="134"/>
      <c r="S169" s="134"/>
      <c r="T169" s="134"/>
      <c r="U169" s="134"/>
      <c r="V169" s="134">
        <f>V173+V176+V182+V186</f>
        <v>0</v>
      </c>
      <c r="W169" s="158">
        <f>W173+W176+W182+W186</f>
        <v>0</v>
      </c>
      <c r="X169" s="175"/>
      <c r="Y169" s="175"/>
    </row>
    <row r="170" spans="1:34" ht="28.5" customHeight="1">
      <c r="A170" s="607"/>
      <c r="B170" s="83" t="s">
        <v>287</v>
      </c>
      <c r="C170" s="175"/>
      <c r="D170" s="175"/>
      <c r="E170" s="175"/>
      <c r="F170" s="175"/>
      <c r="G170" s="81">
        <f>G172</f>
        <v>0</v>
      </c>
      <c r="H170" s="81">
        <f t="shared" ref="H170:V170" si="83">H172</f>
        <v>0</v>
      </c>
      <c r="I170" s="81">
        <f t="shared" si="83"/>
        <v>0</v>
      </c>
      <c r="J170" s="81">
        <f t="shared" si="83"/>
        <v>0</v>
      </c>
      <c r="K170" s="81">
        <f t="shared" si="83"/>
        <v>0</v>
      </c>
      <c r="L170" s="134">
        <f t="shared" si="83"/>
        <v>0</v>
      </c>
      <c r="M170" s="134"/>
      <c r="N170" s="134"/>
      <c r="O170" s="134"/>
      <c r="P170" s="134"/>
      <c r="Q170" s="134">
        <f t="shared" si="83"/>
        <v>0</v>
      </c>
      <c r="R170" s="134"/>
      <c r="S170" s="134"/>
      <c r="T170" s="134"/>
      <c r="U170" s="134"/>
      <c r="V170" s="134">
        <f t="shared" si="83"/>
        <v>0</v>
      </c>
      <c r="W170" s="134">
        <f>W171</f>
        <v>0</v>
      </c>
      <c r="X170" s="175"/>
      <c r="Y170" s="175"/>
    </row>
    <row r="171" spans="1:34" ht="28.5" customHeight="1">
      <c r="A171" s="607"/>
      <c r="B171" s="83" t="s">
        <v>11</v>
      </c>
      <c r="C171" s="175"/>
      <c r="D171" s="175"/>
      <c r="E171" s="175"/>
      <c r="F171" s="175"/>
      <c r="G171" s="81"/>
      <c r="H171" s="81"/>
      <c r="I171" s="81"/>
      <c r="J171" s="81"/>
      <c r="K171" s="81"/>
      <c r="L171" s="134"/>
      <c r="M171" s="134"/>
      <c r="N171" s="134"/>
      <c r="O171" s="134"/>
      <c r="P171" s="134"/>
      <c r="Q171" s="134">
        <v>0</v>
      </c>
      <c r="R171" s="134"/>
      <c r="S171" s="134"/>
      <c r="T171" s="134"/>
      <c r="U171" s="134"/>
      <c r="V171" s="134">
        <v>0</v>
      </c>
      <c r="W171" s="134">
        <f>W184</f>
        <v>0</v>
      </c>
      <c r="X171" s="175"/>
      <c r="Y171" s="175"/>
    </row>
    <row r="172" spans="1:34" ht="21.6" customHeight="1">
      <c r="A172" s="607"/>
      <c r="B172" s="83" t="s">
        <v>615</v>
      </c>
      <c r="C172" s="175"/>
      <c r="D172" s="175"/>
      <c r="E172" s="175"/>
      <c r="F172" s="175"/>
      <c r="G172" s="81">
        <f t="shared" ref="G172:L172" si="84">G175+G178</f>
        <v>0</v>
      </c>
      <c r="H172" s="81">
        <f t="shared" si="84"/>
        <v>0</v>
      </c>
      <c r="I172" s="81">
        <f t="shared" si="84"/>
        <v>0</v>
      </c>
      <c r="J172" s="81">
        <f t="shared" si="84"/>
        <v>0</v>
      </c>
      <c r="K172" s="81">
        <f t="shared" si="84"/>
        <v>0</v>
      </c>
      <c r="L172" s="134">
        <f t="shared" si="84"/>
        <v>0</v>
      </c>
      <c r="M172" s="134"/>
      <c r="N172" s="134"/>
      <c r="O172" s="134"/>
      <c r="P172" s="134"/>
      <c r="Q172" s="134">
        <f>Q175+Q178+Q181+Q185</f>
        <v>0</v>
      </c>
      <c r="R172" s="134"/>
      <c r="S172" s="134"/>
      <c r="T172" s="134"/>
      <c r="U172" s="134"/>
      <c r="V172" s="134">
        <f>V175+V178+V181+V185+V188</f>
        <v>0</v>
      </c>
      <c r="W172" s="134">
        <f t="shared" ref="W172" si="85">W175+W178+W181+W185</f>
        <v>0</v>
      </c>
      <c r="X172" s="175"/>
      <c r="Y172" s="175"/>
    </row>
    <row r="173" spans="1:34" ht="21.6" hidden="1" customHeight="1">
      <c r="A173" s="577" t="s">
        <v>382</v>
      </c>
      <c r="B173" s="175" t="s">
        <v>91</v>
      </c>
      <c r="C173" s="175"/>
      <c r="D173" s="175"/>
      <c r="E173" s="175"/>
      <c r="F173" s="175"/>
      <c r="G173" s="75"/>
      <c r="H173" s="75"/>
      <c r="I173" s="75"/>
      <c r="J173" s="75"/>
      <c r="K173" s="75"/>
      <c r="L173" s="135">
        <v>0</v>
      </c>
      <c r="M173" s="135"/>
      <c r="N173" s="135"/>
      <c r="O173" s="135"/>
      <c r="P173" s="135"/>
      <c r="Q173" s="135"/>
      <c r="R173" s="135"/>
      <c r="S173" s="135"/>
      <c r="T173" s="135"/>
      <c r="U173" s="135"/>
      <c r="V173" s="157">
        <v>0</v>
      </c>
      <c r="W173" s="157">
        <v>0</v>
      </c>
      <c r="X173" s="175"/>
      <c r="Y173" s="541" t="s">
        <v>464</v>
      </c>
    </row>
    <row r="174" spans="1:34" ht="21.6" hidden="1" customHeight="1">
      <c r="A174" s="578"/>
      <c r="B174" s="175" t="s">
        <v>287</v>
      </c>
      <c r="C174" s="175"/>
      <c r="D174" s="175"/>
      <c r="E174" s="175"/>
      <c r="F174" s="175"/>
      <c r="G174" s="75">
        <f>G175</f>
        <v>0</v>
      </c>
      <c r="H174" s="75">
        <f t="shared" ref="H174:V174" si="86">H175</f>
        <v>0</v>
      </c>
      <c r="I174" s="75">
        <f t="shared" si="86"/>
        <v>0</v>
      </c>
      <c r="J174" s="75">
        <f t="shared" si="86"/>
        <v>0</v>
      </c>
      <c r="K174" s="75">
        <f t="shared" si="86"/>
        <v>0</v>
      </c>
      <c r="L174" s="135">
        <f t="shared" si="86"/>
        <v>0</v>
      </c>
      <c r="M174" s="135"/>
      <c r="N174" s="135"/>
      <c r="O174" s="135"/>
      <c r="P174" s="135"/>
      <c r="Q174" s="135">
        <f t="shared" si="86"/>
        <v>0</v>
      </c>
      <c r="R174" s="135"/>
      <c r="S174" s="135"/>
      <c r="T174" s="135"/>
      <c r="U174" s="135"/>
      <c r="V174" s="135">
        <f t="shared" si="86"/>
        <v>0</v>
      </c>
      <c r="W174" s="135"/>
      <c r="X174" s="175"/>
      <c r="Y174" s="541"/>
    </row>
    <row r="175" spans="1:34" ht="35.4" hidden="1" customHeight="1">
      <c r="A175" s="579"/>
      <c r="B175" s="175" t="s">
        <v>35</v>
      </c>
      <c r="C175" s="175"/>
      <c r="D175" s="175"/>
      <c r="E175" s="175"/>
      <c r="F175" s="175"/>
      <c r="G175" s="75">
        <f>SUM(H175:K175)</f>
        <v>0</v>
      </c>
      <c r="H175" s="75"/>
      <c r="I175" s="75"/>
      <c r="J175" s="75"/>
      <c r="K175" s="75"/>
      <c r="L175" s="135"/>
      <c r="M175" s="135"/>
      <c r="N175" s="135"/>
      <c r="O175" s="135"/>
      <c r="P175" s="135"/>
      <c r="Q175" s="193">
        <v>0</v>
      </c>
      <c r="R175" s="401"/>
      <c r="S175" s="401"/>
      <c r="T175" s="401"/>
      <c r="U175" s="401"/>
      <c r="V175" s="135"/>
      <c r="W175" s="135"/>
      <c r="X175" s="175"/>
      <c r="Y175" s="541"/>
    </row>
    <row r="176" spans="1:34" ht="36" hidden="1" customHeight="1">
      <c r="A176" s="571" t="s">
        <v>436</v>
      </c>
      <c r="B176" s="175" t="s">
        <v>91</v>
      </c>
      <c r="C176" s="175"/>
      <c r="D176" s="175"/>
      <c r="E176" s="175"/>
      <c r="F176" s="175"/>
      <c r="G176" s="75"/>
      <c r="H176" s="75"/>
      <c r="I176" s="75"/>
      <c r="J176" s="75"/>
      <c r="K176" s="7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>
        <v>0</v>
      </c>
      <c r="W176" s="135"/>
      <c r="X176" s="175"/>
      <c r="Y176" s="533" t="s">
        <v>347</v>
      </c>
    </row>
    <row r="177" spans="1:25" ht="36" hidden="1" customHeight="1">
      <c r="A177" s="571"/>
      <c r="B177" s="175" t="s">
        <v>287</v>
      </c>
      <c r="C177" s="175"/>
      <c r="D177" s="175"/>
      <c r="E177" s="175"/>
      <c r="F177" s="175"/>
      <c r="G177" s="75">
        <f>G178</f>
        <v>0</v>
      </c>
      <c r="H177" s="75">
        <f t="shared" ref="H177:V177" si="87">H178</f>
        <v>0</v>
      </c>
      <c r="I177" s="75">
        <f t="shared" si="87"/>
        <v>0</v>
      </c>
      <c r="J177" s="75">
        <f t="shared" si="87"/>
        <v>0</v>
      </c>
      <c r="K177" s="75">
        <f t="shared" si="87"/>
        <v>0</v>
      </c>
      <c r="L177" s="135">
        <f t="shared" si="87"/>
        <v>0</v>
      </c>
      <c r="M177" s="135"/>
      <c r="N177" s="135"/>
      <c r="O177" s="135"/>
      <c r="P177" s="135"/>
      <c r="Q177" s="135">
        <f t="shared" si="87"/>
        <v>0</v>
      </c>
      <c r="R177" s="135"/>
      <c r="S177" s="135"/>
      <c r="T177" s="135"/>
      <c r="U177" s="135"/>
      <c r="V177" s="135">
        <f t="shared" si="87"/>
        <v>0</v>
      </c>
      <c r="W177" s="135"/>
      <c r="X177" s="175"/>
      <c r="Y177" s="534"/>
    </row>
    <row r="178" spans="1:25" ht="33" hidden="1" customHeight="1">
      <c r="A178" s="571"/>
      <c r="B178" s="175" t="s">
        <v>35</v>
      </c>
      <c r="C178" s="175"/>
      <c r="D178" s="175"/>
      <c r="E178" s="175"/>
      <c r="F178" s="175"/>
      <c r="G178" s="75">
        <f>SUM(H178:K178)</f>
        <v>0</v>
      </c>
      <c r="H178" s="75"/>
      <c r="I178" s="75"/>
      <c r="J178" s="75"/>
      <c r="K178" s="7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>
        <v>0</v>
      </c>
      <c r="W178" s="135"/>
      <c r="X178" s="128"/>
      <c r="Y178" s="535"/>
    </row>
    <row r="179" spans="1:25" ht="33" hidden="1" customHeight="1">
      <c r="A179" s="577" t="s">
        <v>358</v>
      </c>
      <c r="B179" s="175" t="s">
        <v>91</v>
      </c>
      <c r="C179" s="175"/>
      <c r="D179" s="175"/>
      <c r="E179" s="175"/>
      <c r="F179" s="175"/>
      <c r="G179" s="75"/>
      <c r="H179" s="75"/>
      <c r="I179" s="75"/>
      <c r="J179" s="75"/>
      <c r="K179" s="7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28"/>
      <c r="Y179" s="533" t="s">
        <v>384</v>
      </c>
    </row>
    <row r="180" spans="1:25" ht="33" hidden="1" customHeight="1">
      <c r="A180" s="578"/>
      <c r="B180" s="175" t="s">
        <v>287</v>
      </c>
      <c r="C180" s="175"/>
      <c r="D180" s="175"/>
      <c r="E180" s="175"/>
      <c r="F180" s="175"/>
      <c r="G180" s="75"/>
      <c r="H180" s="75"/>
      <c r="I180" s="75"/>
      <c r="J180" s="75"/>
      <c r="K180" s="7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>
        <f>V181</f>
        <v>0</v>
      </c>
      <c r="W180" s="135"/>
      <c r="X180" s="128"/>
      <c r="Y180" s="534"/>
    </row>
    <row r="181" spans="1:25" ht="24.6" hidden="1" customHeight="1">
      <c r="A181" s="579"/>
      <c r="B181" s="175" t="s">
        <v>35</v>
      </c>
      <c r="C181" s="175"/>
      <c r="D181" s="175"/>
      <c r="E181" s="175"/>
      <c r="F181" s="175"/>
      <c r="G181" s="75"/>
      <c r="H181" s="75"/>
      <c r="I181" s="75"/>
      <c r="J181" s="75"/>
      <c r="K181" s="7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>
        <v>0</v>
      </c>
      <c r="W181" s="135"/>
      <c r="X181" s="128"/>
      <c r="Y181" s="535"/>
    </row>
    <row r="182" spans="1:25" s="142" customFormat="1" ht="0.6" hidden="1" customHeight="1">
      <c r="A182" s="577" t="s">
        <v>383</v>
      </c>
      <c r="B182" s="139" t="s">
        <v>91</v>
      </c>
      <c r="C182" s="139"/>
      <c r="D182" s="139"/>
      <c r="E182" s="139"/>
      <c r="F182" s="139"/>
      <c r="G182" s="140"/>
      <c r="H182" s="140"/>
      <c r="I182" s="140"/>
      <c r="J182" s="140"/>
      <c r="K182" s="140"/>
      <c r="L182" s="141"/>
      <c r="M182" s="141"/>
      <c r="N182" s="141"/>
      <c r="O182" s="141"/>
      <c r="P182" s="141"/>
      <c r="Q182" s="141"/>
      <c r="R182" s="141"/>
      <c r="S182" s="141"/>
      <c r="T182" s="141"/>
      <c r="U182" s="141"/>
      <c r="V182" s="141">
        <v>0</v>
      </c>
      <c r="W182" s="169"/>
      <c r="X182" s="147"/>
      <c r="Y182" s="533" t="s">
        <v>481</v>
      </c>
    </row>
    <row r="183" spans="1:25" s="142" customFormat="1" ht="24.6" hidden="1" customHeight="1">
      <c r="A183" s="578"/>
      <c r="B183" s="175" t="s">
        <v>287</v>
      </c>
      <c r="C183" s="139"/>
      <c r="D183" s="139"/>
      <c r="E183" s="139"/>
      <c r="F183" s="139"/>
      <c r="G183" s="140"/>
      <c r="H183" s="140"/>
      <c r="I183" s="140"/>
      <c r="J183" s="140"/>
      <c r="K183" s="140"/>
      <c r="L183" s="141"/>
      <c r="M183" s="141"/>
      <c r="N183" s="141"/>
      <c r="O183" s="141"/>
      <c r="P183" s="141"/>
      <c r="Q183" s="141"/>
      <c r="R183" s="141"/>
      <c r="S183" s="141"/>
      <c r="T183" s="141"/>
      <c r="U183" s="141"/>
      <c r="V183" s="141">
        <f>V185</f>
        <v>0</v>
      </c>
      <c r="W183" s="141">
        <f>W184</f>
        <v>0</v>
      </c>
      <c r="X183" s="147"/>
      <c r="Y183" s="534"/>
    </row>
    <row r="184" spans="1:25" s="142" customFormat="1" ht="24.6" hidden="1" customHeight="1">
      <c r="A184" s="578"/>
      <c r="B184" s="177" t="s">
        <v>11</v>
      </c>
      <c r="C184" s="148"/>
      <c r="D184" s="148"/>
      <c r="E184" s="148"/>
      <c r="F184" s="148"/>
      <c r="G184" s="149"/>
      <c r="H184" s="149"/>
      <c r="I184" s="149"/>
      <c r="J184" s="149"/>
      <c r="K184" s="149"/>
      <c r="L184" s="150"/>
      <c r="M184" s="150"/>
      <c r="N184" s="150"/>
      <c r="O184" s="150"/>
      <c r="P184" s="150"/>
      <c r="Q184" s="150"/>
      <c r="R184" s="150"/>
      <c r="S184" s="150"/>
      <c r="T184" s="150"/>
      <c r="U184" s="150"/>
      <c r="V184" s="141"/>
      <c r="W184" s="150"/>
      <c r="X184" s="151"/>
      <c r="Y184" s="534"/>
    </row>
    <row r="185" spans="1:25" s="164" customFormat="1" ht="24.6" hidden="1" customHeight="1">
      <c r="A185" s="578"/>
      <c r="B185" s="165" t="s">
        <v>35</v>
      </c>
      <c r="C185" s="160"/>
      <c r="D185" s="160"/>
      <c r="E185" s="160"/>
      <c r="F185" s="160"/>
      <c r="G185" s="161"/>
      <c r="H185" s="161"/>
      <c r="I185" s="161"/>
      <c r="J185" s="161"/>
      <c r="K185" s="161"/>
      <c r="L185" s="162"/>
      <c r="M185" s="162"/>
      <c r="N185" s="162"/>
      <c r="O185" s="162"/>
      <c r="P185" s="162"/>
      <c r="Q185" s="162"/>
      <c r="R185" s="162"/>
      <c r="S185" s="162"/>
      <c r="T185" s="162"/>
      <c r="U185" s="162"/>
      <c r="V185" s="194">
        <v>0</v>
      </c>
      <c r="W185" s="162"/>
      <c r="X185" s="163"/>
      <c r="Y185" s="535"/>
    </row>
    <row r="186" spans="1:25" s="142" customFormat="1" ht="16.95" customHeight="1">
      <c r="A186" s="577" t="s">
        <v>385</v>
      </c>
      <c r="B186" s="148" t="s">
        <v>91</v>
      </c>
      <c r="C186" s="148"/>
      <c r="D186" s="148"/>
      <c r="E186" s="148"/>
      <c r="F186" s="148"/>
      <c r="G186" s="149"/>
      <c r="H186" s="149"/>
      <c r="I186" s="149"/>
      <c r="J186" s="149"/>
      <c r="K186" s="149"/>
      <c r="L186" s="150"/>
      <c r="M186" s="150"/>
      <c r="N186" s="150"/>
      <c r="O186" s="150"/>
      <c r="P186" s="150"/>
      <c r="Q186" s="150"/>
      <c r="R186" s="150"/>
      <c r="S186" s="150"/>
      <c r="T186" s="150"/>
      <c r="U186" s="150"/>
      <c r="V186" s="141"/>
      <c r="W186" s="150"/>
      <c r="X186" s="151"/>
      <c r="Y186" s="541" t="s">
        <v>365</v>
      </c>
    </row>
    <row r="187" spans="1:25" s="142" customFormat="1" ht="24.6" customHeight="1">
      <c r="A187" s="578"/>
      <c r="B187" s="177" t="s">
        <v>287</v>
      </c>
      <c r="C187" s="148"/>
      <c r="D187" s="148"/>
      <c r="E187" s="148"/>
      <c r="F187" s="148"/>
      <c r="G187" s="149"/>
      <c r="H187" s="149"/>
      <c r="I187" s="149"/>
      <c r="J187" s="149"/>
      <c r="K187" s="149"/>
      <c r="L187" s="150"/>
      <c r="M187" s="150"/>
      <c r="N187" s="150"/>
      <c r="O187" s="150"/>
      <c r="P187" s="150"/>
      <c r="Q187" s="150"/>
      <c r="R187" s="150"/>
      <c r="S187" s="150"/>
      <c r="T187" s="150"/>
      <c r="U187" s="150"/>
      <c r="V187" s="141">
        <f>V188</f>
        <v>0</v>
      </c>
      <c r="W187" s="150"/>
      <c r="X187" s="151"/>
      <c r="Y187" s="541"/>
    </row>
    <row r="188" spans="1:25" s="142" customFormat="1" ht="22.95" customHeight="1">
      <c r="A188" s="579"/>
      <c r="B188" s="139" t="s">
        <v>615</v>
      </c>
      <c r="C188" s="139"/>
      <c r="D188" s="139"/>
      <c r="E188" s="139"/>
      <c r="F188" s="139"/>
      <c r="G188" s="140"/>
      <c r="H188" s="140"/>
      <c r="I188" s="140"/>
      <c r="J188" s="140"/>
      <c r="K188" s="140"/>
      <c r="L188" s="141"/>
      <c r="M188" s="141"/>
      <c r="N188" s="141"/>
      <c r="O188" s="141"/>
      <c r="P188" s="141"/>
      <c r="Q188" s="141"/>
      <c r="R188" s="141"/>
      <c r="S188" s="141"/>
      <c r="T188" s="141"/>
      <c r="U188" s="141"/>
      <c r="V188" s="141">
        <v>0</v>
      </c>
      <c r="W188" s="141"/>
      <c r="X188" s="147"/>
      <c r="Y188" s="541"/>
    </row>
    <row r="189" spans="1:25" ht="24.9" customHeight="1">
      <c r="A189" s="607" t="s">
        <v>132</v>
      </c>
      <c r="B189" s="131" t="s">
        <v>91</v>
      </c>
      <c r="C189" s="179"/>
      <c r="D189" s="179"/>
      <c r="E189" s="179"/>
      <c r="F189" s="179"/>
      <c r="G189" s="145">
        <f>G196</f>
        <v>0</v>
      </c>
      <c r="H189" s="145">
        <f t="shared" ref="H189:K189" si="88">H196</f>
        <v>0</v>
      </c>
      <c r="I189" s="145">
        <f t="shared" si="88"/>
        <v>0</v>
      </c>
      <c r="J189" s="145">
        <f t="shared" si="88"/>
        <v>0</v>
      </c>
      <c r="K189" s="145">
        <f t="shared" si="88"/>
        <v>0</v>
      </c>
      <c r="L189" s="146">
        <f>L196</f>
        <v>0</v>
      </c>
      <c r="M189" s="146"/>
      <c r="N189" s="146"/>
      <c r="O189" s="146"/>
      <c r="P189" s="146"/>
      <c r="Q189" s="146">
        <f>Q193+Q196</f>
        <v>1.7</v>
      </c>
      <c r="R189" s="146">
        <f t="shared" ref="R189:U189" si="89">R193+R196</f>
        <v>0</v>
      </c>
      <c r="S189" s="146">
        <f t="shared" si="89"/>
        <v>0</v>
      </c>
      <c r="T189" s="146">
        <f t="shared" si="89"/>
        <v>0</v>
      </c>
      <c r="U189" s="146">
        <f t="shared" si="89"/>
        <v>1.7</v>
      </c>
      <c r="V189" s="146">
        <f t="shared" ref="V189:W189" si="90">V193+V196</f>
        <v>0</v>
      </c>
      <c r="W189" s="146">
        <f t="shared" si="90"/>
        <v>0</v>
      </c>
      <c r="X189" s="179"/>
      <c r="Y189" s="179"/>
    </row>
    <row r="190" spans="1:25" ht="31.5" customHeight="1">
      <c r="A190" s="607"/>
      <c r="B190" s="83" t="s">
        <v>287</v>
      </c>
      <c r="C190" s="175"/>
      <c r="D190" s="175"/>
      <c r="E190" s="175"/>
      <c r="F190" s="175"/>
      <c r="G190" s="81">
        <f>G192</f>
        <v>0</v>
      </c>
      <c r="H190" s="81">
        <f t="shared" ref="H190:L190" si="91">H192</f>
        <v>0</v>
      </c>
      <c r="I190" s="81">
        <f t="shared" si="91"/>
        <v>0</v>
      </c>
      <c r="J190" s="81">
        <f t="shared" si="91"/>
        <v>0</v>
      </c>
      <c r="K190" s="81">
        <f t="shared" si="91"/>
        <v>0</v>
      </c>
      <c r="L190" s="134">
        <f t="shared" si="91"/>
        <v>0</v>
      </c>
      <c r="M190" s="134"/>
      <c r="N190" s="134"/>
      <c r="O190" s="134"/>
      <c r="P190" s="134"/>
      <c r="Q190" s="134">
        <f>Q194+Q197</f>
        <v>36965.86</v>
      </c>
      <c r="R190" s="134">
        <f t="shared" ref="R190:U190" si="92">R194+R197</f>
        <v>0</v>
      </c>
      <c r="S190" s="134">
        <f t="shared" si="92"/>
        <v>7904.6600000000008</v>
      </c>
      <c r="T190" s="134">
        <f t="shared" si="92"/>
        <v>16600</v>
      </c>
      <c r="U190" s="134">
        <f t="shared" si="92"/>
        <v>12461.2</v>
      </c>
      <c r="V190" s="134">
        <f t="shared" ref="V190:W190" si="93">V194+V197</f>
        <v>0</v>
      </c>
      <c r="W190" s="134">
        <f t="shared" si="93"/>
        <v>0</v>
      </c>
      <c r="X190" s="175"/>
      <c r="Y190" s="175"/>
    </row>
    <row r="191" spans="1:25" ht="31.5" customHeight="1">
      <c r="A191" s="607"/>
      <c r="B191" s="83" t="s">
        <v>11</v>
      </c>
      <c r="C191" s="175"/>
      <c r="D191" s="175"/>
      <c r="E191" s="175"/>
      <c r="F191" s="175"/>
      <c r="G191" s="81"/>
      <c r="H191" s="81"/>
      <c r="I191" s="81"/>
      <c r="J191" s="81"/>
      <c r="K191" s="81"/>
      <c r="L191" s="134"/>
      <c r="M191" s="134"/>
      <c r="N191" s="134"/>
      <c r="O191" s="134"/>
      <c r="P191" s="134"/>
      <c r="Q191" s="134">
        <f>Q198</f>
        <v>36965.86</v>
      </c>
      <c r="R191" s="134">
        <f t="shared" ref="R191:U191" si="94">R198</f>
        <v>0</v>
      </c>
      <c r="S191" s="134">
        <f t="shared" si="94"/>
        <v>7904.6600000000008</v>
      </c>
      <c r="T191" s="134">
        <f t="shared" si="94"/>
        <v>16600</v>
      </c>
      <c r="U191" s="134">
        <f t="shared" si="94"/>
        <v>12461.2</v>
      </c>
      <c r="V191" s="134">
        <f t="shared" ref="V191:W191" si="95">V198</f>
        <v>0</v>
      </c>
      <c r="W191" s="134">
        <f t="shared" si="95"/>
        <v>0</v>
      </c>
      <c r="X191" s="175"/>
      <c r="Y191" s="175"/>
    </row>
    <row r="192" spans="1:25" ht="24" customHeight="1">
      <c r="A192" s="607"/>
      <c r="B192" s="83" t="s">
        <v>615</v>
      </c>
      <c r="C192" s="175"/>
      <c r="D192" s="175"/>
      <c r="E192" s="175"/>
      <c r="F192" s="175"/>
      <c r="G192" s="81">
        <f>G199</f>
        <v>0</v>
      </c>
      <c r="H192" s="81">
        <f t="shared" ref="H192:L192" si="96">H199</f>
        <v>0</v>
      </c>
      <c r="I192" s="81">
        <f t="shared" si="96"/>
        <v>0</v>
      </c>
      <c r="J192" s="81">
        <f t="shared" si="96"/>
        <v>0</v>
      </c>
      <c r="K192" s="81">
        <f t="shared" si="96"/>
        <v>0</v>
      </c>
      <c r="L192" s="134">
        <f t="shared" si="96"/>
        <v>0</v>
      </c>
      <c r="M192" s="134"/>
      <c r="N192" s="134"/>
      <c r="O192" s="134"/>
      <c r="P192" s="134"/>
      <c r="Q192" s="134">
        <f>Q195+Q199</f>
        <v>0</v>
      </c>
      <c r="R192" s="134"/>
      <c r="S192" s="134"/>
      <c r="T192" s="134"/>
      <c r="U192" s="134"/>
      <c r="V192" s="134">
        <f t="shared" ref="V192:W192" si="97">V195+V199</f>
        <v>0</v>
      </c>
      <c r="W192" s="134">
        <f t="shared" si="97"/>
        <v>0</v>
      </c>
      <c r="X192" s="175"/>
      <c r="Y192" s="175"/>
    </row>
    <row r="193" spans="1:32" ht="24.6" hidden="1" customHeight="1">
      <c r="A193" s="609" t="s">
        <v>386</v>
      </c>
      <c r="B193" s="175" t="s">
        <v>91</v>
      </c>
      <c r="C193" s="175"/>
      <c r="D193" s="175"/>
      <c r="E193" s="175"/>
      <c r="F193" s="175"/>
      <c r="G193" s="75"/>
      <c r="H193" s="75"/>
      <c r="I193" s="75"/>
      <c r="J193" s="75"/>
      <c r="K193" s="7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57"/>
      <c r="X193" s="175"/>
      <c r="Y193" s="533" t="s">
        <v>250</v>
      </c>
    </row>
    <row r="194" spans="1:32" ht="24.6" hidden="1" customHeight="1">
      <c r="A194" s="610"/>
      <c r="B194" s="175" t="s">
        <v>287</v>
      </c>
      <c r="C194" s="175"/>
      <c r="D194" s="175"/>
      <c r="E194" s="175"/>
      <c r="F194" s="175"/>
      <c r="G194" s="75"/>
      <c r="H194" s="75"/>
      <c r="I194" s="75"/>
      <c r="J194" s="75"/>
      <c r="K194" s="7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>
        <f>W195</f>
        <v>0</v>
      </c>
      <c r="X194" s="175"/>
      <c r="Y194" s="534"/>
    </row>
    <row r="195" spans="1:32" ht="24.6" hidden="1" customHeight="1">
      <c r="A195" s="611"/>
      <c r="B195" s="175" t="s">
        <v>35</v>
      </c>
      <c r="C195" s="175"/>
      <c r="D195" s="175"/>
      <c r="E195" s="175"/>
      <c r="F195" s="175"/>
      <c r="G195" s="75"/>
      <c r="H195" s="75"/>
      <c r="I195" s="75"/>
      <c r="J195" s="75"/>
      <c r="K195" s="7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75"/>
      <c r="Y195" s="535"/>
    </row>
    <row r="196" spans="1:32" ht="24.9" customHeight="1">
      <c r="A196" s="531" t="s">
        <v>262</v>
      </c>
      <c r="B196" s="175" t="s">
        <v>91</v>
      </c>
      <c r="C196" s="175"/>
      <c r="D196" s="175"/>
      <c r="E196" s="175"/>
      <c r="F196" s="175"/>
      <c r="G196" s="75"/>
      <c r="H196" s="75"/>
      <c r="I196" s="75"/>
      <c r="J196" s="75"/>
      <c r="K196" s="75"/>
      <c r="L196" s="135"/>
      <c r="M196" s="135"/>
      <c r="N196" s="135"/>
      <c r="O196" s="135"/>
      <c r="P196" s="135"/>
      <c r="Q196" s="135">
        <v>1.7</v>
      </c>
      <c r="R196" s="135"/>
      <c r="S196" s="135"/>
      <c r="T196" s="135"/>
      <c r="U196" s="135">
        <v>1.7</v>
      </c>
      <c r="V196" s="135"/>
      <c r="W196" s="135"/>
      <c r="X196" s="175"/>
      <c r="Y196" s="541" t="s">
        <v>263</v>
      </c>
    </row>
    <row r="197" spans="1:32" ht="28.5" customHeight="1">
      <c r="A197" s="531"/>
      <c r="B197" s="175" t="s">
        <v>287</v>
      </c>
      <c r="C197" s="175"/>
      <c r="D197" s="175"/>
      <c r="E197" s="175"/>
      <c r="F197" s="175"/>
      <c r="G197" s="75">
        <f>G199</f>
        <v>0</v>
      </c>
      <c r="H197" s="75">
        <f t="shared" ref="H197:V197" si="98">H199</f>
        <v>0</v>
      </c>
      <c r="I197" s="75">
        <f t="shared" si="98"/>
        <v>0</v>
      </c>
      <c r="J197" s="75">
        <f t="shared" si="98"/>
        <v>0</v>
      </c>
      <c r="K197" s="75">
        <f t="shared" si="98"/>
        <v>0</v>
      </c>
      <c r="L197" s="135">
        <f t="shared" si="98"/>
        <v>0</v>
      </c>
      <c r="M197" s="135"/>
      <c r="N197" s="135"/>
      <c r="O197" s="135"/>
      <c r="P197" s="135"/>
      <c r="Q197" s="135">
        <f>Q198+Q199</f>
        <v>36965.86</v>
      </c>
      <c r="R197" s="135"/>
      <c r="S197" s="135">
        <v>7904.6600000000008</v>
      </c>
      <c r="T197" s="135">
        <v>16600</v>
      </c>
      <c r="U197" s="135">
        <f>U198</f>
        <v>12461.2</v>
      </c>
      <c r="V197" s="135">
        <f t="shared" si="98"/>
        <v>0</v>
      </c>
      <c r="W197" s="135">
        <v>0</v>
      </c>
      <c r="X197" s="175"/>
      <c r="Y197" s="541"/>
    </row>
    <row r="198" spans="1:32" ht="28.5" customHeight="1">
      <c r="A198" s="531"/>
      <c r="B198" s="175" t="s">
        <v>11</v>
      </c>
      <c r="C198" s="175"/>
      <c r="D198" s="175"/>
      <c r="E198" s="175"/>
      <c r="F198" s="175"/>
      <c r="G198" s="75"/>
      <c r="H198" s="75"/>
      <c r="I198" s="75"/>
      <c r="J198" s="75"/>
      <c r="K198" s="75"/>
      <c r="L198" s="135"/>
      <c r="M198" s="135"/>
      <c r="N198" s="135"/>
      <c r="O198" s="135"/>
      <c r="P198" s="135"/>
      <c r="Q198" s="135">
        <f>S198+T198+U198</f>
        <v>36965.86</v>
      </c>
      <c r="R198" s="135"/>
      <c r="S198" s="135">
        <v>7904.6600000000008</v>
      </c>
      <c r="T198" s="135">
        <v>16600</v>
      </c>
      <c r="U198" s="135">
        <v>12461.2</v>
      </c>
      <c r="V198" s="135">
        <v>0</v>
      </c>
      <c r="W198" s="135">
        <v>0</v>
      </c>
      <c r="X198" s="175"/>
      <c r="Y198" s="541"/>
    </row>
    <row r="199" spans="1:32" ht="24.9" customHeight="1">
      <c r="A199" s="531"/>
      <c r="B199" s="175" t="s">
        <v>615</v>
      </c>
      <c r="C199" s="175"/>
      <c r="D199" s="175"/>
      <c r="E199" s="175"/>
      <c r="F199" s="175"/>
      <c r="G199" s="75">
        <f>SUM(H199:K199)</f>
        <v>0</v>
      </c>
      <c r="H199" s="75"/>
      <c r="I199" s="75"/>
      <c r="J199" s="75"/>
      <c r="K199" s="75"/>
      <c r="L199" s="135"/>
      <c r="M199" s="135"/>
      <c r="N199" s="135"/>
      <c r="O199" s="135"/>
      <c r="P199" s="135"/>
      <c r="Q199" s="135">
        <v>0</v>
      </c>
      <c r="R199" s="135"/>
      <c r="S199" s="135"/>
      <c r="T199" s="135"/>
      <c r="U199" s="135"/>
      <c r="V199" s="135">
        <v>0</v>
      </c>
      <c r="W199" s="135">
        <v>0</v>
      </c>
      <c r="X199" s="175"/>
      <c r="Y199" s="541"/>
    </row>
    <row r="200" spans="1:32" ht="24.9" customHeight="1">
      <c r="A200" s="612" t="s">
        <v>134</v>
      </c>
      <c r="B200" s="83" t="s">
        <v>91</v>
      </c>
      <c r="C200" s="175"/>
      <c r="D200" s="175"/>
      <c r="E200" s="175"/>
      <c r="F200" s="175"/>
      <c r="G200" s="81">
        <f t="shared" ref="G200:V200" si="99">G204+G208+G212+G215</f>
        <v>0</v>
      </c>
      <c r="H200" s="81">
        <f t="shared" si="99"/>
        <v>0</v>
      </c>
      <c r="I200" s="81">
        <f t="shared" si="99"/>
        <v>0</v>
      </c>
      <c r="J200" s="81">
        <f t="shared" si="99"/>
        <v>0</v>
      </c>
      <c r="K200" s="81">
        <f t="shared" si="99"/>
        <v>1.24</v>
      </c>
      <c r="L200" s="134">
        <f>L204+L208+L212+L215</f>
        <v>16.11</v>
      </c>
      <c r="M200" s="134">
        <f t="shared" si="99"/>
        <v>0</v>
      </c>
      <c r="N200" s="134">
        <f t="shared" si="99"/>
        <v>0</v>
      </c>
      <c r="O200" s="134">
        <f t="shared" si="99"/>
        <v>0</v>
      </c>
      <c r="P200" s="134">
        <f t="shared" si="99"/>
        <v>16.100000000000001</v>
      </c>
      <c r="Q200" s="134">
        <f t="shared" si="99"/>
        <v>0.6</v>
      </c>
      <c r="R200" s="134">
        <f t="shared" si="99"/>
        <v>0</v>
      </c>
      <c r="S200" s="134">
        <f t="shared" si="99"/>
        <v>0.6</v>
      </c>
      <c r="T200" s="134">
        <f t="shared" si="99"/>
        <v>0</v>
      </c>
      <c r="U200" s="134"/>
      <c r="V200" s="134">
        <f t="shared" si="99"/>
        <v>0</v>
      </c>
      <c r="W200" s="134"/>
      <c r="X200" s="175"/>
      <c r="Y200" s="175"/>
    </row>
    <row r="201" spans="1:32" ht="24.9" customHeight="1">
      <c r="A201" s="612"/>
      <c r="B201" s="83" t="s">
        <v>287</v>
      </c>
      <c r="C201" s="175"/>
      <c r="D201" s="175"/>
      <c r="E201" s="175"/>
      <c r="F201" s="175"/>
      <c r="G201" s="81">
        <f t="shared" ref="G201:V201" si="100">G202+G203</f>
        <v>28933</v>
      </c>
      <c r="H201" s="81">
        <f t="shared" si="100"/>
        <v>0</v>
      </c>
      <c r="I201" s="81">
        <f t="shared" si="100"/>
        <v>0</v>
      </c>
      <c r="J201" s="81">
        <f t="shared" si="100"/>
        <v>0</v>
      </c>
      <c r="K201" s="81">
        <f t="shared" si="100"/>
        <v>28933</v>
      </c>
      <c r="L201" s="134">
        <f t="shared" si="100"/>
        <v>332506.5</v>
      </c>
      <c r="M201" s="134">
        <f t="shared" si="100"/>
        <v>25950</v>
      </c>
      <c r="N201" s="134">
        <f t="shared" si="100"/>
        <v>49450.1</v>
      </c>
      <c r="O201" s="134">
        <f t="shared" si="100"/>
        <v>63774.399999999994</v>
      </c>
      <c r="P201" s="134">
        <f t="shared" si="100"/>
        <v>193332</v>
      </c>
      <c r="Q201" s="134">
        <f>Q202+Q203</f>
        <v>12779.800000000001</v>
      </c>
      <c r="R201" s="134">
        <f t="shared" ref="R201:T201" si="101">R202+R203</f>
        <v>0</v>
      </c>
      <c r="S201" s="134">
        <f t="shared" si="101"/>
        <v>12779.800000000001</v>
      </c>
      <c r="T201" s="134">
        <f t="shared" si="101"/>
        <v>0</v>
      </c>
      <c r="U201" s="134"/>
      <c r="V201" s="134">
        <f t="shared" si="100"/>
        <v>0</v>
      </c>
      <c r="W201" s="134"/>
      <c r="X201" s="175"/>
      <c r="Y201" s="175"/>
    </row>
    <row r="202" spans="1:32" ht="29.25" customHeight="1">
      <c r="A202" s="612"/>
      <c r="B202" s="83" t="s">
        <v>11</v>
      </c>
      <c r="C202" s="175"/>
      <c r="D202" s="175"/>
      <c r="E202" s="175"/>
      <c r="F202" s="175"/>
      <c r="G202" s="81">
        <f>G206+G210</f>
        <v>0</v>
      </c>
      <c r="H202" s="81">
        <f t="shared" ref="H202:V202" si="102">H206+H210</f>
        <v>0</v>
      </c>
      <c r="I202" s="81">
        <f t="shared" si="102"/>
        <v>0</v>
      </c>
      <c r="J202" s="81">
        <f t="shared" si="102"/>
        <v>0</v>
      </c>
      <c r="K202" s="81">
        <f t="shared" si="102"/>
        <v>0</v>
      </c>
      <c r="L202" s="134">
        <f>L206+L210</f>
        <v>154006.79999999999</v>
      </c>
      <c r="M202" s="134">
        <f t="shared" ref="M202:P202" si="103">M206+M210</f>
        <v>25950</v>
      </c>
      <c r="N202" s="134">
        <f t="shared" si="103"/>
        <v>49450.1</v>
      </c>
      <c r="O202" s="134">
        <f t="shared" si="103"/>
        <v>13434.8</v>
      </c>
      <c r="P202" s="134">
        <f t="shared" si="103"/>
        <v>65171.899999999994</v>
      </c>
      <c r="Q202" s="134">
        <f>Q206+Q210</f>
        <v>12779.800000000001</v>
      </c>
      <c r="R202" s="134">
        <f t="shared" ref="R202:T202" si="104">R206+R210</f>
        <v>0</v>
      </c>
      <c r="S202" s="134">
        <f t="shared" si="104"/>
        <v>12779.800000000001</v>
      </c>
      <c r="T202" s="134">
        <f t="shared" si="104"/>
        <v>0</v>
      </c>
      <c r="U202" s="134"/>
      <c r="V202" s="134">
        <f t="shared" si="102"/>
        <v>0</v>
      </c>
      <c r="W202" s="134"/>
      <c r="X202" s="175"/>
      <c r="Y202" s="175"/>
    </row>
    <row r="203" spans="1:32" ht="24" customHeight="1">
      <c r="A203" s="612"/>
      <c r="B203" s="83" t="s">
        <v>615</v>
      </c>
      <c r="C203" s="175"/>
      <c r="D203" s="175"/>
      <c r="E203" s="175"/>
      <c r="F203" s="175"/>
      <c r="G203" s="81">
        <f>G207+G214+G217+G211</f>
        <v>28933</v>
      </c>
      <c r="H203" s="81">
        <f t="shared" ref="H203:V203" si="105">H207+H214+H217</f>
        <v>0</v>
      </c>
      <c r="I203" s="81">
        <f t="shared" si="105"/>
        <v>0</v>
      </c>
      <c r="J203" s="81">
        <f t="shared" si="105"/>
        <v>0</v>
      </c>
      <c r="K203" s="81">
        <f>K207+K214+K217+K211</f>
        <v>28933</v>
      </c>
      <c r="L203" s="134">
        <f t="shared" si="105"/>
        <v>178499.7</v>
      </c>
      <c r="M203" s="134">
        <f t="shared" si="105"/>
        <v>0</v>
      </c>
      <c r="N203" s="134">
        <f t="shared" si="105"/>
        <v>0</v>
      </c>
      <c r="O203" s="134">
        <f t="shared" si="105"/>
        <v>50339.6</v>
      </c>
      <c r="P203" s="134">
        <f t="shared" si="105"/>
        <v>128160.1</v>
      </c>
      <c r="Q203" s="134">
        <f t="shared" si="105"/>
        <v>0</v>
      </c>
      <c r="R203" s="134"/>
      <c r="S203" s="134"/>
      <c r="T203" s="134"/>
      <c r="U203" s="134"/>
      <c r="V203" s="134">
        <f t="shared" si="105"/>
        <v>0</v>
      </c>
      <c r="W203" s="134"/>
      <c r="X203" s="175"/>
      <c r="Y203" s="175"/>
    </row>
    <row r="204" spans="1:32" ht="24.6" hidden="1" customHeight="1">
      <c r="A204" s="571" t="s">
        <v>248</v>
      </c>
      <c r="B204" s="180" t="s">
        <v>91</v>
      </c>
      <c r="C204" s="180"/>
      <c r="D204" s="180"/>
      <c r="E204" s="180"/>
      <c r="F204" s="180"/>
      <c r="G204" s="80"/>
      <c r="H204" s="80"/>
      <c r="I204" s="80"/>
      <c r="J204" s="80"/>
      <c r="K204" s="80"/>
      <c r="L204" s="137">
        <v>5.5679999999999996</v>
      </c>
      <c r="M204" s="137"/>
      <c r="N204" s="137"/>
      <c r="O204" s="137"/>
      <c r="P204" s="137">
        <v>5.6</v>
      </c>
      <c r="Q204" s="137"/>
      <c r="R204" s="137"/>
      <c r="S204" s="137"/>
      <c r="T204" s="137"/>
      <c r="U204" s="137"/>
      <c r="V204" s="137"/>
      <c r="W204" s="137"/>
      <c r="X204" s="180"/>
      <c r="Y204" s="532" t="s">
        <v>249</v>
      </c>
    </row>
    <row r="205" spans="1:32" ht="24.6" hidden="1" customHeight="1">
      <c r="A205" s="571"/>
      <c r="B205" s="180" t="s">
        <v>287</v>
      </c>
      <c r="C205" s="180"/>
      <c r="D205" s="180"/>
      <c r="E205" s="180"/>
      <c r="F205" s="180"/>
      <c r="G205" s="80"/>
      <c r="H205" s="80"/>
      <c r="I205" s="80"/>
      <c r="J205" s="80"/>
      <c r="K205" s="80"/>
      <c r="L205" s="137">
        <f>L206+L207</f>
        <v>116719.6</v>
      </c>
      <c r="M205" s="137">
        <f t="shared" ref="M205:P205" si="106">M206+M207</f>
        <v>0</v>
      </c>
      <c r="N205" s="137">
        <f t="shared" si="106"/>
        <v>3605.1</v>
      </c>
      <c r="O205" s="137">
        <f t="shared" si="106"/>
        <v>43794.3</v>
      </c>
      <c r="P205" s="137">
        <f t="shared" si="106"/>
        <v>69320.2</v>
      </c>
      <c r="Q205" s="137">
        <f>Q206+Q207</f>
        <v>0</v>
      </c>
      <c r="R205" s="137"/>
      <c r="S205" s="137"/>
      <c r="T205" s="137"/>
      <c r="U205" s="137"/>
      <c r="V205" s="137">
        <f>V206+V207</f>
        <v>0</v>
      </c>
      <c r="W205" s="137"/>
      <c r="X205" s="180"/>
      <c r="Y205" s="532"/>
      <c r="AF205" s="55">
        <v>247.3</v>
      </c>
    </row>
    <row r="206" spans="1:32" ht="28.95" hidden="1" customHeight="1">
      <c r="A206" s="571"/>
      <c r="B206" s="180" t="s">
        <v>11</v>
      </c>
      <c r="C206" s="180"/>
      <c r="D206" s="180"/>
      <c r="E206" s="180"/>
      <c r="F206" s="180"/>
      <c r="G206" s="80"/>
      <c r="H206" s="80"/>
      <c r="I206" s="80"/>
      <c r="J206" s="80"/>
      <c r="K206" s="80"/>
      <c r="L206" s="137">
        <v>55750</v>
      </c>
      <c r="M206" s="137"/>
      <c r="N206" s="137">
        <v>3605.1</v>
      </c>
      <c r="O206" s="137">
        <v>13434.8</v>
      </c>
      <c r="P206" s="137">
        <v>38710.1</v>
      </c>
      <c r="Q206" s="137"/>
      <c r="R206" s="137"/>
      <c r="S206" s="137"/>
      <c r="T206" s="137"/>
      <c r="U206" s="137"/>
      <c r="V206" s="137"/>
      <c r="W206" s="137"/>
      <c r="X206" s="180"/>
      <c r="Y206" s="532"/>
    </row>
    <row r="207" spans="1:32" ht="24.6" hidden="1" customHeight="1">
      <c r="A207" s="571"/>
      <c r="B207" s="180" t="s">
        <v>35</v>
      </c>
      <c r="C207" s="180"/>
      <c r="D207" s="180"/>
      <c r="E207" s="180"/>
      <c r="F207" s="180"/>
      <c r="G207" s="80"/>
      <c r="H207" s="80"/>
      <c r="I207" s="80"/>
      <c r="J207" s="80"/>
      <c r="K207" s="80"/>
      <c r="L207" s="137">
        <v>60969.599999999999</v>
      </c>
      <c r="M207" s="137"/>
      <c r="N207" s="137"/>
      <c r="O207" s="137">
        <v>30359.5</v>
      </c>
      <c r="P207" s="137">
        <v>30610.1</v>
      </c>
      <c r="Q207" s="137"/>
      <c r="R207" s="137"/>
      <c r="S207" s="137"/>
      <c r="T207" s="137"/>
      <c r="U207" s="137"/>
      <c r="V207" s="137"/>
      <c r="W207" s="137"/>
      <c r="X207" s="180"/>
      <c r="Y207" s="532"/>
    </row>
    <row r="208" spans="1:32" ht="24.9" customHeight="1">
      <c r="A208" s="571" t="s">
        <v>264</v>
      </c>
      <c r="B208" s="175" t="s">
        <v>91</v>
      </c>
      <c r="C208" s="175"/>
      <c r="D208" s="175"/>
      <c r="E208" s="175"/>
      <c r="F208" s="175"/>
      <c r="G208" s="75"/>
      <c r="H208" s="75"/>
      <c r="I208" s="75"/>
      <c r="J208" s="75"/>
      <c r="K208" s="75">
        <v>1.24</v>
      </c>
      <c r="L208" s="135">
        <f>3.93+0.612</f>
        <v>4.5419999999999998</v>
      </c>
      <c r="M208" s="135"/>
      <c r="N208" s="135"/>
      <c r="O208" s="135"/>
      <c r="P208" s="135">
        <v>4.5</v>
      </c>
      <c r="Q208" s="135">
        <v>0.6</v>
      </c>
      <c r="R208" s="135"/>
      <c r="S208" s="135">
        <v>0.6</v>
      </c>
      <c r="T208" s="135"/>
      <c r="U208" s="135"/>
      <c r="V208" s="135"/>
      <c r="W208" s="135"/>
      <c r="X208" s="175"/>
      <c r="Y208" s="533" t="s">
        <v>626</v>
      </c>
    </row>
    <row r="209" spans="1:25" ht="24.9" customHeight="1">
      <c r="A209" s="571"/>
      <c r="B209" s="175" t="s">
        <v>287</v>
      </c>
      <c r="C209" s="175"/>
      <c r="D209" s="175"/>
      <c r="E209" s="175"/>
      <c r="F209" s="175"/>
      <c r="G209" s="75">
        <f>G210+G211</f>
        <v>28933</v>
      </c>
      <c r="H209" s="75">
        <f>H210+H211</f>
        <v>0</v>
      </c>
      <c r="I209" s="75">
        <f>I210+I211</f>
        <v>0</v>
      </c>
      <c r="J209" s="75">
        <f>J210+J211</f>
        <v>0</v>
      </c>
      <c r="K209" s="75">
        <f>K210+K211</f>
        <v>28933</v>
      </c>
      <c r="L209" s="135">
        <f>L210</f>
        <v>98256.8</v>
      </c>
      <c r="M209" s="135">
        <f>M210</f>
        <v>25950</v>
      </c>
      <c r="N209" s="135">
        <f t="shared" ref="N209:P209" si="107">N210</f>
        <v>45845</v>
      </c>
      <c r="O209" s="135">
        <f t="shared" si="107"/>
        <v>0</v>
      </c>
      <c r="P209" s="135">
        <f t="shared" si="107"/>
        <v>26461.8</v>
      </c>
      <c r="Q209" s="135">
        <f>Q210</f>
        <v>12779.800000000001</v>
      </c>
      <c r="R209" s="135"/>
      <c r="S209" s="135">
        <f>S210</f>
        <v>12779.800000000001</v>
      </c>
      <c r="T209" s="135"/>
      <c r="U209" s="135"/>
      <c r="V209" s="135">
        <f>V210</f>
        <v>0</v>
      </c>
      <c r="W209" s="135"/>
      <c r="X209" s="175"/>
      <c r="Y209" s="534"/>
    </row>
    <row r="210" spans="1:25" ht="28.5" customHeight="1">
      <c r="A210" s="571"/>
      <c r="B210" s="175" t="s">
        <v>11</v>
      </c>
      <c r="C210" s="175"/>
      <c r="D210" s="175"/>
      <c r="E210" s="175"/>
      <c r="F210" s="175"/>
      <c r="G210" s="75">
        <f>SUM(H210:K210)</f>
        <v>0</v>
      </c>
      <c r="H210" s="75"/>
      <c r="I210" s="75"/>
      <c r="J210" s="75"/>
      <c r="K210" s="75"/>
      <c r="L210" s="135">
        <v>98256.8</v>
      </c>
      <c r="M210" s="135">
        <v>25950</v>
      </c>
      <c r="N210" s="135">
        <v>45845</v>
      </c>
      <c r="O210" s="135"/>
      <c r="P210" s="135">
        <v>26461.8</v>
      </c>
      <c r="Q210" s="135">
        <f>S210</f>
        <v>12779.800000000001</v>
      </c>
      <c r="R210" s="135"/>
      <c r="S210" s="135">
        <f>13932.2-1152.4</f>
        <v>12779.800000000001</v>
      </c>
      <c r="T210" s="135"/>
      <c r="U210" s="135"/>
      <c r="V210" s="135"/>
      <c r="W210" s="135"/>
      <c r="X210" s="175"/>
      <c r="Y210" s="534"/>
    </row>
    <row r="211" spans="1:25" ht="24.6" customHeight="1">
      <c r="A211" s="571"/>
      <c r="B211" s="175" t="s">
        <v>615</v>
      </c>
      <c r="C211" s="175"/>
      <c r="D211" s="175"/>
      <c r="E211" s="175"/>
      <c r="F211" s="175"/>
      <c r="G211" s="75">
        <f>SUM(H211:K211)</f>
        <v>28933</v>
      </c>
      <c r="H211" s="75"/>
      <c r="I211" s="75"/>
      <c r="J211" s="75"/>
      <c r="K211" s="75">
        <v>28933</v>
      </c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75"/>
      <c r="Y211" s="535"/>
    </row>
    <row r="212" spans="1:25" ht="24.6" hidden="1" customHeight="1">
      <c r="A212" s="571" t="s">
        <v>291</v>
      </c>
      <c r="B212" s="175" t="s">
        <v>91</v>
      </c>
      <c r="C212" s="175"/>
      <c r="D212" s="175"/>
      <c r="E212" s="175"/>
      <c r="F212" s="175"/>
      <c r="G212" s="75"/>
      <c r="H212" s="75"/>
      <c r="I212" s="75"/>
      <c r="J212" s="75"/>
      <c r="K212" s="75"/>
      <c r="L212" s="135">
        <f>P212</f>
        <v>6</v>
      </c>
      <c r="M212" s="135"/>
      <c r="N212" s="135"/>
      <c r="O212" s="135"/>
      <c r="P212" s="135">
        <v>6</v>
      </c>
      <c r="Q212" s="135"/>
      <c r="R212" s="135"/>
      <c r="S212" s="135"/>
      <c r="T212" s="135"/>
      <c r="U212" s="135"/>
      <c r="V212" s="135"/>
      <c r="W212" s="135"/>
      <c r="X212" s="175"/>
      <c r="Y212" s="541" t="s">
        <v>353</v>
      </c>
    </row>
    <row r="213" spans="1:25" ht="27.6" hidden="1" customHeight="1">
      <c r="A213" s="571"/>
      <c r="B213" s="175" t="s">
        <v>287</v>
      </c>
      <c r="C213" s="175"/>
      <c r="D213" s="175"/>
      <c r="E213" s="175"/>
      <c r="F213" s="175"/>
      <c r="G213" s="75"/>
      <c r="H213" s="75"/>
      <c r="I213" s="75"/>
      <c r="J213" s="75"/>
      <c r="K213" s="75"/>
      <c r="L213" s="135">
        <f>L214</f>
        <v>117530.1</v>
      </c>
      <c r="M213" s="135">
        <f t="shared" ref="M213:P213" si="108">M214</f>
        <v>0</v>
      </c>
      <c r="N213" s="135">
        <f t="shared" si="108"/>
        <v>0</v>
      </c>
      <c r="O213" s="135">
        <f t="shared" si="108"/>
        <v>19980.099999999999</v>
      </c>
      <c r="P213" s="135">
        <f t="shared" si="108"/>
        <v>97550</v>
      </c>
      <c r="Q213" s="135">
        <f>Q214</f>
        <v>0</v>
      </c>
      <c r="R213" s="135"/>
      <c r="S213" s="135"/>
      <c r="T213" s="135"/>
      <c r="U213" s="135"/>
      <c r="V213" s="135">
        <f>V214</f>
        <v>0</v>
      </c>
      <c r="W213" s="135"/>
      <c r="X213" s="175"/>
      <c r="Y213" s="541"/>
    </row>
    <row r="214" spans="1:25" ht="24.6" hidden="1" customHeight="1">
      <c r="A214" s="571"/>
      <c r="B214" s="175" t="s">
        <v>35</v>
      </c>
      <c r="C214" s="175"/>
      <c r="D214" s="175"/>
      <c r="E214" s="175"/>
      <c r="F214" s="175"/>
      <c r="G214" s="75"/>
      <c r="H214" s="75"/>
      <c r="I214" s="75"/>
      <c r="J214" s="75"/>
      <c r="K214" s="75"/>
      <c r="L214" s="135">
        <f>86932.8+30597.3</f>
        <v>117530.1</v>
      </c>
      <c r="M214" s="135"/>
      <c r="N214" s="135"/>
      <c r="O214" s="135">
        <v>19980.099999999999</v>
      </c>
      <c r="P214" s="135">
        <v>97550</v>
      </c>
      <c r="Q214" s="135"/>
      <c r="R214" s="135"/>
      <c r="S214" s="135"/>
      <c r="T214" s="135"/>
      <c r="U214" s="135"/>
      <c r="V214" s="135"/>
      <c r="W214" s="135"/>
      <c r="X214" s="175"/>
      <c r="Y214" s="541"/>
    </row>
    <row r="215" spans="1:25" s="56" customFormat="1" ht="0.6" customHeight="1">
      <c r="A215" s="571" t="s">
        <v>387</v>
      </c>
      <c r="B215" s="175" t="s">
        <v>91</v>
      </c>
      <c r="C215" s="175"/>
      <c r="D215" s="175"/>
      <c r="E215" s="175"/>
      <c r="F215" s="175"/>
      <c r="G215" s="75"/>
      <c r="H215" s="75"/>
      <c r="I215" s="75"/>
      <c r="J215" s="75"/>
      <c r="K215" s="75"/>
      <c r="L215" s="135"/>
      <c r="M215" s="135"/>
      <c r="N215" s="135"/>
      <c r="O215" s="135"/>
      <c r="P215" s="135"/>
      <c r="Q215" s="135">
        <v>0</v>
      </c>
      <c r="R215" s="135"/>
      <c r="S215" s="135"/>
      <c r="T215" s="135"/>
      <c r="U215" s="135"/>
      <c r="V215" s="135"/>
      <c r="W215" s="135"/>
      <c r="X215" s="175"/>
      <c r="Y215" s="541" t="s">
        <v>268</v>
      </c>
    </row>
    <row r="216" spans="1:25" s="56" customFormat="1" ht="24.6" hidden="1" customHeight="1">
      <c r="A216" s="571"/>
      <c r="B216" s="175" t="s">
        <v>287</v>
      </c>
      <c r="C216" s="175"/>
      <c r="D216" s="175"/>
      <c r="E216" s="175"/>
      <c r="F216" s="175"/>
      <c r="G216" s="75"/>
      <c r="H216" s="75"/>
      <c r="I216" s="75"/>
      <c r="J216" s="75"/>
      <c r="K216" s="75"/>
      <c r="L216" s="135">
        <f>L217</f>
        <v>0</v>
      </c>
      <c r="M216" s="135"/>
      <c r="N216" s="135"/>
      <c r="O216" s="135"/>
      <c r="P216" s="135"/>
      <c r="Q216" s="135">
        <f>Q217</f>
        <v>0</v>
      </c>
      <c r="R216" s="135"/>
      <c r="S216" s="135"/>
      <c r="T216" s="135"/>
      <c r="U216" s="135"/>
      <c r="V216" s="135">
        <f>V217</f>
        <v>0</v>
      </c>
      <c r="W216" s="135"/>
      <c r="X216" s="175"/>
      <c r="Y216" s="541"/>
    </row>
    <row r="217" spans="1:25" s="56" customFormat="1" ht="24.6" hidden="1" customHeight="1">
      <c r="A217" s="571"/>
      <c r="B217" s="175" t="s">
        <v>35</v>
      </c>
      <c r="C217" s="175"/>
      <c r="D217" s="175"/>
      <c r="E217" s="175"/>
      <c r="F217" s="175"/>
      <c r="G217" s="75"/>
      <c r="H217" s="75"/>
      <c r="I217" s="75"/>
      <c r="J217" s="75"/>
      <c r="K217" s="75"/>
      <c r="L217" s="135"/>
      <c r="M217" s="135"/>
      <c r="N217" s="135"/>
      <c r="O217" s="135"/>
      <c r="P217" s="135"/>
      <c r="Q217" s="135">
        <v>0</v>
      </c>
      <c r="R217" s="135"/>
      <c r="S217" s="135"/>
      <c r="T217" s="135"/>
      <c r="U217" s="135"/>
      <c r="V217" s="135"/>
      <c r="W217" s="135"/>
      <c r="X217" s="175"/>
      <c r="Y217" s="541"/>
    </row>
    <row r="218" spans="1:25" s="56" customFormat="1" ht="24.9" customHeight="1">
      <c r="A218" s="577" t="s">
        <v>360</v>
      </c>
      <c r="B218" s="175" t="s">
        <v>91</v>
      </c>
      <c r="C218" s="175"/>
      <c r="D218" s="175"/>
      <c r="E218" s="175"/>
      <c r="F218" s="175"/>
      <c r="G218" s="75"/>
      <c r="H218" s="75"/>
      <c r="I218" s="75"/>
      <c r="J218" s="75"/>
      <c r="K218" s="7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75"/>
      <c r="Y218" s="533" t="s">
        <v>365</v>
      </c>
    </row>
    <row r="219" spans="1:25" s="56" customFormat="1" ht="24.9" customHeight="1">
      <c r="A219" s="578"/>
      <c r="B219" s="175" t="s">
        <v>287</v>
      </c>
      <c r="C219" s="175"/>
      <c r="D219" s="175"/>
      <c r="E219" s="175"/>
      <c r="F219" s="175"/>
      <c r="G219" s="75"/>
      <c r="H219" s="75"/>
      <c r="I219" s="75"/>
      <c r="J219" s="75"/>
      <c r="K219" s="7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75"/>
      <c r="Y219" s="534"/>
    </row>
    <row r="220" spans="1:25" s="56" customFormat="1" ht="24.9" customHeight="1">
      <c r="A220" s="578"/>
      <c r="B220" s="175" t="s">
        <v>11</v>
      </c>
      <c r="C220" s="175"/>
      <c r="D220" s="175"/>
      <c r="E220" s="175"/>
      <c r="F220" s="175"/>
      <c r="G220" s="75"/>
      <c r="H220" s="75"/>
      <c r="I220" s="75"/>
      <c r="J220" s="75"/>
      <c r="K220" s="7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75"/>
      <c r="Y220" s="534"/>
    </row>
    <row r="221" spans="1:25" s="56" customFormat="1" ht="24.9" customHeight="1">
      <c r="A221" s="579"/>
      <c r="B221" s="175" t="s">
        <v>615</v>
      </c>
      <c r="C221" s="175"/>
      <c r="D221" s="175"/>
      <c r="E221" s="175"/>
      <c r="F221" s="175"/>
      <c r="G221" s="75"/>
      <c r="H221" s="75"/>
      <c r="I221" s="75"/>
      <c r="J221" s="75"/>
      <c r="K221" s="7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75"/>
      <c r="Y221" s="535"/>
    </row>
    <row r="222" spans="1:25" s="56" customFormat="1" ht="24.6" hidden="1" customHeight="1">
      <c r="A222" s="550" t="s">
        <v>105</v>
      </c>
      <c r="B222" s="83" t="s">
        <v>91</v>
      </c>
      <c r="C222" s="83"/>
      <c r="D222" s="83"/>
      <c r="E222" s="83"/>
      <c r="F222" s="83"/>
      <c r="G222" s="81">
        <f>G226+G230</f>
        <v>0.61</v>
      </c>
      <c r="H222" s="81">
        <f t="shared" ref="H222:V222" si="109">H226+H230</f>
        <v>0</v>
      </c>
      <c r="I222" s="81">
        <f t="shared" si="109"/>
        <v>0</v>
      </c>
      <c r="J222" s="81">
        <f t="shared" si="109"/>
        <v>0</v>
      </c>
      <c r="K222" s="81">
        <f t="shared" si="109"/>
        <v>0.61</v>
      </c>
      <c r="L222" s="134">
        <f>L226+L230</f>
        <v>0</v>
      </c>
      <c r="M222" s="134"/>
      <c r="N222" s="134"/>
      <c r="O222" s="134"/>
      <c r="P222" s="134"/>
      <c r="Q222" s="134">
        <f t="shared" si="109"/>
        <v>0</v>
      </c>
      <c r="R222" s="134"/>
      <c r="S222" s="134"/>
      <c r="T222" s="134"/>
      <c r="U222" s="134"/>
      <c r="V222" s="134">
        <f t="shared" si="109"/>
        <v>0</v>
      </c>
      <c r="W222" s="134"/>
      <c r="X222" s="175"/>
      <c r="Y222" s="83"/>
    </row>
    <row r="223" spans="1:25" ht="30" hidden="1" customHeight="1">
      <c r="A223" s="551"/>
      <c r="B223" s="83" t="s">
        <v>287</v>
      </c>
      <c r="C223" s="83"/>
      <c r="D223" s="83"/>
      <c r="E223" s="83"/>
      <c r="F223" s="83"/>
      <c r="G223" s="81">
        <f>G224+G225</f>
        <v>9768</v>
      </c>
      <c r="H223" s="81">
        <f t="shared" ref="H223:V223" si="110">H224+H225</f>
        <v>97.2</v>
      </c>
      <c r="I223" s="81">
        <f t="shared" si="110"/>
        <v>764</v>
      </c>
      <c r="J223" s="81">
        <f t="shared" si="110"/>
        <v>5415.6</v>
      </c>
      <c r="K223" s="81">
        <f t="shared" si="110"/>
        <v>3491.2</v>
      </c>
      <c r="L223" s="134">
        <f t="shared" si="110"/>
        <v>0</v>
      </c>
      <c r="M223" s="134"/>
      <c r="N223" s="134"/>
      <c r="O223" s="134"/>
      <c r="P223" s="134"/>
      <c r="Q223" s="134">
        <f t="shared" si="110"/>
        <v>0</v>
      </c>
      <c r="R223" s="134"/>
      <c r="S223" s="134"/>
      <c r="T223" s="134"/>
      <c r="U223" s="134"/>
      <c r="V223" s="134">
        <f t="shared" si="110"/>
        <v>0</v>
      </c>
      <c r="W223" s="134"/>
      <c r="X223" s="175"/>
      <c r="Y223" s="83"/>
    </row>
    <row r="224" spans="1:25" ht="31.2" hidden="1" customHeight="1">
      <c r="A224" s="551"/>
      <c r="B224" s="83" t="s">
        <v>11</v>
      </c>
      <c r="C224" s="83"/>
      <c r="D224" s="83"/>
      <c r="E224" s="83"/>
      <c r="F224" s="83"/>
      <c r="G224" s="81">
        <f>G228</f>
        <v>97.2</v>
      </c>
      <c r="H224" s="81">
        <f t="shared" ref="H224:V224" si="111">H228</f>
        <v>97.2</v>
      </c>
      <c r="I224" s="81">
        <f t="shared" si="111"/>
        <v>0</v>
      </c>
      <c r="J224" s="81">
        <f t="shared" si="111"/>
        <v>0</v>
      </c>
      <c r="K224" s="81">
        <f t="shared" si="111"/>
        <v>0</v>
      </c>
      <c r="L224" s="134">
        <f t="shared" si="111"/>
        <v>0</v>
      </c>
      <c r="M224" s="134"/>
      <c r="N224" s="134"/>
      <c r="O224" s="134"/>
      <c r="P224" s="134"/>
      <c r="Q224" s="134">
        <f t="shared" si="111"/>
        <v>0</v>
      </c>
      <c r="R224" s="134"/>
      <c r="S224" s="134"/>
      <c r="T224" s="134"/>
      <c r="U224" s="134"/>
      <c r="V224" s="134">
        <f t="shared" si="111"/>
        <v>0</v>
      </c>
      <c r="W224" s="134"/>
      <c r="X224" s="175"/>
      <c r="Y224" s="83"/>
    </row>
    <row r="225" spans="1:25" ht="22.95" hidden="1" customHeight="1">
      <c r="A225" s="552"/>
      <c r="B225" s="83" t="s">
        <v>35</v>
      </c>
      <c r="C225" s="83"/>
      <c r="D225" s="83"/>
      <c r="E225" s="83"/>
      <c r="F225" s="83"/>
      <c r="G225" s="81">
        <f>G229+G232</f>
        <v>9670.7999999999993</v>
      </c>
      <c r="H225" s="81">
        <f t="shared" ref="H225:V225" si="112">H229+H232</f>
        <v>0</v>
      </c>
      <c r="I225" s="81">
        <f t="shared" si="112"/>
        <v>764</v>
      </c>
      <c r="J225" s="81">
        <f t="shared" si="112"/>
        <v>5415.6</v>
      </c>
      <c r="K225" s="81">
        <f t="shared" si="112"/>
        <v>3491.2</v>
      </c>
      <c r="L225" s="134">
        <f t="shared" si="112"/>
        <v>0</v>
      </c>
      <c r="M225" s="134"/>
      <c r="N225" s="134"/>
      <c r="O225" s="134"/>
      <c r="P225" s="134"/>
      <c r="Q225" s="134">
        <f t="shared" si="112"/>
        <v>0</v>
      </c>
      <c r="R225" s="134"/>
      <c r="S225" s="134"/>
      <c r="T225" s="134"/>
      <c r="U225" s="134"/>
      <c r="V225" s="134">
        <f t="shared" si="112"/>
        <v>0</v>
      </c>
      <c r="W225" s="134"/>
      <c r="X225" s="175"/>
      <c r="Y225" s="83"/>
    </row>
    <row r="226" spans="1:25" ht="30.75" hidden="1" customHeight="1">
      <c r="A226" s="531" t="s">
        <v>24</v>
      </c>
      <c r="B226" s="175" t="s">
        <v>91</v>
      </c>
      <c r="C226" s="175">
        <v>176</v>
      </c>
      <c r="D226" s="175" t="s">
        <v>16</v>
      </c>
      <c r="E226" s="175">
        <v>6100404</v>
      </c>
      <c r="F226" s="175">
        <v>414</v>
      </c>
      <c r="G226" s="75">
        <f>SUM(H226:K226)</f>
        <v>0.61</v>
      </c>
      <c r="H226" s="75"/>
      <c r="I226" s="75"/>
      <c r="J226" s="75"/>
      <c r="K226" s="75">
        <v>0.61</v>
      </c>
      <c r="L226" s="135">
        <v>0</v>
      </c>
      <c r="M226" s="135"/>
      <c r="N226" s="135"/>
      <c r="O226" s="135"/>
      <c r="P226" s="135"/>
      <c r="Q226" s="135">
        <v>0</v>
      </c>
      <c r="R226" s="135"/>
      <c r="S226" s="135"/>
      <c r="T226" s="135"/>
      <c r="U226" s="135"/>
      <c r="V226" s="135"/>
      <c r="W226" s="135"/>
      <c r="X226" s="175"/>
      <c r="Y226" s="541" t="s">
        <v>326</v>
      </c>
    </row>
    <row r="227" spans="1:25" ht="24.9" hidden="1" customHeight="1">
      <c r="A227" s="531"/>
      <c r="B227" s="175" t="s">
        <v>287</v>
      </c>
      <c r="C227" s="175"/>
      <c r="D227" s="175"/>
      <c r="E227" s="175"/>
      <c r="F227" s="175"/>
      <c r="G227" s="75">
        <f>SUM(H227:K227)</f>
        <v>9768</v>
      </c>
      <c r="H227" s="75">
        <f>H228+H229</f>
        <v>97.2</v>
      </c>
      <c r="I227" s="75">
        <f t="shared" ref="I227:V227" si="113">I228+I229</f>
        <v>764</v>
      </c>
      <c r="J227" s="75">
        <f t="shared" si="113"/>
        <v>5415.6</v>
      </c>
      <c r="K227" s="75">
        <f t="shared" si="113"/>
        <v>3491.2</v>
      </c>
      <c r="L227" s="135">
        <f t="shared" si="113"/>
        <v>0</v>
      </c>
      <c r="M227" s="135"/>
      <c r="N227" s="135"/>
      <c r="O227" s="135"/>
      <c r="P227" s="135"/>
      <c r="Q227" s="135">
        <f t="shared" si="113"/>
        <v>0</v>
      </c>
      <c r="R227" s="135"/>
      <c r="S227" s="135"/>
      <c r="T227" s="135"/>
      <c r="U227" s="135"/>
      <c r="V227" s="135">
        <f t="shared" si="113"/>
        <v>0</v>
      </c>
      <c r="W227" s="135"/>
      <c r="X227" s="175"/>
      <c r="Y227" s="541"/>
    </row>
    <row r="228" spans="1:25" ht="29.25" hidden="1" customHeight="1">
      <c r="A228" s="531"/>
      <c r="B228" s="175" t="s">
        <v>11</v>
      </c>
      <c r="C228" s="175"/>
      <c r="D228" s="175"/>
      <c r="E228" s="175"/>
      <c r="F228" s="175"/>
      <c r="G228" s="75">
        <f>SUM(H228:K228)</f>
        <v>97.2</v>
      </c>
      <c r="H228" s="75">
        <v>97.2</v>
      </c>
      <c r="I228" s="75"/>
      <c r="J228" s="75"/>
      <c r="K228" s="7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75"/>
      <c r="Y228" s="541"/>
    </row>
    <row r="229" spans="1:25" ht="24.9" hidden="1" customHeight="1">
      <c r="A229" s="531"/>
      <c r="B229" s="175" t="s">
        <v>35</v>
      </c>
      <c r="C229" s="175"/>
      <c r="D229" s="175"/>
      <c r="E229" s="175"/>
      <c r="F229" s="175"/>
      <c r="G229" s="75">
        <f>SUM(H229:K229)</f>
        <v>9670.7999999999993</v>
      </c>
      <c r="H229" s="75"/>
      <c r="I229" s="75">
        <v>764</v>
      </c>
      <c r="J229" s="75">
        <v>5415.6</v>
      </c>
      <c r="K229" s="75">
        <v>3491.2</v>
      </c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75"/>
      <c r="Y229" s="541"/>
    </row>
    <row r="230" spans="1:25" ht="24.6" hidden="1" customHeight="1">
      <c r="A230" s="571" t="s">
        <v>388</v>
      </c>
      <c r="B230" s="175" t="s">
        <v>91</v>
      </c>
      <c r="C230" s="175"/>
      <c r="D230" s="175"/>
      <c r="E230" s="175"/>
      <c r="F230" s="175"/>
      <c r="G230" s="75"/>
      <c r="H230" s="75"/>
      <c r="I230" s="75"/>
      <c r="J230" s="75"/>
      <c r="K230" s="75"/>
      <c r="L230" s="135"/>
      <c r="M230" s="135"/>
      <c r="N230" s="135"/>
      <c r="O230" s="135"/>
      <c r="P230" s="135"/>
      <c r="Q230" s="135">
        <v>0</v>
      </c>
      <c r="R230" s="135"/>
      <c r="S230" s="135"/>
      <c r="T230" s="135"/>
      <c r="U230" s="135"/>
      <c r="V230" s="135">
        <v>0</v>
      </c>
      <c r="W230" s="135"/>
      <c r="X230" s="175"/>
      <c r="Y230" s="541" t="s">
        <v>266</v>
      </c>
    </row>
    <row r="231" spans="1:25" ht="24.6" hidden="1" customHeight="1">
      <c r="A231" s="571"/>
      <c r="B231" s="175" t="s">
        <v>287</v>
      </c>
      <c r="C231" s="175"/>
      <c r="D231" s="175"/>
      <c r="E231" s="175"/>
      <c r="F231" s="175"/>
      <c r="G231" s="75">
        <f>G232</f>
        <v>0</v>
      </c>
      <c r="H231" s="75">
        <f t="shared" ref="H231:V231" si="114">H232</f>
        <v>0</v>
      </c>
      <c r="I231" s="75">
        <f t="shared" si="114"/>
        <v>0</v>
      </c>
      <c r="J231" s="75">
        <f t="shared" si="114"/>
        <v>0</v>
      </c>
      <c r="K231" s="75">
        <f t="shared" si="114"/>
        <v>0</v>
      </c>
      <c r="L231" s="135">
        <f t="shared" si="114"/>
        <v>0</v>
      </c>
      <c r="M231" s="135"/>
      <c r="N231" s="135"/>
      <c r="O231" s="135"/>
      <c r="P231" s="135"/>
      <c r="Q231" s="135">
        <f t="shared" si="114"/>
        <v>0</v>
      </c>
      <c r="R231" s="135"/>
      <c r="S231" s="135"/>
      <c r="T231" s="135"/>
      <c r="U231" s="135"/>
      <c r="V231" s="135">
        <f t="shared" si="114"/>
        <v>0</v>
      </c>
      <c r="W231" s="135"/>
      <c r="X231" s="175"/>
      <c r="Y231" s="541"/>
    </row>
    <row r="232" spans="1:25" ht="24.6" hidden="1" customHeight="1">
      <c r="A232" s="571"/>
      <c r="B232" s="175" t="s">
        <v>35</v>
      </c>
      <c r="C232" s="175"/>
      <c r="D232" s="175"/>
      <c r="E232" s="175"/>
      <c r="F232" s="175"/>
      <c r="G232" s="75"/>
      <c r="H232" s="75"/>
      <c r="I232" s="75"/>
      <c r="J232" s="75"/>
      <c r="K232" s="75"/>
      <c r="L232" s="135"/>
      <c r="M232" s="135"/>
      <c r="N232" s="135"/>
      <c r="O232" s="135"/>
      <c r="P232" s="135"/>
      <c r="Q232" s="135">
        <v>0</v>
      </c>
      <c r="R232" s="135"/>
      <c r="S232" s="135"/>
      <c r="T232" s="135"/>
      <c r="U232" s="135"/>
      <c r="V232" s="135">
        <v>0</v>
      </c>
      <c r="W232" s="135"/>
      <c r="X232" s="175"/>
      <c r="Y232" s="541"/>
    </row>
    <row r="233" spans="1:25" ht="24.9" customHeight="1">
      <c r="A233" s="539" t="s">
        <v>137</v>
      </c>
      <c r="B233" s="83" t="s">
        <v>91</v>
      </c>
      <c r="C233" s="175"/>
      <c r="D233" s="175"/>
      <c r="E233" s="175"/>
      <c r="F233" s="175"/>
      <c r="G233" s="81">
        <f>G237</f>
        <v>0</v>
      </c>
      <c r="H233" s="81">
        <f t="shared" ref="H233:V233" si="115">H237</f>
        <v>0</v>
      </c>
      <c r="I233" s="81">
        <f t="shared" si="115"/>
        <v>0</v>
      </c>
      <c r="J233" s="81">
        <f t="shared" si="115"/>
        <v>0</v>
      </c>
      <c r="K233" s="81">
        <f t="shared" si="115"/>
        <v>0</v>
      </c>
      <c r="L233" s="134">
        <f t="shared" si="115"/>
        <v>0</v>
      </c>
      <c r="M233" s="134"/>
      <c r="N233" s="134"/>
      <c r="O233" s="134"/>
      <c r="P233" s="134"/>
      <c r="Q233" s="134">
        <f t="shared" si="115"/>
        <v>0</v>
      </c>
      <c r="R233" s="134"/>
      <c r="S233" s="134"/>
      <c r="T233" s="134"/>
      <c r="U233" s="134"/>
      <c r="V233" s="134">
        <f t="shared" si="115"/>
        <v>0</v>
      </c>
      <c r="W233" s="134"/>
      <c r="X233" s="175"/>
      <c r="Y233" s="175"/>
    </row>
    <row r="234" spans="1:25" ht="24.9" customHeight="1">
      <c r="A234" s="539"/>
      <c r="B234" s="83" t="s">
        <v>287</v>
      </c>
      <c r="C234" s="175"/>
      <c r="D234" s="175"/>
      <c r="E234" s="175"/>
      <c r="F234" s="175"/>
      <c r="G234" s="81">
        <f>G236</f>
        <v>0</v>
      </c>
      <c r="H234" s="81">
        <f t="shared" ref="H234:V234" si="116">H236</f>
        <v>0</v>
      </c>
      <c r="I234" s="81">
        <f t="shared" si="116"/>
        <v>0</v>
      </c>
      <c r="J234" s="81">
        <f t="shared" si="116"/>
        <v>0</v>
      </c>
      <c r="K234" s="81">
        <f t="shared" si="116"/>
        <v>0</v>
      </c>
      <c r="L234" s="134">
        <f t="shared" si="116"/>
        <v>0</v>
      </c>
      <c r="M234" s="134"/>
      <c r="N234" s="134"/>
      <c r="O234" s="134"/>
      <c r="P234" s="134"/>
      <c r="Q234" s="134">
        <f t="shared" si="116"/>
        <v>0</v>
      </c>
      <c r="R234" s="134"/>
      <c r="S234" s="134"/>
      <c r="T234" s="134"/>
      <c r="U234" s="134"/>
      <c r="V234" s="134">
        <f t="shared" si="116"/>
        <v>0</v>
      </c>
      <c r="W234" s="134"/>
      <c r="X234" s="175"/>
      <c r="Y234" s="175"/>
    </row>
    <row r="235" spans="1:25" ht="24.9" customHeight="1">
      <c r="A235" s="539"/>
      <c r="B235" s="83" t="s">
        <v>11</v>
      </c>
      <c r="C235" s="175"/>
      <c r="D235" s="175"/>
      <c r="E235" s="175"/>
      <c r="F235" s="175"/>
      <c r="G235" s="81"/>
      <c r="H235" s="81"/>
      <c r="I235" s="81"/>
      <c r="J235" s="81"/>
      <c r="K235" s="81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75"/>
      <c r="Y235" s="175"/>
    </row>
    <row r="236" spans="1:25" ht="24.6" customHeight="1">
      <c r="A236" s="539"/>
      <c r="B236" s="83" t="s">
        <v>615</v>
      </c>
      <c r="C236" s="175"/>
      <c r="D236" s="175"/>
      <c r="E236" s="175"/>
      <c r="F236" s="175"/>
      <c r="G236" s="81">
        <f>G240</f>
        <v>0</v>
      </c>
      <c r="H236" s="81">
        <f t="shared" ref="H236:V236" si="117">H240</f>
        <v>0</v>
      </c>
      <c r="I236" s="81">
        <f t="shared" si="117"/>
        <v>0</v>
      </c>
      <c r="J236" s="81">
        <f t="shared" si="117"/>
        <v>0</v>
      </c>
      <c r="K236" s="81">
        <f t="shared" si="117"/>
        <v>0</v>
      </c>
      <c r="L236" s="134">
        <f t="shared" si="117"/>
        <v>0</v>
      </c>
      <c r="M236" s="134"/>
      <c r="N236" s="134"/>
      <c r="O236" s="134"/>
      <c r="P236" s="134"/>
      <c r="Q236" s="134">
        <f t="shared" si="117"/>
        <v>0</v>
      </c>
      <c r="R236" s="134"/>
      <c r="S236" s="134"/>
      <c r="T236" s="134"/>
      <c r="U236" s="134"/>
      <c r="V236" s="134">
        <f t="shared" si="117"/>
        <v>0</v>
      </c>
      <c r="W236" s="134"/>
      <c r="X236" s="175"/>
      <c r="Y236" s="175"/>
    </row>
    <row r="237" spans="1:25" ht="0.6" customHeight="1">
      <c r="A237" s="571" t="s">
        <v>265</v>
      </c>
      <c r="B237" s="175" t="s">
        <v>91</v>
      </c>
      <c r="C237" s="175"/>
      <c r="D237" s="175"/>
      <c r="E237" s="175"/>
      <c r="F237" s="175"/>
      <c r="G237" s="75"/>
      <c r="H237" s="75"/>
      <c r="I237" s="75"/>
      <c r="J237" s="75"/>
      <c r="K237" s="75"/>
      <c r="L237" s="135"/>
      <c r="M237" s="135"/>
      <c r="N237" s="135"/>
      <c r="O237" s="135"/>
      <c r="P237" s="135"/>
      <c r="Q237" s="135">
        <v>0</v>
      </c>
      <c r="R237" s="135"/>
      <c r="S237" s="135"/>
      <c r="T237" s="135"/>
      <c r="U237" s="135"/>
      <c r="V237" s="135">
        <v>0</v>
      </c>
      <c r="W237" s="135"/>
      <c r="X237" s="175"/>
      <c r="Y237" s="541" t="s">
        <v>328</v>
      </c>
    </row>
    <row r="238" spans="1:25" ht="24.6" hidden="1" customHeight="1">
      <c r="A238" s="571"/>
      <c r="B238" s="175" t="s">
        <v>287</v>
      </c>
      <c r="C238" s="175"/>
      <c r="D238" s="175"/>
      <c r="E238" s="175"/>
      <c r="F238" s="175"/>
      <c r="G238" s="75">
        <f>G240</f>
        <v>0</v>
      </c>
      <c r="H238" s="75">
        <f t="shared" ref="H238:V238" si="118">H240</f>
        <v>0</v>
      </c>
      <c r="I238" s="75">
        <f t="shared" si="118"/>
        <v>0</v>
      </c>
      <c r="J238" s="75">
        <f t="shared" si="118"/>
        <v>0</v>
      </c>
      <c r="K238" s="75">
        <f t="shared" si="118"/>
        <v>0</v>
      </c>
      <c r="L238" s="135">
        <f t="shared" si="118"/>
        <v>0</v>
      </c>
      <c r="M238" s="135"/>
      <c r="N238" s="135"/>
      <c r="O238" s="135"/>
      <c r="P238" s="135"/>
      <c r="Q238" s="135">
        <f t="shared" si="118"/>
        <v>0</v>
      </c>
      <c r="R238" s="135"/>
      <c r="S238" s="135"/>
      <c r="T238" s="135"/>
      <c r="U238" s="135"/>
      <c r="V238" s="135">
        <f t="shared" si="118"/>
        <v>0</v>
      </c>
      <c r="W238" s="135"/>
      <c r="X238" s="175"/>
      <c r="Y238" s="541"/>
    </row>
    <row r="239" spans="1:25" ht="24.6" hidden="1" customHeight="1">
      <c r="A239" s="571"/>
      <c r="B239" s="175" t="s">
        <v>11</v>
      </c>
      <c r="C239" s="175"/>
      <c r="D239" s="175"/>
      <c r="E239" s="175"/>
      <c r="F239" s="175"/>
      <c r="G239" s="75"/>
      <c r="H239" s="75"/>
      <c r="I239" s="75"/>
      <c r="J239" s="75"/>
      <c r="K239" s="7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75"/>
      <c r="Y239" s="541"/>
    </row>
    <row r="240" spans="1:25" ht="24.6" hidden="1" customHeight="1">
      <c r="A240" s="571"/>
      <c r="B240" s="175" t="s">
        <v>35</v>
      </c>
      <c r="C240" s="175"/>
      <c r="D240" s="175"/>
      <c r="E240" s="175"/>
      <c r="F240" s="175"/>
      <c r="G240" s="75"/>
      <c r="H240" s="75"/>
      <c r="I240" s="75"/>
      <c r="J240" s="75"/>
      <c r="K240" s="75"/>
      <c r="L240" s="135"/>
      <c r="M240" s="135"/>
      <c r="N240" s="135"/>
      <c r="O240" s="135"/>
      <c r="P240" s="135"/>
      <c r="Q240" s="135">
        <v>0</v>
      </c>
      <c r="R240" s="135"/>
      <c r="S240" s="135"/>
      <c r="T240" s="135"/>
      <c r="U240" s="135"/>
      <c r="V240" s="135">
        <v>0</v>
      </c>
      <c r="W240" s="135"/>
      <c r="X240" s="175"/>
      <c r="Y240" s="541"/>
    </row>
    <row r="241" spans="1:25" ht="24.9" customHeight="1">
      <c r="A241" s="577" t="s">
        <v>364</v>
      </c>
      <c r="B241" s="175" t="s">
        <v>91</v>
      </c>
      <c r="C241" s="175"/>
      <c r="D241" s="175"/>
      <c r="E241" s="175"/>
      <c r="F241" s="175"/>
      <c r="G241" s="75"/>
      <c r="H241" s="75"/>
      <c r="I241" s="75"/>
      <c r="J241" s="75"/>
      <c r="K241" s="7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75"/>
      <c r="Y241" s="533" t="s">
        <v>365</v>
      </c>
    </row>
    <row r="242" spans="1:25" ht="24.9" customHeight="1">
      <c r="A242" s="578"/>
      <c r="B242" s="175" t="s">
        <v>287</v>
      </c>
      <c r="C242" s="175"/>
      <c r="D242" s="175"/>
      <c r="E242" s="175"/>
      <c r="F242" s="175"/>
      <c r="G242" s="75"/>
      <c r="H242" s="75"/>
      <c r="I242" s="75"/>
      <c r="J242" s="75"/>
      <c r="K242" s="7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75"/>
      <c r="Y242" s="534"/>
    </row>
    <row r="243" spans="1:25" ht="24.9" customHeight="1">
      <c r="A243" s="578"/>
      <c r="B243" s="175" t="s">
        <v>11</v>
      </c>
      <c r="C243" s="175"/>
      <c r="D243" s="175"/>
      <c r="E243" s="175"/>
      <c r="F243" s="175"/>
      <c r="G243" s="75"/>
      <c r="H243" s="75"/>
      <c r="I243" s="75"/>
      <c r="J243" s="75"/>
      <c r="K243" s="7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75"/>
      <c r="Y243" s="534"/>
    </row>
    <row r="244" spans="1:25" ht="24.9" customHeight="1">
      <c r="A244" s="579"/>
      <c r="B244" s="175" t="s">
        <v>615</v>
      </c>
      <c r="C244" s="175"/>
      <c r="D244" s="175"/>
      <c r="E244" s="175"/>
      <c r="F244" s="175"/>
      <c r="G244" s="75"/>
      <c r="H244" s="75"/>
      <c r="I244" s="75"/>
      <c r="J244" s="75"/>
      <c r="K244" s="7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75"/>
      <c r="Y244" s="535"/>
    </row>
    <row r="245" spans="1:25" ht="24.9" customHeight="1">
      <c r="A245" s="503" t="s">
        <v>178</v>
      </c>
      <c r="B245" s="83" t="s">
        <v>91</v>
      </c>
      <c r="C245" s="175"/>
      <c r="D245" s="175"/>
      <c r="E245" s="175"/>
      <c r="F245" s="175"/>
      <c r="G245" s="81">
        <f>G249</f>
        <v>0</v>
      </c>
      <c r="H245" s="81">
        <f t="shared" ref="H245:W245" si="119">H249</f>
        <v>0</v>
      </c>
      <c r="I245" s="81">
        <f t="shared" si="119"/>
        <v>0</v>
      </c>
      <c r="J245" s="81">
        <f t="shared" si="119"/>
        <v>0</v>
      </c>
      <c r="K245" s="81">
        <f t="shared" si="119"/>
        <v>0</v>
      </c>
      <c r="L245" s="134">
        <f t="shared" si="119"/>
        <v>0</v>
      </c>
      <c r="M245" s="134"/>
      <c r="N245" s="134"/>
      <c r="O245" s="134"/>
      <c r="P245" s="134"/>
      <c r="Q245" s="134">
        <f t="shared" si="119"/>
        <v>0</v>
      </c>
      <c r="R245" s="134"/>
      <c r="S245" s="134"/>
      <c r="T245" s="134"/>
      <c r="U245" s="134"/>
      <c r="V245" s="134">
        <f t="shared" si="119"/>
        <v>0</v>
      </c>
      <c r="W245" s="134">
        <f t="shared" si="119"/>
        <v>0</v>
      </c>
      <c r="X245" s="175"/>
      <c r="Y245" s="175"/>
    </row>
    <row r="246" spans="1:25" ht="24.9" customHeight="1">
      <c r="A246" s="504"/>
      <c r="B246" s="83" t="s">
        <v>287</v>
      </c>
      <c r="C246" s="175"/>
      <c r="D246" s="175"/>
      <c r="E246" s="175"/>
      <c r="F246" s="175"/>
      <c r="G246" s="81">
        <f>G247+G248</f>
        <v>0</v>
      </c>
      <c r="H246" s="81">
        <f t="shared" ref="H246:W246" si="120">H247+H248</f>
        <v>0</v>
      </c>
      <c r="I246" s="81">
        <f t="shared" si="120"/>
        <v>0</v>
      </c>
      <c r="J246" s="81">
        <f t="shared" si="120"/>
        <v>0</v>
      </c>
      <c r="K246" s="81">
        <f t="shared" si="120"/>
        <v>0</v>
      </c>
      <c r="L246" s="134">
        <f t="shared" si="120"/>
        <v>0</v>
      </c>
      <c r="M246" s="134"/>
      <c r="N246" s="134"/>
      <c r="O246" s="134"/>
      <c r="P246" s="134"/>
      <c r="Q246" s="134">
        <f t="shared" si="120"/>
        <v>0</v>
      </c>
      <c r="R246" s="134"/>
      <c r="S246" s="134"/>
      <c r="T246" s="134"/>
      <c r="U246" s="134"/>
      <c r="V246" s="134">
        <f t="shared" si="120"/>
        <v>100000</v>
      </c>
      <c r="W246" s="134">
        <f t="shared" si="120"/>
        <v>200000</v>
      </c>
      <c r="X246" s="175"/>
      <c r="Y246" s="175"/>
    </row>
    <row r="247" spans="1:25" ht="24.9" customHeight="1">
      <c r="A247" s="504"/>
      <c r="B247" s="83" t="s">
        <v>11</v>
      </c>
      <c r="C247" s="175"/>
      <c r="D247" s="175"/>
      <c r="E247" s="175"/>
      <c r="F247" s="175"/>
      <c r="G247" s="81">
        <f>G251</f>
        <v>0</v>
      </c>
      <c r="H247" s="81">
        <f t="shared" ref="H247:W248" si="121">H251</f>
        <v>0</v>
      </c>
      <c r="I247" s="81">
        <f t="shared" si="121"/>
        <v>0</v>
      </c>
      <c r="J247" s="81">
        <f t="shared" si="121"/>
        <v>0</v>
      </c>
      <c r="K247" s="81">
        <f t="shared" si="121"/>
        <v>0</v>
      </c>
      <c r="L247" s="134">
        <f t="shared" si="121"/>
        <v>0</v>
      </c>
      <c r="M247" s="134"/>
      <c r="N247" s="134"/>
      <c r="O247" s="134"/>
      <c r="P247" s="134"/>
      <c r="Q247" s="134">
        <f t="shared" si="121"/>
        <v>0</v>
      </c>
      <c r="R247" s="134"/>
      <c r="S247" s="134"/>
      <c r="T247" s="134"/>
      <c r="U247" s="134"/>
      <c r="V247" s="134">
        <f t="shared" si="121"/>
        <v>100000</v>
      </c>
      <c r="W247" s="134">
        <f t="shared" si="121"/>
        <v>200000</v>
      </c>
      <c r="X247" s="175"/>
      <c r="Y247" s="175"/>
    </row>
    <row r="248" spans="1:25" ht="24.9" customHeight="1">
      <c r="A248" s="506"/>
      <c r="B248" s="83" t="s">
        <v>615</v>
      </c>
      <c r="C248" s="175"/>
      <c r="D248" s="175"/>
      <c r="E248" s="175"/>
      <c r="F248" s="175"/>
      <c r="G248" s="81">
        <f>G252</f>
        <v>0</v>
      </c>
      <c r="H248" s="81">
        <f t="shared" si="121"/>
        <v>0</v>
      </c>
      <c r="I248" s="81">
        <f t="shared" si="121"/>
        <v>0</v>
      </c>
      <c r="J248" s="81">
        <f t="shared" si="121"/>
        <v>0</v>
      </c>
      <c r="K248" s="81">
        <f t="shared" si="121"/>
        <v>0</v>
      </c>
      <c r="L248" s="134">
        <f t="shared" si="121"/>
        <v>0</v>
      </c>
      <c r="M248" s="134"/>
      <c r="N248" s="134"/>
      <c r="O248" s="134"/>
      <c r="P248" s="134"/>
      <c r="Q248" s="134">
        <f t="shared" si="121"/>
        <v>0</v>
      </c>
      <c r="R248" s="134"/>
      <c r="S248" s="134"/>
      <c r="T248" s="134"/>
      <c r="U248" s="134"/>
      <c r="V248" s="134">
        <f t="shared" si="121"/>
        <v>0</v>
      </c>
      <c r="W248" s="134"/>
      <c r="X248" s="175"/>
      <c r="Y248" s="175"/>
    </row>
    <row r="249" spans="1:25" ht="24.9" customHeight="1">
      <c r="A249" s="571" t="s">
        <v>292</v>
      </c>
      <c r="B249" s="175" t="s">
        <v>91</v>
      </c>
      <c r="C249" s="175"/>
      <c r="D249" s="175"/>
      <c r="E249" s="175"/>
      <c r="F249" s="175"/>
      <c r="G249" s="75"/>
      <c r="H249" s="75"/>
      <c r="I249" s="75"/>
      <c r="J249" s="75"/>
      <c r="K249" s="7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75"/>
      <c r="Y249" s="541" t="s">
        <v>622</v>
      </c>
    </row>
    <row r="250" spans="1:25" s="56" customFormat="1" ht="24.9" customHeight="1">
      <c r="A250" s="571"/>
      <c r="B250" s="175" t="s">
        <v>287</v>
      </c>
      <c r="C250" s="175"/>
      <c r="D250" s="175"/>
      <c r="E250" s="175"/>
      <c r="F250" s="175"/>
      <c r="G250" s="75">
        <f>G251+G252</f>
        <v>0</v>
      </c>
      <c r="H250" s="75">
        <f t="shared" ref="H250:V250" si="122">H251+H252</f>
        <v>0</v>
      </c>
      <c r="I250" s="75">
        <f t="shared" si="122"/>
        <v>0</v>
      </c>
      <c r="J250" s="75">
        <f t="shared" si="122"/>
        <v>0</v>
      </c>
      <c r="K250" s="75">
        <f t="shared" si="122"/>
        <v>0</v>
      </c>
      <c r="L250" s="135">
        <f t="shared" si="122"/>
        <v>0</v>
      </c>
      <c r="M250" s="135"/>
      <c r="N250" s="135"/>
      <c r="O250" s="135"/>
      <c r="P250" s="135"/>
      <c r="Q250" s="135">
        <f t="shared" si="122"/>
        <v>0</v>
      </c>
      <c r="R250" s="135"/>
      <c r="S250" s="135"/>
      <c r="T250" s="135"/>
      <c r="U250" s="135"/>
      <c r="V250" s="135">
        <f t="shared" si="122"/>
        <v>100000</v>
      </c>
      <c r="W250" s="135">
        <f>W251</f>
        <v>200000</v>
      </c>
      <c r="X250" s="175"/>
      <c r="Y250" s="541"/>
    </row>
    <row r="251" spans="1:25" s="56" customFormat="1" ht="28.5" customHeight="1">
      <c r="A251" s="571"/>
      <c r="B251" s="175" t="s">
        <v>11</v>
      </c>
      <c r="C251" s="175"/>
      <c r="D251" s="175"/>
      <c r="E251" s="175"/>
      <c r="F251" s="175"/>
      <c r="G251" s="75"/>
      <c r="H251" s="75"/>
      <c r="I251" s="75"/>
      <c r="J251" s="75"/>
      <c r="K251" s="7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>
        <f>300000-200000</f>
        <v>100000</v>
      </c>
      <c r="W251" s="135">
        <f>370000-170000</f>
        <v>200000</v>
      </c>
      <c r="X251" s="175"/>
      <c r="Y251" s="541"/>
    </row>
    <row r="252" spans="1:25" s="56" customFormat="1" ht="24.9" customHeight="1">
      <c r="A252" s="571"/>
      <c r="B252" s="175" t="s">
        <v>615</v>
      </c>
      <c r="C252" s="175"/>
      <c r="D252" s="175"/>
      <c r="E252" s="175"/>
      <c r="F252" s="175"/>
      <c r="G252" s="75"/>
      <c r="H252" s="75"/>
      <c r="I252" s="75"/>
      <c r="J252" s="75"/>
      <c r="K252" s="7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75"/>
      <c r="Y252" s="541"/>
    </row>
    <row r="253" spans="1:25" s="56" customFormat="1" ht="24.9" customHeight="1">
      <c r="A253" s="550" t="s">
        <v>106</v>
      </c>
      <c r="B253" s="83" t="s">
        <v>91</v>
      </c>
      <c r="C253" s="83"/>
      <c r="D253" s="83"/>
      <c r="E253" s="83"/>
      <c r="F253" s="83"/>
      <c r="G253" s="81">
        <f t="shared" ref="G253:M253" si="123">G259+G263+G268+G272+G276+G289+G293+G297+G302+G280</f>
        <v>8.9430000000000014</v>
      </c>
      <c r="H253" s="81">
        <f t="shared" si="123"/>
        <v>0</v>
      </c>
      <c r="I253" s="81">
        <f t="shared" si="123"/>
        <v>0</v>
      </c>
      <c r="J253" s="81">
        <f t="shared" si="123"/>
        <v>0</v>
      </c>
      <c r="K253" s="81">
        <f t="shared" si="123"/>
        <v>8.9430000000000014</v>
      </c>
      <c r="L253" s="134">
        <f t="shared" si="123"/>
        <v>4.3470000000000004</v>
      </c>
      <c r="M253" s="134">
        <f t="shared" si="123"/>
        <v>0</v>
      </c>
      <c r="N253" s="134">
        <v>2.85</v>
      </c>
      <c r="O253" s="134">
        <f>O259+O263+O268+O272+O276+O289+O293+O297+O302+O280</f>
        <v>0</v>
      </c>
      <c r="P253" s="134">
        <f>P263+P268</f>
        <v>1.4970000000000001</v>
      </c>
      <c r="Q253" s="134">
        <f>Q263+Q268+Q272+Q276+Q285+Q289+Q293+Q297+Q302+Q306+Q310</f>
        <v>12.4</v>
      </c>
      <c r="R253" s="134">
        <f t="shared" ref="R253:U253" si="124">R263+R268+R272+R276+R285+R289+R293+R297+R302+R306+R310</f>
        <v>0</v>
      </c>
      <c r="S253" s="134">
        <f t="shared" si="124"/>
        <v>0</v>
      </c>
      <c r="T253" s="134">
        <f t="shared" si="124"/>
        <v>10.7</v>
      </c>
      <c r="U253" s="134">
        <f t="shared" si="124"/>
        <v>1.71</v>
      </c>
      <c r="V253" s="134">
        <f>V263+V268+V272+V276+V285+V289+V293+V297+V302+V306+V310+V280</f>
        <v>1.6</v>
      </c>
      <c r="W253" s="134">
        <f>W259+W263+W268+W272+W276+W280+W289+W293+W297+W302+W306+W310</f>
        <v>1.9</v>
      </c>
      <c r="X253" s="175"/>
      <c r="Y253" s="83"/>
    </row>
    <row r="254" spans="1:25" ht="24.9" customHeight="1">
      <c r="A254" s="551"/>
      <c r="B254" s="83" t="s">
        <v>287</v>
      </c>
      <c r="C254" s="83"/>
      <c r="D254" s="83"/>
      <c r="E254" s="83"/>
      <c r="F254" s="83"/>
      <c r="G254" s="81">
        <f t="shared" ref="G254:P254" si="125">G255+G258</f>
        <v>516214.4</v>
      </c>
      <c r="H254" s="81">
        <f t="shared" si="125"/>
        <v>72276</v>
      </c>
      <c r="I254" s="81">
        <f t="shared" si="125"/>
        <v>92605.200000000012</v>
      </c>
      <c r="J254" s="81">
        <f t="shared" si="125"/>
        <v>170942.4</v>
      </c>
      <c r="K254" s="81">
        <f t="shared" si="125"/>
        <v>180390.80000000002</v>
      </c>
      <c r="L254" s="134">
        <f t="shared" si="125"/>
        <v>370473.1</v>
      </c>
      <c r="M254" s="134">
        <f t="shared" si="125"/>
        <v>11325</v>
      </c>
      <c r="N254" s="134">
        <f t="shared" si="125"/>
        <v>60071.199999999997</v>
      </c>
      <c r="O254" s="134">
        <f t="shared" si="125"/>
        <v>78817.2</v>
      </c>
      <c r="P254" s="134">
        <f t="shared" si="125"/>
        <v>220259.7</v>
      </c>
      <c r="Q254" s="134">
        <f>Q255+Q258+Q257</f>
        <v>894230.39999999991</v>
      </c>
      <c r="R254" s="134">
        <f t="shared" ref="R254:U254" si="126">R255+R258+R257</f>
        <v>23768.053</v>
      </c>
      <c r="S254" s="134">
        <f t="shared" si="126"/>
        <v>85079.6</v>
      </c>
      <c r="T254" s="134">
        <f t="shared" si="126"/>
        <v>475330.74699999997</v>
      </c>
      <c r="U254" s="134">
        <f t="shared" si="126"/>
        <v>310052</v>
      </c>
      <c r="V254" s="134">
        <f t="shared" ref="V254:W254" si="127">V255+V258</f>
        <v>821771.9</v>
      </c>
      <c r="W254" s="134">
        <f t="shared" si="127"/>
        <v>670000</v>
      </c>
      <c r="X254" s="175"/>
      <c r="Y254" s="83"/>
    </row>
    <row r="255" spans="1:25" ht="24.9" customHeight="1">
      <c r="A255" s="551"/>
      <c r="B255" s="83" t="s">
        <v>11</v>
      </c>
      <c r="C255" s="83"/>
      <c r="D255" s="83"/>
      <c r="E255" s="83"/>
      <c r="F255" s="83"/>
      <c r="G255" s="81">
        <f>G261+G270+G275+G291+G295+G300</f>
        <v>72276</v>
      </c>
      <c r="H255" s="81">
        <f>H261+H270+H275+H291+H295+H300</f>
        <v>72276</v>
      </c>
      <c r="I255" s="81">
        <f>I261+I270+I275+I291+I295+I300</f>
        <v>0</v>
      </c>
      <c r="J255" s="81">
        <f>J261+J270+J275+J291+J295+J300</f>
        <v>0</v>
      </c>
      <c r="K255" s="81">
        <f>K261+K270+K275+K291+K295+K300</f>
        <v>0</v>
      </c>
      <c r="L255" s="134">
        <f>L261+L270+L275+L291+L295+L300+L278</f>
        <v>181849.2</v>
      </c>
      <c r="M255" s="134">
        <f>M261+M270+M275+M291+M295+M300+M278</f>
        <v>11325</v>
      </c>
      <c r="N255" s="134">
        <f>N261+N270+N275+N291+N295+N300+N278</f>
        <v>60071.199999999997</v>
      </c>
      <c r="O255" s="134">
        <f>O261+O270+O275+O291+O295+O300+O278</f>
        <v>34616.699999999997</v>
      </c>
      <c r="P255" s="134">
        <f>P261+P270+P275+P291+P295+P300+P278</f>
        <v>75836.3</v>
      </c>
      <c r="Q255" s="134">
        <f>Q261+Q265+Q274+Q278+Q291+Q300</f>
        <v>652907.79999999993</v>
      </c>
      <c r="R255" s="134">
        <f t="shared" ref="R255:U255" si="128">R261+R265+R274+R278+R291+R300</f>
        <v>23768.053</v>
      </c>
      <c r="S255" s="134">
        <f t="shared" si="128"/>
        <v>85079.6</v>
      </c>
      <c r="T255" s="134">
        <f t="shared" si="128"/>
        <v>396938.24699999997</v>
      </c>
      <c r="U255" s="134">
        <f t="shared" si="128"/>
        <v>147121.9</v>
      </c>
      <c r="V255" s="134">
        <f>V261+V265+V270+V274+V278+V282+V291+V295+V300+V304+V308+V312</f>
        <v>641681.9</v>
      </c>
      <c r="W255" s="134">
        <f t="shared" ref="W255" si="129">W265+W270+W275+W278+W287+W291+W295+W300+W304+W308+W312+W261</f>
        <v>670000</v>
      </c>
      <c r="X255" s="175"/>
      <c r="Y255" s="83"/>
    </row>
    <row r="256" spans="1:25" ht="24.6" hidden="1" customHeight="1">
      <c r="A256" s="551"/>
      <c r="B256" s="83" t="s">
        <v>615</v>
      </c>
      <c r="C256" s="83"/>
      <c r="D256" s="83"/>
      <c r="E256" s="83"/>
      <c r="F256" s="83"/>
      <c r="G256" s="81"/>
      <c r="H256" s="81"/>
      <c r="I256" s="81"/>
      <c r="J256" s="81"/>
      <c r="K256" s="81"/>
      <c r="L256" s="134"/>
      <c r="M256" s="134"/>
      <c r="N256" s="134"/>
      <c r="O256" s="134"/>
      <c r="P256" s="134"/>
      <c r="Q256" s="134">
        <f>Q266+Q271+Q279+Q284+Q292+Q296+Q305+Q309+Q313</f>
        <v>0</v>
      </c>
      <c r="R256" s="134"/>
      <c r="S256" s="134"/>
      <c r="T256" s="134"/>
      <c r="U256" s="134"/>
      <c r="V256" s="134">
        <f t="shared" ref="V256" si="130">V266+V271+V279+V284+V292+V296+V305+V309+V313</f>
        <v>0</v>
      </c>
      <c r="W256" s="134"/>
      <c r="X256" s="203"/>
      <c r="Y256" s="83"/>
    </row>
    <row r="257" spans="1:32" ht="24.6" customHeight="1">
      <c r="A257" s="551"/>
      <c r="B257" s="83" t="s">
        <v>678</v>
      </c>
      <c r="C257" s="83"/>
      <c r="D257" s="83"/>
      <c r="E257" s="83"/>
      <c r="F257" s="83"/>
      <c r="G257" s="81"/>
      <c r="H257" s="81"/>
      <c r="I257" s="81"/>
      <c r="J257" s="81"/>
      <c r="K257" s="81"/>
      <c r="L257" s="134"/>
      <c r="M257" s="134"/>
      <c r="N257" s="134"/>
      <c r="O257" s="134"/>
      <c r="P257" s="134"/>
      <c r="Q257" s="134">
        <f>Q299</f>
        <v>5792.5</v>
      </c>
      <c r="R257" s="134">
        <f t="shared" ref="R257:U257" si="131">R299</f>
        <v>0</v>
      </c>
      <c r="S257" s="134">
        <f t="shared" si="131"/>
        <v>0</v>
      </c>
      <c r="T257" s="134">
        <f t="shared" si="131"/>
        <v>5792.5</v>
      </c>
      <c r="U257" s="134">
        <f t="shared" si="131"/>
        <v>0</v>
      </c>
      <c r="V257" s="134"/>
      <c r="W257" s="134"/>
      <c r="X257" s="447"/>
      <c r="Y257" s="83"/>
    </row>
    <row r="258" spans="1:32" ht="24.9" customHeight="1">
      <c r="A258" s="552"/>
      <c r="B258" s="83" t="s">
        <v>476</v>
      </c>
      <c r="C258" s="83"/>
      <c r="D258" s="83"/>
      <c r="E258" s="83"/>
      <c r="F258" s="83"/>
      <c r="G258" s="81">
        <f>G267+G271+G279+G292+G296+G301+G313+G284</f>
        <v>443938.4</v>
      </c>
      <c r="H258" s="81">
        <f>H267+H271+H279+H292+H296+H301+H313+H284</f>
        <v>0</v>
      </c>
      <c r="I258" s="81">
        <f>I267+I271+I279+I292+I296+I301+I313+I284</f>
        <v>92605.200000000012</v>
      </c>
      <c r="J258" s="81">
        <f>J267+J271+J279+J292+J296+J301+J313+J284</f>
        <v>170942.4</v>
      </c>
      <c r="K258" s="81">
        <f>K267+K271+K279+K292+K296+K301+K313+K284</f>
        <v>180390.80000000002</v>
      </c>
      <c r="L258" s="134">
        <f>L267+L271+L279+L292+L301</f>
        <v>188623.9</v>
      </c>
      <c r="M258" s="134">
        <f>M267+M271+M279+M292+M301</f>
        <v>0</v>
      </c>
      <c r="N258" s="134">
        <f>N267+N271+N279+N292+N301</f>
        <v>0</v>
      </c>
      <c r="O258" s="134">
        <f>O267+O271+O279+O292+O301</f>
        <v>44200.5</v>
      </c>
      <c r="P258" s="134">
        <f>P267+P271+P279+P292+P301</f>
        <v>144423.4</v>
      </c>
      <c r="Q258" s="134">
        <f>Q262+Q267</f>
        <v>235530.1</v>
      </c>
      <c r="R258" s="134">
        <f t="shared" ref="R258:U258" si="132">R262+R267</f>
        <v>0</v>
      </c>
      <c r="S258" s="134">
        <f t="shared" si="132"/>
        <v>0</v>
      </c>
      <c r="T258" s="134">
        <f t="shared" si="132"/>
        <v>72600</v>
      </c>
      <c r="U258" s="134">
        <f t="shared" si="132"/>
        <v>162930.1</v>
      </c>
      <c r="V258" s="134">
        <f>V262+V267</f>
        <v>180090</v>
      </c>
      <c r="W258" s="134">
        <f>W262+W267+W277</f>
        <v>0</v>
      </c>
      <c r="X258" s="175"/>
      <c r="Y258" s="83"/>
    </row>
    <row r="259" spans="1:32" ht="24.9" customHeight="1">
      <c r="A259" s="536" t="s">
        <v>456</v>
      </c>
      <c r="B259" s="175" t="s">
        <v>91</v>
      </c>
      <c r="C259" s="175">
        <v>176</v>
      </c>
      <c r="D259" s="175" t="s">
        <v>16</v>
      </c>
      <c r="E259" s="175">
        <v>6100404</v>
      </c>
      <c r="F259" s="175">
        <v>414</v>
      </c>
      <c r="G259" s="75">
        <f>SUM(H259:K259)</f>
        <v>0</v>
      </c>
      <c r="H259" s="75"/>
      <c r="I259" s="75"/>
      <c r="J259" s="75">
        <v>0</v>
      </c>
      <c r="K259" s="75">
        <v>0</v>
      </c>
      <c r="L259" s="135">
        <v>0</v>
      </c>
      <c r="M259" s="135"/>
      <c r="N259" s="135"/>
      <c r="O259" s="135"/>
      <c r="P259" s="135"/>
      <c r="Q259" s="135">
        <v>0</v>
      </c>
      <c r="R259" s="135"/>
      <c r="S259" s="135"/>
      <c r="T259" s="135"/>
      <c r="U259" s="135"/>
      <c r="V259" s="135"/>
      <c r="W259" s="135"/>
      <c r="X259" s="175"/>
      <c r="Y259" s="533" t="s">
        <v>482</v>
      </c>
      <c r="Z259" s="59"/>
      <c r="AF259" s="55">
        <v>24.7</v>
      </c>
    </row>
    <row r="260" spans="1:32" ht="30.75" customHeight="1">
      <c r="A260" s="537"/>
      <c r="B260" s="175" t="s">
        <v>287</v>
      </c>
      <c r="C260" s="175"/>
      <c r="D260" s="175"/>
      <c r="E260" s="175"/>
      <c r="F260" s="175"/>
      <c r="G260" s="75">
        <f>G261</f>
        <v>19697.3</v>
      </c>
      <c r="H260" s="75">
        <f t="shared" ref="H260:V260" si="133">H261</f>
        <v>19697.3</v>
      </c>
      <c r="I260" s="75">
        <f t="shared" si="133"/>
        <v>0</v>
      </c>
      <c r="J260" s="75">
        <f t="shared" si="133"/>
        <v>0</v>
      </c>
      <c r="K260" s="75">
        <f t="shared" si="133"/>
        <v>0</v>
      </c>
      <c r="L260" s="135">
        <f t="shared" si="133"/>
        <v>0</v>
      </c>
      <c r="M260" s="135"/>
      <c r="N260" s="135"/>
      <c r="O260" s="135"/>
      <c r="P260" s="135"/>
      <c r="Q260" s="135">
        <f>Q261+Q262</f>
        <v>266860</v>
      </c>
      <c r="R260" s="135">
        <f t="shared" ref="R260:T260" si="134">R261+R262</f>
        <v>0</v>
      </c>
      <c r="S260" s="135">
        <f t="shared" si="134"/>
        <v>0</v>
      </c>
      <c r="T260" s="135">
        <f t="shared" si="134"/>
        <v>139600</v>
      </c>
      <c r="U260" s="135">
        <f>U261+U262</f>
        <v>127260</v>
      </c>
      <c r="V260" s="135">
        <f t="shared" si="133"/>
        <v>225000</v>
      </c>
      <c r="W260" s="135">
        <f>W261+W262</f>
        <v>360000</v>
      </c>
      <c r="X260" s="175"/>
      <c r="Y260" s="534"/>
      <c r="Z260" s="167"/>
    </row>
    <row r="261" spans="1:32" ht="24.9" customHeight="1">
      <c r="A261" s="537"/>
      <c r="B261" s="175" t="s">
        <v>11</v>
      </c>
      <c r="C261" s="175"/>
      <c r="D261" s="175"/>
      <c r="E261" s="175"/>
      <c r="F261" s="175"/>
      <c r="G261" s="75">
        <f>SUM(H261:K261)</f>
        <v>19697.3</v>
      </c>
      <c r="H261" s="75">
        <v>19697.3</v>
      </c>
      <c r="I261" s="75"/>
      <c r="J261" s="75"/>
      <c r="K261" s="75"/>
      <c r="L261" s="135"/>
      <c r="M261" s="135"/>
      <c r="N261" s="135"/>
      <c r="O261" s="135"/>
      <c r="P261" s="135"/>
      <c r="Q261" s="135">
        <f>T261+U261</f>
        <v>134500</v>
      </c>
      <c r="R261" s="135"/>
      <c r="S261" s="135"/>
      <c r="T261" s="135">
        <v>117000</v>
      </c>
      <c r="U261" s="135">
        <f>83000-65500</f>
        <v>17500</v>
      </c>
      <c r="V261" s="135">
        <v>225000</v>
      </c>
      <c r="W261" s="135">
        <v>360000</v>
      </c>
      <c r="X261" s="175"/>
      <c r="Y261" s="534"/>
    </row>
    <row r="262" spans="1:32" ht="24.9" customHeight="1">
      <c r="A262" s="538"/>
      <c r="B262" s="395" t="s">
        <v>476</v>
      </c>
      <c r="C262" s="395"/>
      <c r="D262" s="395"/>
      <c r="E262" s="395"/>
      <c r="F262" s="395"/>
      <c r="G262" s="75"/>
      <c r="H262" s="75"/>
      <c r="I262" s="75"/>
      <c r="J262" s="75"/>
      <c r="K262" s="75"/>
      <c r="L262" s="135"/>
      <c r="M262" s="135"/>
      <c r="N262" s="135"/>
      <c r="O262" s="135"/>
      <c r="P262" s="135"/>
      <c r="Q262" s="135">
        <v>132360</v>
      </c>
      <c r="R262" s="135"/>
      <c r="S262" s="135"/>
      <c r="T262" s="135">
        <v>22600</v>
      </c>
      <c r="U262" s="135">
        <v>109760</v>
      </c>
      <c r="V262" s="135">
        <v>80090</v>
      </c>
      <c r="W262" s="135"/>
      <c r="X262" s="395"/>
      <c r="Y262" s="535"/>
    </row>
    <row r="263" spans="1:32" ht="24.9" customHeight="1">
      <c r="A263" s="580" t="s">
        <v>390</v>
      </c>
      <c r="B263" s="175" t="s">
        <v>91</v>
      </c>
      <c r="C263" s="175">
        <v>176</v>
      </c>
      <c r="D263" s="175" t="s">
        <v>16</v>
      </c>
      <c r="E263" s="175">
        <v>6100404</v>
      </c>
      <c r="F263" s="175">
        <v>414</v>
      </c>
      <c r="G263" s="75">
        <f>SUM(H263:K263)</f>
        <v>0</v>
      </c>
      <c r="H263" s="75">
        <v>0</v>
      </c>
      <c r="I263" s="75">
        <v>0</v>
      </c>
      <c r="J263" s="75">
        <v>0</v>
      </c>
      <c r="K263" s="75">
        <v>0</v>
      </c>
      <c r="L263" s="135">
        <v>0.8</v>
      </c>
      <c r="M263" s="135"/>
      <c r="N263" s="135"/>
      <c r="O263" s="135"/>
      <c r="P263" s="135">
        <v>0.8</v>
      </c>
      <c r="Q263" s="135"/>
      <c r="R263" s="135"/>
      <c r="S263" s="135"/>
      <c r="T263" s="135"/>
      <c r="U263" s="135"/>
      <c r="V263" s="157"/>
      <c r="W263" s="135">
        <v>1.9</v>
      </c>
      <c r="X263" s="175"/>
      <c r="Y263" s="541" t="s">
        <v>623</v>
      </c>
    </row>
    <row r="264" spans="1:32" ht="24.9" customHeight="1">
      <c r="A264" s="580"/>
      <c r="B264" s="175" t="s">
        <v>287</v>
      </c>
      <c r="C264" s="175"/>
      <c r="D264" s="175"/>
      <c r="E264" s="175"/>
      <c r="F264" s="175"/>
      <c r="G264" s="75"/>
      <c r="H264" s="75"/>
      <c r="I264" s="75"/>
      <c r="J264" s="75"/>
      <c r="K264" s="75"/>
      <c r="L264" s="135">
        <f>L267</f>
        <v>19000</v>
      </c>
      <c r="M264" s="135">
        <f t="shared" ref="M264:P264" si="135">M267</f>
        <v>0</v>
      </c>
      <c r="N264" s="135">
        <f t="shared" si="135"/>
        <v>0</v>
      </c>
      <c r="O264" s="135">
        <f t="shared" si="135"/>
        <v>0</v>
      </c>
      <c r="P264" s="135">
        <f t="shared" si="135"/>
        <v>19000</v>
      </c>
      <c r="Q264" s="135">
        <f>Q265+Q267+Q266</f>
        <v>233170.1</v>
      </c>
      <c r="R264" s="135">
        <f t="shared" ref="R264:U264" si="136">R265+R267+R266</f>
        <v>0</v>
      </c>
      <c r="S264" s="135">
        <f t="shared" si="136"/>
        <v>0</v>
      </c>
      <c r="T264" s="135">
        <f t="shared" si="136"/>
        <v>77000</v>
      </c>
      <c r="U264" s="135">
        <f t="shared" si="136"/>
        <v>156170.1</v>
      </c>
      <c r="V264" s="135">
        <f>V265+V267</f>
        <v>277200</v>
      </c>
      <c r="W264" s="135">
        <f>W265+W267</f>
        <v>310000</v>
      </c>
      <c r="X264" s="175"/>
      <c r="Y264" s="541"/>
      <c r="Z264" s="167"/>
    </row>
    <row r="265" spans="1:32" ht="24.9" customHeight="1">
      <c r="A265" s="580"/>
      <c r="B265" s="175" t="s">
        <v>11</v>
      </c>
      <c r="C265" s="175"/>
      <c r="D265" s="175"/>
      <c r="E265" s="175"/>
      <c r="F265" s="175"/>
      <c r="G265" s="75"/>
      <c r="H265" s="75"/>
      <c r="I265" s="75"/>
      <c r="J265" s="75"/>
      <c r="K265" s="75"/>
      <c r="L265" s="135"/>
      <c r="M265" s="135"/>
      <c r="N265" s="135"/>
      <c r="O265" s="135"/>
      <c r="P265" s="135"/>
      <c r="Q265" s="135">
        <f>T265+U265</f>
        <v>130000</v>
      </c>
      <c r="R265" s="135"/>
      <c r="S265" s="135"/>
      <c r="T265" s="135">
        <v>27000</v>
      </c>
      <c r="U265" s="135">
        <f>58000+45000</f>
        <v>103000</v>
      </c>
      <c r="V265" s="135">
        <v>177200</v>
      </c>
      <c r="W265" s="135">
        <v>310000</v>
      </c>
      <c r="X265" s="175"/>
      <c r="Y265" s="541"/>
    </row>
    <row r="266" spans="1:32" ht="0.6" customHeight="1">
      <c r="A266" s="580"/>
      <c r="B266" s="203" t="s">
        <v>615</v>
      </c>
      <c r="C266" s="203"/>
      <c r="D266" s="203"/>
      <c r="E266" s="203"/>
      <c r="F266" s="203"/>
      <c r="G266" s="75"/>
      <c r="H266" s="75"/>
      <c r="I266" s="75"/>
      <c r="J266" s="75"/>
      <c r="K266" s="75"/>
      <c r="L266" s="135"/>
      <c r="M266" s="135"/>
      <c r="N266" s="135"/>
      <c r="O266" s="135"/>
      <c r="P266" s="135"/>
      <c r="Q266" s="135">
        <v>0</v>
      </c>
      <c r="R266" s="135"/>
      <c r="S266" s="135"/>
      <c r="T266" s="135"/>
      <c r="U266" s="135"/>
      <c r="V266" s="135"/>
      <c r="W266" s="204"/>
      <c r="X266" s="203"/>
      <c r="Y266" s="541"/>
    </row>
    <row r="267" spans="1:32" ht="24.9" customHeight="1">
      <c r="A267" s="580"/>
      <c r="B267" s="175" t="s">
        <v>476</v>
      </c>
      <c r="C267" s="175"/>
      <c r="D267" s="175"/>
      <c r="E267" s="175"/>
      <c r="F267" s="175"/>
      <c r="G267" s="75"/>
      <c r="H267" s="75"/>
      <c r="I267" s="75"/>
      <c r="J267" s="75"/>
      <c r="K267" s="75"/>
      <c r="L267" s="135">
        <v>19000</v>
      </c>
      <c r="M267" s="135"/>
      <c r="N267" s="135"/>
      <c r="O267" s="135"/>
      <c r="P267" s="135">
        <v>19000</v>
      </c>
      <c r="Q267" s="135">
        <f>T267+U267</f>
        <v>103170.1</v>
      </c>
      <c r="R267" s="135"/>
      <c r="S267" s="135"/>
      <c r="T267" s="135">
        <v>50000</v>
      </c>
      <c r="U267" s="135">
        <f>50000+3170.1</f>
        <v>53170.1</v>
      </c>
      <c r="V267" s="135">
        <f>165000-65000</f>
        <v>100000</v>
      </c>
      <c r="W267" s="195"/>
      <c r="X267" s="175"/>
      <c r="Y267" s="541"/>
      <c r="AA267" s="59"/>
    </row>
    <row r="268" spans="1:32" ht="0.6" customHeight="1">
      <c r="A268" s="575" t="s">
        <v>391</v>
      </c>
      <c r="B268" s="175" t="s">
        <v>91</v>
      </c>
      <c r="C268" s="175">
        <v>176</v>
      </c>
      <c r="D268" s="175" t="s">
        <v>16</v>
      </c>
      <c r="E268" s="175">
        <v>6100404</v>
      </c>
      <c r="F268" s="175">
        <v>414</v>
      </c>
      <c r="G268" s="75">
        <f>SUM(H268:K268)</f>
        <v>2.7430000000000003</v>
      </c>
      <c r="H268" s="75"/>
      <c r="I268" s="75"/>
      <c r="J268" s="75"/>
      <c r="K268" s="75">
        <f>2.16+0.583</f>
        <v>2.7430000000000003</v>
      </c>
      <c r="L268" s="135">
        <f>1.28-0.583</f>
        <v>0.69700000000000006</v>
      </c>
      <c r="M268" s="135"/>
      <c r="N268" s="135"/>
      <c r="O268" s="135"/>
      <c r="P268" s="135">
        <v>0.69700000000000006</v>
      </c>
      <c r="Q268" s="135"/>
      <c r="R268" s="135"/>
      <c r="S268" s="135"/>
      <c r="T268" s="135"/>
      <c r="U268" s="135"/>
      <c r="V268" s="135"/>
      <c r="W268" s="135"/>
      <c r="X268" s="175"/>
      <c r="Y268" s="541" t="s">
        <v>354</v>
      </c>
    </row>
    <row r="269" spans="1:32" ht="24.6" hidden="1" customHeight="1">
      <c r="A269" s="575"/>
      <c r="B269" s="175" t="s">
        <v>287</v>
      </c>
      <c r="C269" s="175"/>
      <c r="D269" s="175"/>
      <c r="E269" s="175"/>
      <c r="F269" s="175"/>
      <c r="G269" s="75">
        <f>G270+G271</f>
        <v>94240.200000000012</v>
      </c>
      <c r="H269" s="75">
        <f t="shared" ref="H269:V269" si="137">H270+H271</f>
        <v>14925</v>
      </c>
      <c r="I269" s="75">
        <f t="shared" si="137"/>
        <v>6417.6</v>
      </c>
      <c r="J269" s="75">
        <f t="shared" si="137"/>
        <v>59794.7</v>
      </c>
      <c r="K269" s="75">
        <f t="shared" si="137"/>
        <v>13102.900000000001</v>
      </c>
      <c r="L269" s="135">
        <f t="shared" si="137"/>
        <v>25457.200000000001</v>
      </c>
      <c r="M269" s="135">
        <f t="shared" si="137"/>
        <v>0</v>
      </c>
      <c r="N269" s="135">
        <f t="shared" si="137"/>
        <v>0</v>
      </c>
      <c r="O269" s="135">
        <f t="shared" si="137"/>
        <v>4327.7</v>
      </c>
      <c r="P269" s="135">
        <f t="shared" si="137"/>
        <v>21129.5</v>
      </c>
      <c r="Q269" s="135">
        <f t="shared" si="137"/>
        <v>0</v>
      </c>
      <c r="R269" s="135"/>
      <c r="S269" s="135"/>
      <c r="T269" s="135"/>
      <c r="U269" s="135"/>
      <c r="V269" s="135">
        <f t="shared" si="137"/>
        <v>0</v>
      </c>
      <c r="W269" s="135"/>
      <c r="X269" s="175"/>
      <c r="Y269" s="541"/>
    </row>
    <row r="270" spans="1:32" ht="24.6" hidden="1" customHeight="1">
      <c r="A270" s="575"/>
      <c r="B270" s="175" t="s">
        <v>11</v>
      </c>
      <c r="C270" s="175"/>
      <c r="D270" s="175"/>
      <c r="E270" s="175"/>
      <c r="F270" s="175"/>
      <c r="G270" s="75">
        <f>SUM(H270:K270)</f>
        <v>14925</v>
      </c>
      <c r="H270" s="75">
        <v>14925</v>
      </c>
      <c r="I270" s="75"/>
      <c r="J270" s="75"/>
      <c r="K270" s="7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75"/>
      <c r="Y270" s="541"/>
    </row>
    <row r="271" spans="1:32" ht="24.6" hidden="1" customHeight="1">
      <c r="A271" s="575"/>
      <c r="B271" s="175" t="s">
        <v>35</v>
      </c>
      <c r="C271" s="175"/>
      <c r="D271" s="175"/>
      <c r="E271" s="175"/>
      <c r="F271" s="175"/>
      <c r="G271" s="75">
        <f>SUM(H271:K271)</f>
        <v>79315.200000000012</v>
      </c>
      <c r="H271" s="75"/>
      <c r="I271" s="75">
        <v>6417.6</v>
      </c>
      <c r="J271" s="75">
        <v>59794.7</v>
      </c>
      <c r="K271" s="75">
        <f>15023.2-1920.3</f>
        <v>13102.900000000001</v>
      </c>
      <c r="L271" s="135">
        <v>25457.200000000001</v>
      </c>
      <c r="M271" s="135"/>
      <c r="N271" s="135"/>
      <c r="O271" s="135">
        <v>4327.7</v>
      </c>
      <c r="P271" s="135">
        <v>21129.5</v>
      </c>
      <c r="Q271" s="135"/>
      <c r="R271" s="135"/>
      <c r="S271" s="135"/>
      <c r="T271" s="135"/>
      <c r="U271" s="135"/>
      <c r="V271" s="135"/>
      <c r="W271" s="135"/>
      <c r="X271" s="175"/>
      <c r="Y271" s="541"/>
    </row>
    <row r="272" spans="1:32" ht="24.9" customHeight="1">
      <c r="A272" s="576" t="s">
        <v>471</v>
      </c>
      <c r="B272" s="175" t="s">
        <v>91</v>
      </c>
      <c r="C272" s="175">
        <v>176</v>
      </c>
      <c r="D272" s="175" t="s">
        <v>16</v>
      </c>
      <c r="E272" s="175">
        <v>6100404</v>
      </c>
      <c r="F272" s="175">
        <v>414</v>
      </c>
      <c r="G272" s="75">
        <f>SUM(H272:K272)</f>
        <v>0</v>
      </c>
      <c r="H272" s="75">
        <v>0</v>
      </c>
      <c r="I272" s="75">
        <v>0</v>
      </c>
      <c r="J272" s="75">
        <v>0</v>
      </c>
      <c r="K272" s="75">
        <v>0</v>
      </c>
      <c r="L272" s="135">
        <v>2.85</v>
      </c>
      <c r="M272" s="135"/>
      <c r="N272" s="135">
        <v>2.85</v>
      </c>
      <c r="O272" s="135"/>
      <c r="P272" s="135"/>
      <c r="Q272" s="135"/>
      <c r="R272" s="135"/>
      <c r="S272" s="135"/>
      <c r="T272" s="135"/>
      <c r="U272" s="135"/>
      <c r="V272" s="135">
        <v>1.6</v>
      </c>
      <c r="W272" s="135"/>
      <c r="X272" s="175"/>
      <c r="Y272" s="541" t="s">
        <v>619</v>
      </c>
    </row>
    <row r="273" spans="1:25" ht="24.9" customHeight="1">
      <c r="A273" s="576"/>
      <c r="B273" s="175" t="s">
        <v>287</v>
      </c>
      <c r="C273" s="175"/>
      <c r="D273" s="175"/>
      <c r="E273" s="175"/>
      <c r="F273" s="175"/>
      <c r="G273" s="75">
        <f>G275</f>
        <v>0</v>
      </c>
      <c r="H273" s="75">
        <f t="shared" ref="H273:P273" si="138">H275</f>
        <v>0</v>
      </c>
      <c r="I273" s="75">
        <f t="shared" si="138"/>
        <v>0</v>
      </c>
      <c r="J273" s="75">
        <f t="shared" si="138"/>
        <v>0</v>
      </c>
      <c r="K273" s="75">
        <f t="shared" si="138"/>
        <v>0</v>
      </c>
      <c r="L273" s="135">
        <f t="shared" si="138"/>
        <v>45071.199999999997</v>
      </c>
      <c r="M273" s="135">
        <f t="shared" si="138"/>
        <v>0</v>
      </c>
      <c r="N273" s="135">
        <f t="shared" si="138"/>
        <v>45071.199999999997</v>
      </c>
      <c r="O273" s="135">
        <f t="shared" si="138"/>
        <v>0</v>
      </c>
      <c r="P273" s="135">
        <f t="shared" si="138"/>
        <v>0</v>
      </c>
      <c r="Q273" s="135">
        <f>Q274+Q275</f>
        <v>83300</v>
      </c>
      <c r="R273" s="135"/>
      <c r="S273" s="135"/>
      <c r="T273" s="135">
        <v>59500</v>
      </c>
      <c r="U273" s="135">
        <f>U274</f>
        <v>23800</v>
      </c>
      <c r="V273" s="135">
        <f>V274+V275</f>
        <v>239481.9</v>
      </c>
      <c r="W273" s="135"/>
      <c r="X273" s="175"/>
      <c r="Y273" s="541"/>
    </row>
    <row r="274" spans="1:25" ht="24.9" customHeight="1">
      <c r="A274" s="576"/>
      <c r="B274" s="175" t="s">
        <v>11</v>
      </c>
      <c r="C274" s="175"/>
      <c r="D274" s="175"/>
      <c r="E274" s="175"/>
      <c r="F274" s="175"/>
      <c r="G274" s="75"/>
      <c r="H274" s="75"/>
      <c r="I274" s="75"/>
      <c r="J274" s="75"/>
      <c r="K274" s="75"/>
      <c r="L274" s="135">
        <v>45071.199999999997</v>
      </c>
      <c r="M274" s="135"/>
      <c r="N274" s="135">
        <v>45071.199999999997</v>
      </c>
      <c r="O274" s="135"/>
      <c r="P274" s="135"/>
      <c r="Q274" s="135">
        <f>T274+U274</f>
        <v>83300</v>
      </c>
      <c r="R274" s="135"/>
      <c r="S274" s="135"/>
      <c r="T274" s="135">
        <v>59500</v>
      </c>
      <c r="U274" s="135">
        <f>25500-1700</f>
        <v>23800</v>
      </c>
      <c r="V274" s="135">
        <f>239481.9</f>
        <v>239481.9</v>
      </c>
      <c r="W274" s="135"/>
      <c r="X274" s="175"/>
      <c r="Y274" s="541"/>
    </row>
    <row r="275" spans="1:25" ht="0.6" customHeight="1">
      <c r="A275" s="576"/>
      <c r="B275" s="175" t="s">
        <v>476</v>
      </c>
      <c r="C275" s="175"/>
      <c r="D275" s="175"/>
      <c r="E275" s="175"/>
      <c r="F275" s="175"/>
      <c r="G275" s="75"/>
      <c r="H275" s="75"/>
      <c r="I275" s="75"/>
      <c r="J275" s="75"/>
      <c r="K275" s="75"/>
      <c r="L275" s="135">
        <v>45071.199999999997</v>
      </c>
      <c r="M275" s="135"/>
      <c r="N275" s="135">
        <v>45071.199999999997</v>
      </c>
      <c r="O275" s="135"/>
      <c r="P275" s="135"/>
      <c r="Q275" s="135"/>
      <c r="R275" s="135"/>
      <c r="S275" s="135"/>
      <c r="T275" s="135"/>
      <c r="U275" s="135"/>
      <c r="V275" s="135">
        <v>0</v>
      </c>
      <c r="W275" s="135"/>
      <c r="X275" s="175"/>
      <c r="Y275" s="541"/>
    </row>
    <row r="276" spans="1:25" ht="24.9" customHeight="1">
      <c r="A276" s="540" t="s">
        <v>437</v>
      </c>
      <c r="B276" s="175" t="s">
        <v>91</v>
      </c>
      <c r="C276" s="175"/>
      <c r="D276" s="175"/>
      <c r="E276" s="175"/>
      <c r="F276" s="175"/>
      <c r="G276" s="75">
        <f>SUM(H276:K276)</f>
        <v>0</v>
      </c>
      <c r="H276" s="75"/>
      <c r="I276" s="75"/>
      <c r="J276" s="75"/>
      <c r="K276" s="75"/>
      <c r="L276" s="135"/>
      <c r="M276" s="135"/>
      <c r="N276" s="135"/>
      <c r="O276" s="135"/>
      <c r="P276" s="135"/>
      <c r="Q276" s="135">
        <v>3</v>
      </c>
      <c r="R276" s="135"/>
      <c r="S276" s="135"/>
      <c r="T276" s="135">
        <v>3</v>
      </c>
      <c r="U276" s="135"/>
      <c r="V276" s="135"/>
      <c r="W276" s="135"/>
      <c r="X276" s="175"/>
      <c r="Y276" s="541" t="s">
        <v>266</v>
      </c>
    </row>
    <row r="277" spans="1:25" ht="24.9" customHeight="1">
      <c r="A277" s="540"/>
      <c r="B277" s="175" t="s">
        <v>287</v>
      </c>
      <c r="C277" s="175"/>
      <c r="D277" s="175"/>
      <c r="E277" s="175"/>
      <c r="F277" s="175"/>
      <c r="G277" s="75">
        <f>G279</f>
        <v>0</v>
      </c>
      <c r="H277" s="75">
        <f>H279</f>
        <v>0</v>
      </c>
      <c r="I277" s="75">
        <f>I279</f>
        <v>0</v>
      </c>
      <c r="J277" s="75">
        <f>J279</f>
        <v>0</v>
      </c>
      <c r="K277" s="75">
        <f>K279</f>
        <v>0</v>
      </c>
      <c r="L277" s="135">
        <f>L278+L279</f>
        <v>52071.799999999996</v>
      </c>
      <c r="M277" s="135">
        <f t="shared" ref="M277:O277" si="139">M278</f>
        <v>0</v>
      </c>
      <c r="N277" s="135">
        <f t="shared" si="139"/>
        <v>0</v>
      </c>
      <c r="O277" s="135">
        <f t="shared" si="139"/>
        <v>7616.7</v>
      </c>
      <c r="P277" s="135">
        <f>P278+P279</f>
        <v>44455.1</v>
      </c>
      <c r="Q277" s="135">
        <f>Q278</f>
        <v>48741.600000000006</v>
      </c>
      <c r="R277" s="135"/>
      <c r="S277" s="135">
        <v>29850</v>
      </c>
      <c r="T277" s="135">
        <v>18891.600000000006</v>
      </c>
      <c r="U277" s="135"/>
      <c r="V277" s="135">
        <f>V279</f>
        <v>0</v>
      </c>
      <c r="W277" s="135">
        <f>W279</f>
        <v>0</v>
      </c>
      <c r="X277" s="175"/>
      <c r="Y277" s="541"/>
    </row>
    <row r="278" spans="1:25" ht="24.9" customHeight="1">
      <c r="A278" s="540"/>
      <c r="B278" s="175" t="s">
        <v>11</v>
      </c>
      <c r="C278" s="175"/>
      <c r="D278" s="175"/>
      <c r="E278" s="175"/>
      <c r="F278" s="175"/>
      <c r="G278" s="75"/>
      <c r="H278" s="75"/>
      <c r="I278" s="75"/>
      <c r="J278" s="75"/>
      <c r="K278" s="75"/>
      <c r="L278" s="135">
        <v>44804.2</v>
      </c>
      <c r="M278" s="135"/>
      <c r="N278" s="135"/>
      <c r="O278" s="135">
        <v>7616.7</v>
      </c>
      <c r="P278" s="135">
        <v>37187.5</v>
      </c>
      <c r="Q278" s="135">
        <v>48741.600000000006</v>
      </c>
      <c r="R278" s="135"/>
      <c r="S278" s="135">
        <v>29850</v>
      </c>
      <c r="T278" s="135">
        <v>18891.600000000006</v>
      </c>
      <c r="U278" s="135"/>
      <c r="V278" s="135"/>
      <c r="W278" s="135"/>
      <c r="X278" s="175"/>
      <c r="Y278" s="541"/>
    </row>
    <row r="279" spans="1:25" ht="1.2" hidden="1" customHeight="1">
      <c r="A279" s="540"/>
      <c r="B279" s="175" t="s">
        <v>476</v>
      </c>
      <c r="C279" s="175"/>
      <c r="D279" s="175"/>
      <c r="E279" s="175"/>
      <c r="F279" s="175"/>
      <c r="G279" s="75"/>
      <c r="H279" s="75"/>
      <c r="I279" s="75"/>
      <c r="J279" s="75"/>
      <c r="K279" s="75"/>
      <c r="L279" s="138">
        <v>7267.6</v>
      </c>
      <c r="M279" s="135"/>
      <c r="N279" s="135"/>
      <c r="O279" s="135"/>
      <c r="P279" s="135">
        <v>7267.6</v>
      </c>
      <c r="Q279" s="135"/>
      <c r="R279" s="135"/>
      <c r="S279" s="135"/>
      <c r="T279" s="135"/>
      <c r="U279" s="135"/>
      <c r="V279" s="135"/>
      <c r="W279" s="135"/>
      <c r="X279" s="175"/>
      <c r="Y279" s="541"/>
    </row>
    <row r="280" spans="1:25" ht="24.6" hidden="1" customHeight="1">
      <c r="A280" s="540" t="s">
        <v>472</v>
      </c>
      <c r="B280" s="175" t="s">
        <v>91</v>
      </c>
      <c r="C280" s="175"/>
      <c r="D280" s="175"/>
      <c r="E280" s="175"/>
      <c r="F280" s="175"/>
      <c r="G280" s="75"/>
      <c r="H280" s="75"/>
      <c r="I280" s="75"/>
      <c r="J280" s="75"/>
      <c r="K280" s="7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57"/>
      <c r="X280" s="175"/>
      <c r="Y280" s="541" t="s">
        <v>444</v>
      </c>
    </row>
    <row r="281" spans="1:25" ht="24.6" hidden="1" customHeight="1">
      <c r="A281" s="540"/>
      <c r="B281" s="175" t="s">
        <v>287</v>
      </c>
      <c r="C281" s="175"/>
      <c r="D281" s="175"/>
      <c r="E281" s="175"/>
      <c r="F281" s="175"/>
      <c r="G281" s="75">
        <f t="shared" ref="G281:L281" si="140">G282+G284</f>
        <v>0</v>
      </c>
      <c r="H281" s="75">
        <f t="shared" si="140"/>
        <v>0</v>
      </c>
      <c r="I281" s="75">
        <f t="shared" si="140"/>
        <v>0</v>
      </c>
      <c r="J281" s="75">
        <f t="shared" si="140"/>
        <v>0</v>
      </c>
      <c r="K281" s="75">
        <f t="shared" si="140"/>
        <v>0</v>
      </c>
      <c r="L281" s="135">
        <f t="shared" si="140"/>
        <v>0</v>
      </c>
      <c r="M281" s="135"/>
      <c r="N281" s="135"/>
      <c r="O281" s="135"/>
      <c r="P281" s="135"/>
      <c r="Q281" s="135"/>
      <c r="R281" s="135"/>
      <c r="S281" s="135"/>
      <c r="T281" s="135"/>
      <c r="U281" s="135"/>
      <c r="V281" s="135">
        <f>V284+V282+V283</f>
        <v>0</v>
      </c>
      <c r="W281" s="135"/>
      <c r="X281" s="175"/>
      <c r="Y281" s="541"/>
    </row>
    <row r="282" spans="1:25" ht="24.6" hidden="1" customHeight="1">
      <c r="A282" s="540"/>
      <c r="B282" s="175" t="s">
        <v>11</v>
      </c>
      <c r="C282" s="175"/>
      <c r="D282" s="175"/>
      <c r="E282" s="175"/>
      <c r="F282" s="175"/>
      <c r="G282" s="75"/>
      <c r="H282" s="75"/>
      <c r="I282" s="75"/>
      <c r="J282" s="75"/>
      <c r="K282" s="7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>
        <v>0</v>
      </c>
      <c r="W282" s="135"/>
      <c r="X282" s="175"/>
      <c r="Y282" s="541"/>
    </row>
    <row r="283" spans="1:25" ht="24.6" hidden="1" customHeight="1">
      <c r="A283" s="540"/>
      <c r="B283" s="203" t="s">
        <v>476</v>
      </c>
      <c r="C283" s="203"/>
      <c r="D283" s="203"/>
      <c r="E283" s="203"/>
      <c r="F283" s="203"/>
      <c r="G283" s="75"/>
      <c r="H283" s="75"/>
      <c r="I283" s="75"/>
      <c r="J283" s="75"/>
      <c r="K283" s="7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203"/>
      <c r="Y283" s="541"/>
    </row>
    <row r="284" spans="1:25" ht="24.6" hidden="1" customHeight="1">
      <c r="A284" s="540"/>
      <c r="B284" s="175" t="s">
        <v>35</v>
      </c>
      <c r="C284" s="175"/>
      <c r="D284" s="175"/>
      <c r="E284" s="175"/>
      <c r="F284" s="175"/>
      <c r="G284" s="75"/>
      <c r="H284" s="75"/>
      <c r="I284" s="75"/>
      <c r="J284" s="75"/>
      <c r="K284" s="7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>
        <v>0</v>
      </c>
      <c r="W284" s="135"/>
      <c r="X284" s="175"/>
      <c r="Y284" s="541"/>
    </row>
    <row r="285" spans="1:25" ht="0.6" hidden="1" customHeight="1">
      <c r="A285" s="536" t="s">
        <v>438</v>
      </c>
      <c r="B285" s="175" t="s">
        <v>91</v>
      </c>
      <c r="C285" s="175"/>
      <c r="D285" s="175"/>
      <c r="E285" s="175"/>
      <c r="F285" s="175"/>
      <c r="G285" s="75"/>
      <c r="H285" s="75"/>
      <c r="I285" s="75"/>
      <c r="J285" s="75"/>
      <c r="K285" s="7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57"/>
      <c r="W285" s="135"/>
      <c r="X285" s="175"/>
      <c r="Y285" s="533" t="s">
        <v>339</v>
      </c>
    </row>
    <row r="286" spans="1:25" ht="24.6" hidden="1" customHeight="1">
      <c r="A286" s="537"/>
      <c r="B286" s="175" t="s">
        <v>287</v>
      </c>
      <c r="C286" s="175"/>
      <c r="D286" s="175"/>
      <c r="E286" s="175"/>
      <c r="F286" s="175"/>
      <c r="G286" s="75"/>
      <c r="H286" s="75"/>
      <c r="I286" s="75"/>
      <c r="J286" s="75"/>
      <c r="K286" s="7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>
        <f>V288</f>
        <v>0</v>
      </c>
      <c r="W286" s="135"/>
      <c r="X286" s="175"/>
      <c r="Y286" s="534"/>
    </row>
    <row r="287" spans="1:25" ht="24.6" hidden="1" customHeight="1">
      <c r="A287" s="537"/>
      <c r="B287" s="175" t="s">
        <v>11</v>
      </c>
      <c r="C287" s="175"/>
      <c r="D287" s="175"/>
      <c r="E287" s="175"/>
      <c r="F287" s="175"/>
      <c r="G287" s="75"/>
      <c r="H287" s="75"/>
      <c r="I287" s="75"/>
      <c r="J287" s="75"/>
      <c r="K287" s="7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75"/>
      <c r="Y287" s="534"/>
    </row>
    <row r="288" spans="1:25" ht="24.6" hidden="1" customHeight="1">
      <c r="A288" s="538"/>
      <c r="B288" s="175" t="s">
        <v>35</v>
      </c>
      <c r="C288" s="175"/>
      <c r="D288" s="175"/>
      <c r="E288" s="175"/>
      <c r="F288" s="175"/>
      <c r="G288" s="75"/>
      <c r="H288" s="75"/>
      <c r="I288" s="75"/>
      <c r="J288" s="75"/>
      <c r="K288" s="7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75"/>
      <c r="Y288" s="535"/>
    </row>
    <row r="289" spans="1:47" ht="24.9" customHeight="1">
      <c r="A289" s="536" t="s">
        <v>392</v>
      </c>
      <c r="B289" s="175" t="s">
        <v>91</v>
      </c>
      <c r="C289" s="175">
        <v>176</v>
      </c>
      <c r="D289" s="175" t="s">
        <v>16</v>
      </c>
      <c r="E289" s="175">
        <v>6100404</v>
      </c>
      <c r="F289" s="175">
        <v>414</v>
      </c>
      <c r="G289" s="75">
        <f>SUM(H289:K289)</f>
        <v>0</v>
      </c>
      <c r="H289" s="75">
        <v>0</v>
      </c>
      <c r="I289" s="75"/>
      <c r="J289" s="75"/>
      <c r="K289" s="75"/>
      <c r="L289" s="135"/>
      <c r="M289" s="135"/>
      <c r="N289" s="135"/>
      <c r="O289" s="135"/>
      <c r="P289" s="135"/>
      <c r="Q289" s="135">
        <v>0.9</v>
      </c>
      <c r="R289" s="135"/>
      <c r="S289" s="135"/>
      <c r="T289" s="135">
        <v>0.9</v>
      </c>
      <c r="U289" s="135"/>
      <c r="V289" s="135"/>
      <c r="W289" s="135"/>
      <c r="X289" s="175"/>
      <c r="Y289" s="541" t="s">
        <v>474</v>
      </c>
    </row>
    <row r="290" spans="1:47" ht="24.9" customHeight="1">
      <c r="A290" s="537"/>
      <c r="B290" s="175" t="s">
        <v>287</v>
      </c>
      <c r="C290" s="175"/>
      <c r="D290" s="175"/>
      <c r="E290" s="175"/>
      <c r="F290" s="175"/>
      <c r="G290" s="75">
        <f>G291+G292</f>
        <v>42480</v>
      </c>
      <c r="H290" s="75">
        <f t="shared" ref="H290:V290" si="141">H291+H292</f>
        <v>0</v>
      </c>
      <c r="I290" s="75">
        <f t="shared" si="141"/>
        <v>3728.8</v>
      </c>
      <c r="J290" s="75">
        <f t="shared" si="141"/>
        <v>26432</v>
      </c>
      <c r="K290" s="75">
        <f t="shared" si="141"/>
        <v>12319.2</v>
      </c>
      <c r="L290" s="135">
        <f t="shared" si="141"/>
        <v>111973.8</v>
      </c>
      <c r="M290" s="135">
        <f t="shared" si="141"/>
        <v>11325</v>
      </c>
      <c r="N290" s="135">
        <f t="shared" si="141"/>
        <v>15000</v>
      </c>
      <c r="O290" s="135">
        <f t="shared" si="141"/>
        <v>47000</v>
      </c>
      <c r="P290" s="135">
        <f t="shared" si="141"/>
        <v>38648.800000000003</v>
      </c>
      <c r="Q290" s="135">
        <f t="shared" si="141"/>
        <v>30329.999999999982</v>
      </c>
      <c r="R290" s="135">
        <v>1006.753</v>
      </c>
      <c r="S290" s="135">
        <v>17000</v>
      </c>
      <c r="T290" s="135">
        <f>T291</f>
        <v>12323.246999999981</v>
      </c>
      <c r="U290" s="135"/>
      <c r="V290" s="135">
        <f t="shared" si="141"/>
        <v>0</v>
      </c>
      <c r="W290" s="135"/>
      <c r="X290" s="175"/>
      <c r="Y290" s="541"/>
    </row>
    <row r="291" spans="1:47" ht="24.9" customHeight="1">
      <c r="A291" s="537"/>
      <c r="B291" s="175" t="s">
        <v>11</v>
      </c>
      <c r="C291" s="175"/>
      <c r="D291" s="175"/>
      <c r="E291" s="175"/>
      <c r="F291" s="175"/>
      <c r="G291" s="75">
        <f t="shared" ref="G291:G297" si="142">SUM(H291:K291)</f>
        <v>0</v>
      </c>
      <c r="H291" s="75"/>
      <c r="I291" s="75"/>
      <c r="J291" s="75"/>
      <c r="K291" s="75"/>
      <c r="L291" s="135">
        <f>61973.8+30000</f>
        <v>91973.8</v>
      </c>
      <c r="M291" s="135">
        <v>11325</v>
      </c>
      <c r="N291" s="135">
        <v>15000</v>
      </c>
      <c r="O291" s="135">
        <v>27000</v>
      </c>
      <c r="P291" s="135">
        <v>38648.800000000003</v>
      </c>
      <c r="Q291" s="135">
        <f>R291+S291+T291</f>
        <v>30329.999999999982</v>
      </c>
      <c r="R291" s="135">
        <v>1006.753</v>
      </c>
      <c r="S291" s="135">
        <v>17000</v>
      </c>
      <c r="T291" s="135">
        <f>7493.24699999998+4830</f>
        <v>12323.246999999981</v>
      </c>
      <c r="U291" s="135"/>
      <c r="V291" s="135"/>
      <c r="W291" s="135"/>
      <c r="X291" s="175"/>
      <c r="Y291" s="541"/>
    </row>
    <row r="292" spans="1:47" ht="0.6" customHeight="1">
      <c r="A292" s="538"/>
      <c r="B292" s="175" t="s">
        <v>35</v>
      </c>
      <c r="C292" s="175"/>
      <c r="D292" s="175"/>
      <c r="E292" s="175"/>
      <c r="F292" s="175"/>
      <c r="G292" s="75">
        <f t="shared" si="142"/>
        <v>42480</v>
      </c>
      <c r="H292" s="75"/>
      <c r="I292" s="75">
        <v>3728.8</v>
      </c>
      <c r="J292" s="75">
        <v>26432</v>
      </c>
      <c r="K292" s="75">
        <f>17039.2-4720</f>
        <v>12319.2</v>
      </c>
      <c r="L292" s="135">
        <v>20000</v>
      </c>
      <c r="M292" s="135"/>
      <c r="N292" s="135"/>
      <c r="O292" s="135">
        <v>20000</v>
      </c>
      <c r="P292" s="135"/>
      <c r="Q292" s="135"/>
      <c r="R292" s="135"/>
      <c r="S292" s="135"/>
      <c r="T292" s="135"/>
      <c r="U292" s="135"/>
      <c r="V292" s="135"/>
      <c r="W292" s="135"/>
      <c r="X292" s="175"/>
      <c r="Y292" s="541"/>
    </row>
    <row r="293" spans="1:47" ht="24.6" hidden="1" customHeight="1">
      <c r="A293" s="540" t="s">
        <v>442</v>
      </c>
      <c r="B293" s="175" t="s">
        <v>91</v>
      </c>
      <c r="C293" s="175">
        <v>176</v>
      </c>
      <c r="D293" s="175" t="s">
        <v>16</v>
      </c>
      <c r="E293" s="175">
        <v>6100404</v>
      </c>
      <c r="F293" s="175">
        <v>414</v>
      </c>
      <c r="G293" s="75">
        <f t="shared" si="142"/>
        <v>6.2</v>
      </c>
      <c r="H293" s="75"/>
      <c r="I293" s="75"/>
      <c r="J293" s="75"/>
      <c r="K293" s="75">
        <f>4.95+1.25</f>
        <v>6.2</v>
      </c>
      <c r="L293" s="135">
        <v>0</v>
      </c>
      <c r="M293" s="135"/>
      <c r="N293" s="135"/>
      <c r="O293" s="135"/>
      <c r="P293" s="135"/>
      <c r="Q293" s="135">
        <v>0</v>
      </c>
      <c r="R293" s="135"/>
      <c r="S293" s="135"/>
      <c r="T293" s="135"/>
      <c r="U293" s="135"/>
      <c r="V293" s="135"/>
      <c r="W293" s="157"/>
      <c r="X293" s="175"/>
      <c r="Y293" s="541" t="s">
        <v>605</v>
      </c>
    </row>
    <row r="294" spans="1:47" ht="24.6" hidden="1" customHeight="1">
      <c r="A294" s="540"/>
      <c r="B294" s="175" t="s">
        <v>287</v>
      </c>
      <c r="C294" s="175"/>
      <c r="D294" s="175"/>
      <c r="E294" s="175"/>
      <c r="F294" s="175"/>
      <c r="G294" s="75">
        <f t="shared" si="142"/>
        <v>359796.9</v>
      </c>
      <c r="H294" s="75">
        <f t="shared" ref="H294:W294" si="143">H295+H296</f>
        <v>37653.699999999997</v>
      </c>
      <c r="I294" s="75">
        <f t="shared" si="143"/>
        <v>82458.8</v>
      </c>
      <c r="J294" s="75">
        <f t="shared" si="143"/>
        <v>84715.7</v>
      </c>
      <c r="K294" s="75">
        <f t="shared" si="143"/>
        <v>154968.70000000001</v>
      </c>
      <c r="L294" s="135">
        <f t="shared" si="143"/>
        <v>0</v>
      </c>
      <c r="M294" s="135"/>
      <c r="N294" s="135"/>
      <c r="O294" s="135"/>
      <c r="P294" s="135"/>
      <c r="Q294" s="135">
        <f t="shared" si="143"/>
        <v>0</v>
      </c>
      <c r="R294" s="135"/>
      <c r="S294" s="135"/>
      <c r="T294" s="135"/>
      <c r="U294" s="135"/>
      <c r="V294" s="135">
        <f t="shared" si="143"/>
        <v>0</v>
      </c>
      <c r="W294" s="135">
        <f t="shared" si="143"/>
        <v>0</v>
      </c>
      <c r="X294" s="175"/>
      <c r="Y294" s="541"/>
      <c r="AC294" s="57"/>
    </row>
    <row r="295" spans="1:47" ht="24.6" hidden="1" customHeight="1">
      <c r="A295" s="540"/>
      <c r="B295" s="175" t="s">
        <v>11</v>
      </c>
      <c r="C295" s="175"/>
      <c r="D295" s="175"/>
      <c r="E295" s="175"/>
      <c r="F295" s="175"/>
      <c r="G295" s="75">
        <f t="shared" si="142"/>
        <v>37653.699999999997</v>
      </c>
      <c r="H295" s="75">
        <v>37653.699999999997</v>
      </c>
      <c r="I295" s="75">
        <f>502.5-502.5</f>
        <v>0</v>
      </c>
      <c r="J295" s="75">
        <f>1495.03-1495.03</f>
        <v>0</v>
      </c>
      <c r="K295" s="7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>
        <f>300000-300000</f>
        <v>0</v>
      </c>
      <c r="X295" s="175"/>
      <c r="Y295" s="541"/>
      <c r="Z295" s="57"/>
    </row>
    <row r="296" spans="1:47" ht="24.6" hidden="1" customHeight="1">
      <c r="A296" s="540"/>
      <c r="B296" s="175" t="s">
        <v>35</v>
      </c>
      <c r="C296" s="175"/>
      <c r="D296" s="175"/>
      <c r="E296" s="175"/>
      <c r="F296" s="175"/>
      <c r="G296" s="75">
        <f t="shared" si="142"/>
        <v>322143.2</v>
      </c>
      <c r="H296" s="75"/>
      <c r="I296" s="75">
        <f>82458.8</f>
        <v>82458.8</v>
      </c>
      <c r="J296" s="75">
        <f>84715.7</f>
        <v>84715.7</v>
      </c>
      <c r="K296" s="75">
        <f>70786.5+84182.2</f>
        <v>154968.70000000001</v>
      </c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75"/>
      <c r="Y296" s="541"/>
    </row>
    <row r="297" spans="1:47" ht="24.9" customHeight="1">
      <c r="A297" s="540" t="s">
        <v>296</v>
      </c>
      <c r="B297" s="175" t="s">
        <v>91</v>
      </c>
      <c r="C297" s="175"/>
      <c r="D297" s="175"/>
      <c r="E297" s="175"/>
      <c r="F297" s="175"/>
      <c r="G297" s="75">
        <f t="shared" si="142"/>
        <v>0</v>
      </c>
      <c r="H297" s="75"/>
      <c r="I297" s="75"/>
      <c r="J297" s="75"/>
      <c r="K297" s="75"/>
      <c r="L297" s="135">
        <v>0</v>
      </c>
      <c r="M297" s="135"/>
      <c r="N297" s="135"/>
      <c r="O297" s="135"/>
      <c r="P297" s="135"/>
      <c r="Q297" s="135">
        <v>8.5</v>
      </c>
      <c r="R297" s="135"/>
      <c r="S297" s="135"/>
      <c r="T297" s="135">
        <v>6.8</v>
      </c>
      <c r="U297" s="135">
        <v>1.71</v>
      </c>
      <c r="V297" s="135"/>
      <c r="W297" s="135"/>
      <c r="X297" s="175"/>
      <c r="Y297" s="541" t="s">
        <v>389</v>
      </c>
    </row>
    <row r="298" spans="1:47" ht="24.9" customHeight="1">
      <c r="A298" s="540"/>
      <c r="B298" s="175" t="s">
        <v>287</v>
      </c>
      <c r="C298" s="175"/>
      <c r="D298" s="175"/>
      <c r="E298" s="175"/>
      <c r="F298" s="175"/>
      <c r="G298" s="75">
        <f>G300+G301</f>
        <v>0</v>
      </c>
      <c r="H298" s="75">
        <f t="shared" ref="H298:V298" si="144">H300+H301</f>
        <v>0</v>
      </c>
      <c r="I298" s="75">
        <f t="shared" si="144"/>
        <v>0</v>
      </c>
      <c r="J298" s="75">
        <f t="shared" si="144"/>
        <v>0</v>
      </c>
      <c r="K298" s="75">
        <f t="shared" si="144"/>
        <v>0</v>
      </c>
      <c r="L298" s="135">
        <f t="shared" si="144"/>
        <v>116899.1</v>
      </c>
      <c r="M298" s="135">
        <f t="shared" si="144"/>
        <v>0</v>
      </c>
      <c r="N298" s="135">
        <f t="shared" si="144"/>
        <v>0</v>
      </c>
      <c r="O298" s="135">
        <f t="shared" si="144"/>
        <v>19872.8</v>
      </c>
      <c r="P298" s="135">
        <f t="shared" si="144"/>
        <v>97026.3</v>
      </c>
      <c r="Q298" s="135">
        <f>Q300+Q299</f>
        <v>231828.69999999998</v>
      </c>
      <c r="R298" s="135">
        <f t="shared" ref="R298:U298" si="145">R300+R301</f>
        <v>22761.3</v>
      </c>
      <c r="S298" s="135">
        <f t="shared" si="145"/>
        <v>38229.599999999999</v>
      </c>
      <c r="T298" s="135">
        <f t="shared" si="145"/>
        <v>162223.4</v>
      </c>
      <c r="U298" s="135">
        <f t="shared" si="145"/>
        <v>2821.8999999999996</v>
      </c>
      <c r="V298" s="135">
        <f t="shared" si="144"/>
        <v>0</v>
      </c>
      <c r="W298" s="135"/>
      <c r="X298" s="175"/>
      <c r="Y298" s="541"/>
    </row>
    <row r="299" spans="1:47" ht="24.9" customHeight="1">
      <c r="A299" s="540"/>
      <c r="B299" s="447" t="s">
        <v>676</v>
      </c>
      <c r="C299" s="447"/>
      <c r="D299" s="447"/>
      <c r="E299" s="447"/>
      <c r="F299" s="447"/>
      <c r="G299" s="75"/>
      <c r="H299" s="75"/>
      <c r="I299" s="75"/>
      <c r="J299" s="75"/>
      <c r="K299" s="75"/>
      <c r="L299" s="135"/>
      <c r="M299" s="135"/>
      <c r="N299" s="135"/>
      <c r="O299" s="135"/>
      <c r="P299" s="135"/>
      <c r="Q299" s="135">
        <f>T299</f>
        <v>5792.5</v>
      </c>
      <c r="R299" s="135"/>
      <c r="S299" s="135"/>
      <c r="T299" s="135">
        <v>5792.5</v>
      </c>
      <c r="U299" s="135"/>
      <c r="V299" s="135"/>
      <c r="W299" s="135"/>
      <c r="X299" s="447"/>
      <c r="Y299" s="541"/>
    </row>
    <row r="300" spans="1:47" ht="24.9" customHeight="1">
      <c r="A300" s="540"/>
      <c r="B300" s="175" t="s">
        <v>11</v>
      </c>
      <c r="C300" s="175"/>
      <c r="D300" s="175"/>
      <c r="E300" s="175"/>
      <c r="F300" s="175"/>
      <c r="G300" s="75">
        <f t="shared" ref="G300:G304" si="146">SUM(H300:K300)</f>
        <v>0</v>
      </c>
      <c r="H300" s="75"/>
      <c r="I300" s="75"/>
      <c r="J300" s="75"/>
      <c r="K300" s="75"/>
      <c r="L300" s="135"/>
      <c r="M300" s="135"/>
      <c r="N300" s="135"/>
      <c r="O300" s="135"/>
      <c r="P300" s="135"/>
      <c r="Q300" s="135">
        <f>R300+S300+T300+U300</f>
        <v>226036.19999999998</v>
      </c>
      <c r="R300" s="135">
        <v>22761.3</v>
      </c>
      <c r="S300" s="135">
        <v>38229.599999999999</v>
      </c>
      <c r="T300" s="135">
        <v>162223.4</v>
      </c>
      <c r="U300" s="135">
        <f>14106.5-5492.2-5792.4</f>
        <v>2821.8999999999996</v>
      </c>
      <c r="V300" s="135"/>
      <c r="W300" s="135"/>
      <c r="X300" s="175"/>
      <c r="Y300" s="541"/>
    </row>
    <row r="301" spans="1:47" ht="23.4" hidden="1" customHeight="1">
      <c r="A301" s="540"/>
      <c r="B301" s="175" t="s">
        <v>476</v>
      </c>
      <c r="C301" s="175"/>
      <c r="D301" s="175"/>
      <c r="E301" s="175"/>
      <c r="F301" s="175"/>
      <c r="G301" s="75">
        <f t="shared" si="146"/>
        <v>0</v>
      </c>
      <c r="H301" s="75"/>
      <c r="I301" s="75"/>
      <c r="J301" s="75"/>
      <c r="K301" s="75"/>
      <c r="L301" s="135">
        <f>105899.1+11000</f>
        <v>116899.1</v>
      </c>
      <c r="M301" s="135"/>
      <c r="N301" s="135"/>
      <c r="O301" s="135">
        <v>19872.8</v>
      </c>
      <c r="P301" s="135">
        <v>97026.3</v>
      </c>
      <c r="Q301" s="135">
        <v>0</v>
      </c>
      <c r="R301" s="135"/>
      <c r="S301" s="135"/>
      <c r="T301" s="135"/>
      <c r="U301" s="135"/>
      <c r="V301" s="135"/>
      <c r="W301" s="135"/>
      <c r="X301" s="175"/>
      <c r="Y301" s="541"/>
    </row>
    <row r="302" spans="1:47" ht="24.6" hidden="1" customHeight="1">
      <c r="A302" s="536" t="s">
        <v>393</v>
      </c>
      <c r="B302" s="175" t="s">
        <v>91</v>
      </c>
      <c r="C302" s="175"/>
      <c r="D302" s="175"/>
      <c r="E302" s="175"/>
      <c r="F302" s="175"/>
      <c r="G302" s="75">
        <f t="shared" si="146"/>
        <v>0</v>
      </c>
      <c r="H302" s="75"/>
      <c r="I302" s="75"/>
      <c r="J302" s="75"/>
      <c r="K302" s="75"/>
      <c r="L302" s="135">
        <v>0</v>
      </c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75"/>
      <c r="Y302" s="533" t="s">
        <v>606</v>
      </c>
    </row>
    <row r="303" spans="1:47" s="56" customFormat="1" ht="24.6" hidden="1" customHeight="1">
      <c r="A303" s="537"/>
      <c r="B303" s="175" t="s">
        <v>287</v>
      </c>
      <c r="C303" s="175"/>
      <c r="D303" s="175"/>
      <c r="E303" s="175"/>
      <c r="F303" s="175"/>
      <c r="G303" s="75">
        <f t="shared" si="146"/>
        <v>0</v>
      </c>
      <c r="H303" s="75">
        <f>H304+H313</f>
        <v>0</v>
      </c>
      <c r="I303" s="75">
        <f>I304+I313</f>
        <v>0</v>
      </c>
      <c r="J303" s="75">
        <f>J304+J313</f>
        <v>0</v>
      </c>
      <c r="K303" s="75">
        <f>K304+K313</f>
        <v>0</v>
      </c>
      <c r="L303" s="135">
        <f>L304+L313</f>
        <v>0</v>
      </c>
      <c r="M303" s="135"/>
      <c r="N303" s="135"/>
      <c r="O303" s="135"/>
      <c r="P303" s="135"/>
      <c r="Q303" s="135">
        <f>Q304+Q313</f>
        <v>0</v>
      </c>
      <c r="R303" s="135"/>
      <c r="S303" s="135"/>
      <c r="T303" s="135"/>
      <c r="U303" s="135"/>
      <c r="V303" s="135">
        <f>V305</f>
        <v>0</v>
      </c>
      <c r="W303" s="135">
        <f>W305</f>
        <v>0</v>
      </c>
      <c r="X303" s="175"/>
      <c r="Y303" s="534"/>
    </row>
    <row r="304" spans="1:47" s="56" customFormat="1" ht="24.6" hidden="1" customHeight="1">
      <c r="A304" s="537"/>
      <c r="B304" s="175" t="s">
        <v>11</v>
      </c>
      <c r="C304" s="175"/>
      <c r="D304" s="175"/>
      <c r="E304" s="175"/>
      <c r="F304" s="175"/>
      <c r="G304" s="75">
        <f t="shared" si="146"/>
        <v>0</v>
      </c>
      <c r="H304" s="75"/>
      <c r="I304" s="75"/>
      <c r="J304" s="75"/>
      <c r="K304" s="75"/>
      <c r="L304" s="135"/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75"/>
      <c r="Y304" s="534"/>
      <c r="Z304" s="156"/>
      <c r="AA304" s="156"/>
      <c r="AB304" s="156"/>
      <c r="AC304" s="156"/>
      <c r="AD304" s="156"/>
      <c r="AE304" s="156"/>
      <c r="AF304" s="156"/>
      <c r="AG304" s="156"/>
      <c r="AH304" s="156"/>
      <c r="AI304" s="156"/>
      <c r="AJ304" s="156"/>
      <c r="AK304" s="156"/>
      <c r="AL304" s="156"/>
      <c r="AM304" s="156"/>
      <c r="AN304" s="156"/>
      <c r="AO304" s="156"/>
      <c r="AP304" s="156"/>
      <c r="AQ304" s="156"/>
      <c r="AR304" s="156"/>
      <c r="AS304" s="156"/>
      <c r="AT304" s="156"/>
      <c r="AU304" s="156"/>
    </row>
    <row r="305" spans="1:74" s="56" customFormat="1" ht="24.6" hidden="1" customHeight="1">
      <c r="A305" s="538"/>
      <c r="B305" s="177" t="s">
        <v>35</v>
      </c>
      <c r="C305" s="177"/>
      <c r="D305" s="177"/>
      <c r="E305" s="177"/>
      <c r="F305" s="177"/>
      <c r="G305" s="143">
        <v>0</v>
      </c>
      <c r="H305" s="143"/>
      <c r="I305" s="143"/>
      <c r="J305" s="143"/>
      <c r="K305" s="143"/>
      <c r="L305" s="144"/>
      <c r="M305" s="144"/>
      <c r="N305" s="144"/>
      <c r="O305" s="144"/>
      <c r="P305" s="144"/>
      <c r="Q305" s="166"/>
      <c r="R305" s="166"/>
      <c r="S305" s="166"/>
      <c r="T305" s="166"/>
      <c r="U305" s="166"/>
      <c r="V305" s="144">
        <v>0</v>
      </c>
      <c r="W305" s="144"/>
      <c r="X305" s="177"/>
      <c r="Y305" s="535"/>
      <c r="Z305" s="156"/>
      <c r="AA305" s="156"/>
      <c r="AB305" s="156"/>
      <c r="AC305" s="156"/>
      <c r="AD305" s="156"/>
      <c r="AE305" s="156"/>
      <c r="AF305" s="156"/>
      <c r="AG305" s="156"/>
      <c r="AH305" s="156"/>
      <c r="AI305" s="156"/>
      <c r="AJ305" s="156"/>
      <c r="AK305" s="156"/>
      <c r="AL305" s="156"/>
      <c r="AM305" s="156"/>
      <c r="AN305" s="156"/>
      <c r="AO305" s="156"/>
      <c r="AP305" s="156"/>
      <c r="AQ305" s="156"/>
      <c r="AR305" s="156"/>
      <c r="AS305" s="156"/>
      <c r="AT305" s="156"/>
      <c r="AU305" s="156"/>
    </row>
    <row r="306" spans="1:74" s="56" customFormat="1" ht="24.6" hidden="1" customHeight="1">
      <c r="A306" s="536" t="s">
        <v>394</v>
      </c>
      <c r="B306" s="177" t="s">
        <v>91</v>
      </c>
      <c r="C306" s="177"/>
      <c r="D306" s="177"/>
      <c r="E306" s="177"/>
      <c r="F306" s="177"/>
      <c r="G306" s="143"/>
      <c r="H306" s="143"/>
      <c r="I306" s="143"/>
      <c r="J306" s="143"/>
      <c r="K306" s="143"/>
      <c r="L306" s="144"/>
      <c r="M306" s="144"/>
      <c r="N306" s="144"/>
      <c r="O306" s="144"/>
      <c r="P306" s="144"/>
      <c r="Q306" s="144"/>
      <c r="R306" s="144"/>
      <c r="S306" s="144"/>
      <c r="T306" s="144"/>
      <c r="U306" s="144"/>
      <c r="V306" s="144"/>
      <c r="W306" s="144"/>
      <c r="X306" s="177"/>
      <c r="Y306" s="533" t="s">
        <v>395</v>
      </c>
      <c r="Z306" s="156"/>
      <c r="AA306" s="156"/>
      <c r="AB306" s="156"/>
      <c r="AC306" s="156"/>
      <c r="AD306" s="156"/>
      <c r="AE306" s="156"/>
      <c r="AF306" s="156"/>
      <c r="AG306" s="156"/>
      <c r="AH306" s="156"/>
      <c r="AI306" s="156"/>
      <c r="AJ306" s="156"/>
      <c r="AK306" s="156"/>
      <c r="AL306" s="156"/>
      <c r="AM306" s="156"/>
      <c r="AN306" s="156"/>
      <c r="AO306" s="156"/>
      <c r="AP306" s="156"/>
      <c r="AQ306" s="156"/>
      <c r="AR306" s="156"/>
      <c r="AS306" s="156"/>
      <c r="AT306" s="156"/>
      <c r="AU306" s="156"/>
    </row>
    <row r="307" spans="1:74" s="56" customFormat="1" ht="24.6" hidden="1" customHeight="1">
      <c r="A307" s="537"/>
      <c r="B307" s="177" t="s">
        <v>287</v>
      </c>
      <c r="C307" s="177"/>
      <c r="D307" s="177"/>
      <c r="E307" s="177"/>
      <c r="F307" s="177"/>
      <c r="G307" s="143"/>
      <c r="H307" s="143"/>
      <c r="I307" s="143"/>
      <c r="J307" s="143"/>
      <c r="K307" s="143"/>
      <c r="L307" s="144"/>
      <c r="M307" s="144"/>
      <c r="N307" s="144"/>
      <c r="O307" s="144"/>
      <c r="P307" s="144"/>
      <c r="Q307" s="144"/>
      <c r="R307" s="144"/>
      <c r="S307" s="144"/>
      <c r="T307" s="144"/>
      <c r="U307" s="144"/>
      <c r="V307" s="144"/>
      <c r="W307" s="144">
        <f>W309</f>
        <v>0</v>
      </c>
      <c r="X307" s="177"/>
      <c r="Y307" s="534"/>
      <c r="Z307" s="156"/>
      <c r="AA307" s="156"/>
      <c r="AB307" s="156"/>
      <c r="AC307" s="156"/>
      <c r="AD307" s="156"/>
      <c r="AE307" s="156"/>
      <c r="AF307" s="156"/>
      <c r="AG307" s="156"/>
      <c r="AH307" s="156"/>
      <c r="AI307" s="156"/>
      <c r="AJ307" s="156"/>
      <c r="AK307" s="156"/>
      <c r="AL307" s="156"/>
      <c r="AM307" s="156"/>
      <c r="AN307" s="156"/>
      <c r="AO307" s="156"/>
      <c r="AP307" s="156"/>
      <c r="AQ307" s="156"/>
      <c r="AR307" s="156"/>
      <c r="AS307" s="156"/>
      <c r="AT307" s="156"/>
      <c r="AU307" s="156"/>
    </row>
    <row r="308" spans="1:74" s="56" customFormat="1" ht="24.6" hidden="1" customHeight="1">
      <c r="A308" s="537"/>
      <c r="B308" s="177" t="s">
        <v>11</v>
      </c>
      <c r="C308" s="177"/>
      <c r="D308" s="177"/>
      <c r="E308" s="177"/>
      <c r="F308" s="177"/>
      <c r="G308" s="143"/>
      <c r="H308" s="143"/>
      <c r="I308" s="143"/>
      <c r="J308" s="143"/>
      <c r="K308" s="143"/>
      <c r="L308" s="144"/>
      <c r="M308" s="144"/>
      <c r="N308" s="144"/>
      <c r="O308" s="144"/>
      <c r="P308" s="144"/>
      <c r="Q308" s="144"/>
      <c r="R308" s="144"/>
      <c r="S308" s="144"/>
      <c r="T308" s="144"/>
      <c r="U308" s="144"/>
      <c r="V308" s="144"/>
      <c r="W308" s="144"/>
      <c r="X308" s="177"/>
      <c r="Y308" s="534"/>
      <c r="Z308" s="156"/>
      <c r="AA308" s="156"/>
      <c r="AB308" s="156"/>
      <c r="AC308" s="156"/>
      <c r="AD308" s="156"/>
      <c r="AE308" s="156"/>
      <c r="AF308" s="156"/>
      <c r="AG308" s="156"/>
      <c r="AH308" s="156"/>
      <c r="AI308" s="156"/>
      <c r="AJ308" s="156"/>
      <c r="AK308" s="156"/>
      <c r="AL308" s="156"/>
      <c r="AM308" s="156"/>
      <c r="AN308" s="156"/>
      <c r="AO308" s="156"/>
      <c r="AP308" s="156"/>
      <c r="AQ308" s="156"/>
      <c r="AR308" s="156"/>
      <c r="AS308" s="156"/>
      <c r="AT308" s="156"/>
      <c r="AU308" s="156"/>
    </row>
    <row r="309" spans="1:74" s="56" customFormat="1" ht="24.6" hidden="1" customHeight="1">
      <c r="A309" s="538"/>
      <c r="B309" s="177" t="s">
        <v>35</v>
      </c>
      <c r="C309" s="177"/>
      <c r="D309" s="177"/>
      <c r="E309" s="177"/>
      <c r="F309" s="177"/>
      <c r="G309" s="143"/>
      <c r="H309" s="143"/>
      <c r="I309" s="143"/>
      <c r="J309" s="143"/>
      <c r="K309" s="143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77"/>
      <c r="Y309" s="535"/>
      <c r="Z309" s="156"/>
      <c r="AA309" s="156"/>
      <c r="AB309" s="156"/>
      <c r="AC309" s="156"/>
      <c r="AD309" s="156"/>
      <c r="AE309" s="156"/>
      <c r="AF309" s="156"/>
      <c r="AG309" s="156"/>
      <c r="AH309" s="156"/>
      <c r="AI309" s="156"/>
      <c r="AJ309" s="156"/>
      <c r="AK309" s="156"/>
      <c r="AL309" s="156"/>
      <c r="AM309" s="156"/>
      <c r="AN309" s="156"/>
      <c r="AO309" s="156"/>
      <c r="AP309" s="156"/>
      <c r="AQ309" s="156"/>
      <c r="AR309" s="156"/>
      <c r="AS309" s="156"/>
      <c r="AT309" s="156"/>
      <c r="AU309" s="156"/>
    </row>
    <row r="310" spans="1:74" s="56" customFormat="1" ht="24.6" hidden="1" customHeight="1">
      <c r="A310" s="536" t="s">
        <v>359</v>
      </c>
      <c r="B310" s="177" t="s">
        <v>91</v>
      </c>
      <c r="C310" s="177"/>
      <c r="D310" s="177"/>
      <c r="E310" s="177"/>
      <c r="F310" s="177"/>
      <c r="G310" s="143"/>
      <c r="H310" s="143"/>
      <c r="I310" s="143"/>
      <c r="J310" s="143"/>
      <c r="K310" s="143"/>
      <c r="L310" s="144"/>
      <c r="M310" s="144"/>
      <c r="N310" s="144"/>
      <c r="O310" s="144"/>
      <c r="P310" s="144"/>
      <c r="Q310" s="144"/>
      <c r="R310" s="144"/>
      <c r="S310" s="144"/>
      <c r="T310" s="144"/>
      <c r="U310" s="144"/>
      <c r="V310" s="144"/>
      <c r="W310" s="144"/>
      <c r="X310" s="177"/>
      <c r="Y310" s="533" t="s">
        <v>396</v>
      </c>
      <c r="Z310" s="156"/>
      <c r="AA310" s="156"/>
      <c r="AB310" s="156"/>
      <c r="AC310" s="156"/>
      <c r="AD310" s="156"/>
      <c r="AE310" s="156"/>
      <c r="AF310" s="156"/>
      <c r="AG310" s="156"/>
      <c r="AH310" s="156"/>
      <c r="AI310" s="156"/>
      <c r="AJ310" s="156"/>
      <c r="AK310" s="156"/>
      <c r="AL310" s="156"/>
      <c r="AM310" s="156"/>
      <c r="AN310" s="156"/>
      <c r="AO310" s="156"/>
      <c r="AP310" s="156"/>
      <c r="AQ310" s="156"/>
      <c r="AR310" s="156"/>
      <c r="AS310" s="156"/>
      <c r="AT310" s="156"/>
      <c r="AU310" s="156"/>
    </row>
    <row r="311" spans="1:74" s="56" customFormat="1" ht="24.6" hidden="1" customHeight="1">
      <c r="A311" s="537"/>
      <c r="B311" s="177" t="s">
        <v>287</v>
      </c>
      <c r="C311" s="177"/>
      <c r="D311" s="177"/>
      <c r="E311" s="177"/>
      <c r="F311" s="177"/>
      <c r="G311" s="143"/>
      <c r="H311" s="143"/>
      <c r="I311" s="143"/>
      <c r="J311" s="143"/>
      <c r="K311" s="143"/>
      <c r="L311" s="144"/>
      <c r="M311" s="144"/>
      <c r="N311" s="144"/>
      <c r="O311" s="144"/>
      <c r="P311" s="144"/>
      <c r="Q311" s="144"/>
      <c r="R311" s="144"/>
      <c r="S311" s="144"/>
      <c r="T311" s="144"/>
      <c r="U311" s="144"/>
      <c r="V311" s="144"/>
      <c r="W311" s="144">
        <f>W313</f>
        <v>0</v>
      </c>
      <c r="X311" s="177"/>
      <c r="Y311" s="534"/>
      <c r="Z311" s="156"/>
      <c r="AA311" s="156"/>
      <c r="AB311" s="156"/>
      <c r="AC311" s="156"/>
      <c r="AD311" s="156"/>
      <c r="AE311" s="156"/>
      <c r="AF311" s="156"/>
      <c r="AG311" s="156"/>
      <c r="AH311" s="156"/>
      <c r="AI311" s="156"/>
      <c r="AJ311" s="156"/>
      <c r="AK311" s="156"/>
      <c r="AL311" s="156"/>
      <c r="AM311" s="156"/>
      <c r="AN311" s="156"/>
      <c r="AO311" s="156"/>
      <c r="AP311" s="156"/>
      <c r="AQ311" s="156"/>
      <c r="AR311" s="156"/>
      <c r="AS311" s="156"/>
      <c r="AT311" s="156"/>
      <c r="AU311" s="156"/>
    </row>
    <row r="312" spans="1:74" s="56" customFormat="1" ht="24.6" hidden="1" customHeight="1">
      <c r="A312" s="537"/>
      <c r="B312" s="177" t="s">
        <v>11</v>
      </c>
      <c r="C312" s="177"/>
      <c r="D312" s="177"/>
      <c r="E312" s="177"/>
      <c r="F312" s="177"/>
      <c r="G312" s="143"/>
      <c r="H312" s="143"/>
      <c r="I312" s="143"/>
      <c r="J312" s="143"/>
      <c r="K312" s="143"/>
      <c r="L312" s="144"/>
      <c r="M312" s="144"/>
      <c r="N312" s="144"/>
      <c r="O312" s="144"/>
      <c r="P312" s="144"/>
      <c r="Q312" s="144"/>
      <c r="R312" s="144"/>
      <c r="S312" s="144"/>
      <c r="T312" s="144"/>
      <c r="U312" s="144"/>
      <c r="V312" s="144"/>
      <c r="W312" s="144"/>
      <c r="X312" s="177"/>
      <c r="Y312" s="534"/>
      <c r="Z312" s="156"/>
      <c r="AA312" s="156"/>
      <c r="AB312" s="156"/>
      <c r="AC312" s="156"/>
      <c r="AD312" s="156"/>
      <c r="AE312" s="156"/>
      <c r="AF312" s="156"/>
      <c r="AG312" s="156"/>
      <c r="AH312" s="156"/>
      <c r="AI312" s="156"/>
      <c r="AJ312" s="156"/>
      <c r="AK312" s="156"/>
      <c r="AL312" s="156"/>
      <c r="AM312" s="156"/>
      <c r="AN312" s="156"/>
      <c r="AO312" s="156"/>
      <c r="AP312" s="156"/>
      <c r="AQ312" s="156"/>
      <c r="AR312" s="156"/>
      <c r="AS312" s="156"/>
      <c r="AT312" s="156"/>
      <c r="AU312" s="156"/>
    </row>
    <row r="313" spans="1:74" s="152" customFormat="1" ht="24.6" hidden="1" customHeight="1">
      <c r="A313" s="538"/>
      <c r="B313" s="175" t="s">
        <v>35</v>
      </c>
      <c r="C313" s="175"/>
      <c r="D313" s="175"/>
      <c r="E313" s="175"/>
      <c r="F313" s="175"/>
      <c r="G313" s="75"/>
      <c r="H313" s="75"/>
      <c r="I313" s="75"/>
      <c r="J313" s="75"/>
      <c r="K313" s="7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75"/>
      <c r="Y313" s="535"/>
      <c r="Z313" s="156"/>
      <c r="AA313" s="156"/>
      <c r="AB313" s="156"/>
      <c r="AC313" s="156"/>
      <c r="AD313" s="156"/>
      <c r="AE313" s="156"/>
      <c r="AF313" s="156"/>
      <c r="AG313" s="156"/>
      <c r="AH313" s="156"/>
      <c r="AI313" s="156"/>
      <c r="AJ313" s="156"/>
      <c r="AK313" s="156"/>
      <c r="AL313" s="156"/>
      <c r="AM313" s="156"/>
      <c r="AN313" s="156"/>
      <c r="AO313" s="156"/>
      <c r="AP313" s="156"/>
      <c r="AQ313" s="156"/>
      <c r="AR313" s="156"/>
      <c r="AS313" s="156"/>
      <c r="AT313" s="156"/>
      <c r="AU313" s="156"/>
      <c r="AV313" s="155"/>
      <c r="BF313" s="154"/>
      <c r="BG313" s="156"/>
      <c r="BH313" s="156"/>
      <c r="BI313" s="156"/>
      <c r="BJ313" s="156"/>
      <c r="BK313" s="156"/>
      <c r="BL313" s="156"/>
      <c r="BM313" s="156"/>
      <c r="BN313" s="156"/>
      <c r="BO313" s="156"/>
      <c r="BP313" s="156"/>
      <c r="BQ313" s="156"/>
      <c r="BR313" s="156"/>
      <c r="BS313" s="156"/>
      <c r="BT313" s="156"/>
      <c r="BU313" s="156"/>
      <c r="BV313" s="155"/>
    </row>
    <row r="314" spans="1:74" s="56" customFormat="1" ht="24.6" hidden="1" customHeight="1">
      <c r="A314" s="550" t="s">
        <v>107</v>
      </c>
      <c r="B314" s="131" t="s">
        <v>91</v>
      </c>
      <c r="C314" s="131"/>
      <c r="D314" s="131"/>
      <c r="E314" s="131"/>
      <c r="F314" s="131"/>
      <c r="G314" s="145">
        <f>G318+G322</f>
        <v>0</v>
      </c>
      <c r="H314" s="145">
        <f t="shared" ref="H314:V314" si="147">H318+H322</f>
        <v>0</v>
      </c>
      <c r="I314" s="145">
        <f t="shared" si="147"/>
        <v>0</v>
      </c>
      <c r="J314" s="145">
        <f t="shared" si="147"/>
        <v>0</v>
      </c>
      <c r="K314" s="145">
        <f t="shared" si="147"/>
        <v>0</v>
      </c>
      <c r="L314" s="146">
        <f>L318+L322</f>
        <v>1.2</v>
      </c>
      <c r="M314" s="146">
        <f t="shared" si="147"/>
        <v>0</v>
      </c>
      <c r="N314" s="146">
        <f t="shared" si="147"/>
        <v>0</v>
      </c>
      <c r="O314" s="146">
        <f t="shared" si="147"/>
        <v>0</v>
      </c>
      <c r="P314" s="146">
        <f t="shared" si="147"/>
        <v>1.2</v>
      </c>
      <c r="Q314" s="146">
        <f t="shared" si="147"/>
        <v>0</v>
      </c>
      <c r="R314" s="146"/>
      <c r="S314" s="146"/>
      <c r="T314" s="146"/>
      <c r="U314" s="146"/>
      <c r="V314" s="146">
        <f t="shared" si="147"/>
        <v>0</v>
      </c>
      <c r="W314" s="146"/>
      <c r="X314" s="179"/>
      <c r="Y314" s="131"/>
    </row>
    <row r="315" spans="1:74" ht="24.6" hidden="1" customHeight="1">
      <c r="A315" s="551"/>
      <c r="B315" s="83" t="s">
        <v>287</v>
      </c>
      <c r="C315" s="83"/>
      <c r="D315" s="83"/>
      <c r="E315" s="83"/>
      <c r="F315" s="83"/>
      <c r="G315" s="81">
        <f t="shared" ref="G315:V315" si="148">G316+G317</f>
        <v>25000</v>
      </c>
      <c r="H315" s="81">
        <f t="shared" si="148"/>
        <v>0</v>
      </c>
      <c r="I315" s="81">
        <f t="shared" si="148"/>
        <v>0</v>
      </c>
      <c r="J315" s="81">
        <f t="shared" si="148"/>
        <v>0</v>
      </c>
      <c r="K315" s="81">
        <f t="shared" si="148"/>
        <v>25000</v>
      </c>
      <c r="L315" s="134">
        <f t="shared" si="148"/>
        <v>34492.699999999997</v>
      </c>
      <c r="M315" s="134">
        <f t="shared" si="148"/>
        <v>0</v>
      </c>
      <c r="N315" s="134">
        <f t="shared" si="148"/>
        <v>0</v>
      </c>
      <c r="O315" s="134">
        <f t="shared" si="148"/>
        <v>0</v>
      </c>
      <c r="P315" s="134">
        <f t="shared" si="148"/>
        <v>34492.699999999997</v>
      </c>
      <c r="Q315" s="134">
        <f t="shared" si="148"/>
        <v>0</v>
      </c>
      <c r="R315" s="134"/>
      <c r="S315" s="134"/>
      <c r="T315" s="134"/>
      <c r="U315" s="134"/>
      <c r="V315" s="134">
        <f t="shared" si="148"/>
        <v>0</v>
      </c>
      <c r="W315" s="134"/>
      <c r="X315" s="175"/>
      <c r="Y315" s="83"/>
      <c r="AF315" s="55">
        <v>55</v>
      </c>
    </row>
    <row r="316" spans="1:74" ht="28.2" hidden="1" customHeight="1">
      <c r="A316" s="551"/>
      <c r="B316" s="83" t="s">
        <v>11</v>
      </c>
      <c r="C316" s="83"/>
      <c r="D316" s="83"/>
      <c r="E316" s="83"/>
      <c r="F316" s="83"/>
      <c r="G316" s="81">
        <f>G324+G320</f>
        <v>25000</v>
      </c>
      <c r="H316" s="81">
        <f>H324+H320</f>
        <v>0</v>
      </c>
      <c r="I316" s="81">
        <f>I324+I320</f>
        <v>0</v>
      </c>
      <c r="J316" s="81">
        <f>J324+J320</f>
        <v>0</v>
      </c>
      <c r="K316" s="81">
        <f>K324+K320</f>
        <v>25000</v>
      </c>
      <c r="L316" s="134">
        <f>L324</f>
        <v>34492.699999999997</v>
      </c>
      <c r="M316" s="134">
        <f t="shared" ref="M316:P316" si="149">M324</f>
        <v>0</v>
      </c>
      <c r="N316" s="134">
        <f t="shared" si="149"/>
        <v>0</v>
      </c>
      <c r="O316" s="134">
        <f t="shared" si="149"/>
        <v>0</v>
      </c>
      <c r="P316" s="134">
        <f t="shared" si="149"/>
        <v>34492.699999999997</v>
      </c>
      <c r="Q316" s="134"/>
      <c r="R316" s="134"/>
      <c r="S316" s="134"/>
      <c r="T316" s="134"/>
      <c r="U316" s="134"/>
      <c r="V316" s="134"/>
      <c r="W316" s="134"/>
      <c r="X316" s="175"/>
      <c r="Y316" s="83"/>
    </row>
    <row r="317" spans="1:74" ht="24.6" hidden="1" customHeight="1">
      <c r="A317" s="552"/>
      <c r="B317" s="83" t="s">
        <v>35</v>
      </c>
      <c r="C317" s="83"/>
      <c r="D317" s="83"/>
      <c r="E317" s="83"/>
      <c r="F317" s="83"/>
      <c r="G317" s="81">
        <f>G325+G321</f>
        <v>0</v>
      </c>
      <c r="H317" s="81">
        <f t="shared" ref="H317:V317" si="150">H325+H321</f>
        <v>0</v>
      </c>
      <c r="I317" s="81">
        <f t="shared" si="150"/>
        <v>0</v>
      </c>
      <c r="J317" s="81">
        <f t="shared" si="150"/>
        <v>0</v>
      </c>
      <c r="K317" s="81">
        <f t="shared" si="150"/>
        <v>0</v>
      </c>
      <c r="L317" s="134">
        <f t="shared" si="150"/>
        <v>0</v>
      </c>
      <c r="M317" s="134"/>
      <c r="N317" s="134"/>
      <c r="O317" s="134"/>
      <c r="P317" s="134"/>
      <c r="Q317" s="134">
        <f t="shared" si="150"/>
        <v>0</v>
      </c>
      <c r="R317" s="134"/>
      <c r="S317" s="134"/>
      <c r="T317" s="134"/>
      <c r="U317" s="134"/>
      <c r="V317" s="134">
        <f t="shared" si="150"/>
        <v>0</v>
      </c>
      <c r="W317" s="134"/>
      <c r="X317" s="175"/>
      <c r="Y317" s="83"/>
    </row>
    <row r="318" spans="1:74" ht="0.6" hidden="1" customHeight="1">
      <c r="A318" s="531" t="s">
        <v>293</v>
      </c>
      <c r="B318" s="175" t="s">
        <v>91</v>
      </c>
      <c r="C318" s="175">
        <v>176</v>
      </c>
      <c r="D318" s="175" t="s">
        <v>16</v>
      </c>
      <c r="E318" s="175">
        <v>6100404</v>
      </c>
      <c r="F318" s="175">
        <v>414</v>
      </c>
      <c r="G318" s="75"/>
      <c r="H318" s="75"/>
      <c r="I318" s="75"/>
      <c r="J318" s="75"/>
      <c r="K318" s="75"/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>
        <v>0</v>
      </c>
      <c r="W318" s="135"/>
      <c r="X318" s="175"/>
      <c r="Y318" s="541" t="s">
        <v>324</v>
      </c>
    </row>
    <row r="319" spans="1:74" ht="24.6" hidden="1" customHeight="1">
      <c r="A319" s="531"/>
      <c r="B319" s="175" t="s">
        <v>287</v>
      </c>
      <c r="C319" s="175"/>
      <c r="D319" s="175"/>
      <c r="E319" s="175"/>
      <c r="F319" s="175"/>
      <c r="G319" s="75">
        <f>G321</f>
        <v>0</v>
      </c>
      <c r="H319" s="75"/>
      <c r="I319" s="75"/>
      <c r="J319" s="75"/>
      <c r="K319" s="75"/>
      <c r="L319" s="135">
        <f>L321</f>
        <v>0</v>
      </c>
      <c r="M319" s="135"/>
      <c r="N319" s="135"/>
      <c r="O319" s="135"/>
      <c r="P319" s="135"/>
      <c r="Q319" s="135"/>
      <c r="R319" s="135"/>
      <c r="S319" s="135"/>
      <c r="T319" s="135"/>
      <c r="U319" s="135"/>
      <c r="V319" s="135">
        <f>V321</f>
        <v>0</v>
      </c>
      <c r="W319" s="135"/>
      <c r="X319" s="175"/>
      <c r="Y319" s="541"/>
    </row>
    <row r="320" spans="1:74" ht="24.6" hidden="1" customHeight="1">
      <c r="A320" s="531"/>
      <c r="B320" s="175" t="s">
        <v>11</v>
      </c>
      <c r="C320" s="175"/>
      <c r="D320" s="175"/>
      <c r="E320" s="175"/>
      <c r="F320" s="175"/>
      <c r="G320" s="75"/>
      <c r="H320" s="75"/>
      <c r="I320" s="75"/>
      <c r="J320" s="75"/>
      <c r="K320" s="75"/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75"/>
      <c r="Y320" s="541"/>
    </row>
    <row r="321" spans="1:25" ht="24.6" hidden="1" customHeight="1">
      <c r="A321" s="531"/>
      <c r="B321" s="175" t="s">
        <v>35</v>
      </c>
      <c r="C321" s="175"/>
      <c r="D321" s="175"/>
      <c r="E321" s="175"/>
      <c r="F321" s="175"/>
      <c r="G321" s="75"/>
      <c r="H321" s="75"/>
      <c r="I321" s="75"/>
      <c r="J321" s="75"/>
      <c r="K321" s="7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>
        <v>0</v>
      </c>
      <c r="W321" s="135"/>
      <c r="X321" s="175"/>
      <c r="Y321" s="541"/>
    </row>
    <row r="322" spans="1:25" ht="0.6" hidden="1" customHeight="1">
      <c r="A322" s="531" t="s">
        <v>284</v>
      </c>
      <c r="B322" s="175" t="s">
        <v>91</v>
      </c>
      <c r="C322" s="175"/>
      <c r="D322" s="175"/>
      <c r="E322" s="175"/>
      <c r="F322" s="175"/>
      <c r="G322" s="75">
        <f>SUM(H322:K322)</f>
        <v>0</v>
      </c>
      <c r="H322" s="75"/>
      <c r="I322" s="75"/>
      <c r="J322" s="75"/>
      <c r="K322" s="75"/>
      <c r="L322" s="135">
        <v>1.2</v>
      </c>
      <c r="M322" s="135"/>
      <c r="N322" s="135"/>
      <c r="O322" s="135"/>
      <c r="P322" s="135">
        <v>1.2</v>
      </c>
      <c r="Q322" s="135">
        <v>0</v>
      </c>
      <c r="R322" s="135"/>
      <c r="S322" s="135"/>
      <c r="T322" s="135"/>
      <c r="U322" s="135"/>
      <c r="V322" s="135"/>
      <c r="W322" s="135"/>
      <c r="X322" s="175"/>
      <c r="Y322" s="541" t="s">
        <v>250</v>
      </c>
    </row>
    <row r="323" spans="1:25" ht="24.6" hidden="1" customHeight="1">
      <c r="A323" s="531"/>
      <c r="B323" s="175" t="s">
        <v>287</v>
      </c>
      <c r="C323" s="175"/>
      <c r="D323" s="175"/>
      <c r="E323" s="175"/>
      <c r="F323" s="175"/>
      <c r="G323" s="75">
        <f t="shared" ref="G323:L323" si="151">G324</f>
        <v>25000</v>
      </c>
      <c r="H323" s="75">
        <f t="shared" si="151"/>
        <v>0</v>
      </c>
      <c r="I323" s="75">
        <f t="shared" si="151"/>
        <v>0</v>
      </c>
      <c r="J323" s="75">
        <f t="shared" si="151"/>
        <v>0</v>
      </c>
      <c r="K323" s="75">
        <f t="shared" si="151"/>
        <v>25000</v>
      </c>
      <c r="L323" s="135">
        <f t="shared" si="151"/>
        <v>34492.699999999997</v>
      </c>
      <c r="M323" s="135">
        <f t="shared" ref="M323:P323" si="152">M324</f>
        <v>0</v>
      </c>
      <c r="N323" s="135">
        <f t="shared" si="152"/>
        <v>0</v>
      </c>
      <c r="O323" s="135">
        <f t="shared" si="152"/>
        <v>0</v>
      </c>
      <c r="P323" s="135">
        <f t="shared" si="152"/>
        <v>34492.699999999997</v>
      </c>
      <c r="Q323" s="135">
        <f>Q325</f>
        <v>0</v>
      </c>
      <c r="R323" s="135"/>
      <c r="S323" s="135"/>
      <c r="T323" s="135"/>
      <c r="U323" s="135"/>
      <c r="V323" s="135">
        <f>V325</f>
        <v>0</v>
      </c>
      <c r="W323" s="135"/>
      <c r="X323" s="175"/>
      <c r="Y323" s="541"/>
    </row>
    <row r="324" spans="1:25" ht="24.6" hidden="1" customHeight="1">
      <c r="A324" s="531"/>
      <c r="B324" s="175" t="s">
        <v>11</v>
      </c>
      <c r="C324" s="175"/>
      <c r="D324" s="175"/>
      <c r="E324" s="175"/>
      <c r="F324" s="175"/>
      <c r="G324" s="75">
        <f>SUM(H324:K324)</f>
        <v>25000</v>
      </c>
      <c r="H324" s="75"/>
      <c r="I324" s="75"/>
      <c r="J324" s="75"/>
      <c r="K324" s="75">
        <v>25000</v>
      </c>
      <c r="L324" s="135">
        <v>34492.699999999997</v>
      </c>
      <c r="M324" s="135"/>
      <c r="N324" s="135"/>
      <c r="O324" s="135"/>
      <c r="P324" s="135">
        <v>34492.699999999997</v>
      </c>
      <c r="Q324" s="135"/>
      <c r="R324" s="135"/>
      <c r="S324" s="135"/>
      <c r="T324" s="135"/>
      <c r="U324" s="135"/>
      <c r="V324" s="135"/>
      <c r="W324" s="135"/>
      <c r="X324" s="175"/>
      <c r="Y324" s="541"/>
    </row>
    <row r="325" spans="1:25" ht="24.6" hidden="1" customHeight="1">
      <c r="A325" s="531"/>
      <c r="B325" s="175" t="s">
        <v>35</v>
      </c>
      <c r="C325" s="175"/>
      <c r="D325" s="175"/>
      <c r="E325" s="175"/>
      <c r="F325" s="175"/>
      <c r="G325" s="75">
        <f>SUM(H325:K325)</f>
        <v>0</v>
      </c>
      <c r="H325" s="75"/>
      <c r="I325" s="75"/>
      <c r="J325" s="75"/>
      <c r="K325" s="7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75"/>
      <c r="Y325" s="541"/>
    </row>
    <row r="326" spans="1:25" ht="0.6" hidden="1" customHeight="1">
      <c r="A326" s="539" t="s">
        <v>180</v>
      </c>
      <c r="B326" s="83" t="s">
        <v>91</v>
      </c>
      <c r="C326" s="175"/>
      <c r="D326" s="175"/>
      <c r="E326" s="175"/>
      <c r="F326" s="175"/>
      <c r="G326" s="81">
        <f>G330</f>
        <v>0</v>
      </c>
      <c r="H326" s="81">
        <f t="shared" ref="H326:W326" si="153">H330</f>
        <v>0</v>
      </c>
      <c r="I326" s="81">
        <f t="shared" si="153"/>
        <v>0</v>
      </c>
      <c r="J326" s="81">
        <f t="shared" si="153"/>
        <v>0</v>
      </c>
      <c r="K326" s="81">
        <f t="shared" si="153"/>
        <v>0</v>
      </c>
      <c r="L326" s="134">
        <f>L330</f>
        <v>0</v>
      </c>
      <c r="M326" s="134"/>
      <c r="N326" s="134"/>
      <c r="O326" s="134"/>
      <c r="P326" s="134"/>
      <c r="Q326" s="134">
        <f t="shared" si="153"/>
        <v>0</v>
      </c>
      <c r="R326" s="134"/>
      <c r="S326" s="134"/>
      <c r="T326" s="134"/>
      <c r="U326" s="134"/>
      <c r="V326" s="134">
        <f t="shared" si="153"/>
        <v>0</v>
      </c>
      <c r="W326" s="134">
        <f t="shared" si="153"/>
        <v>0</v>
      </c>
      <c r="X326" s="175"/>
      <c r="Y326" s="175"/>
    </row>
    <row r="327" spans="1:25" ht="24.6" hidden="1" customHeight="1">
      <c r="A327" s="539"/>
      <c r="B327" s="83" t="s">
        <v>287</v>
      </c>
      <c r="C327" s="175"/>
      <c r="D327" s="175"/>
      <c r="E327" s="175"/>
      <c r="F327" s="175"/>
      <c r="G327" s="81">
        <f>G328+G329</f>
        <v>0</v>
      </c>
      <c r="H327" s="81">
        <f t="shared" ref="H327:W327" si="154">H328+H329</f>
        <v>0</v>
      </c>
      <c r="I327" s="81">
        <f t="shared" si="154"/>
        <v>0</v>
      </c>
      <c r="J327" s="81">
        <f t="shared" si="154"/>
        <v>0</v>
      </c>
      <c r="K327" s="81">
        <f t="shared" si="154"/>
        <v>0</v>
      </c>
      <c r="L327" s="134">
        <f t="shared" si="154"/>
        <v>0</v>
      </c>
      <c r="M327" s="134"/>
      <c r="N327" s="134"/>
      <c r="O327" s="134"/>
      <c r="P327" s="134"/>
      <c r="Q327" s="134">
        <f t="shared" si="154"/>
        <v>0</v>
      </c>
      <c r="R327" s="134"/>
      <c r="S327" s="134"/>
      <c r="T327" s="134"/>
      <c r="U327" s="134"/>
      <c r="V327" s="134">
        <f t="shared" si="154"/>
        <v>0</v>
      </c>
      <c r="W327" s="134">
        <f t="shared" si="154"/>
        <v>0</v>
      </c>
      <c r="X327" s="175"/>
      <c r="Y327" s="175"/>
    </row>
    <row r="328" spans="1:25" ht="24.6" hidden="1" customHeight="1">
      <c r="A328" s="539"/>
      <c r="B328" s="83" t="s">
        <v>11</v>
      </c>
      <c r="C328" s="175"/>
      <c r="D328" s="175"/>
      <c r="E328" s="175"/>
      <c r="F328" s="175"/>
      <c r="G328" s="81"/>
      <c r="H328" s="81"/>
      <c r="I328" s="81"/>
      <c r="J328" s="81"/>
      <c r="K328" s="81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75"/>
      <c r="Y328" s="175"/>
    </row>
    <row r="329" spans="1:25" ht="24.6" hidden="1" customHeight="1">
      <c r="A329" s="539"/>
      <c r="B329" s="83" t="s">
        <v>35</v>
      </c>
      <c r="C329" s="175"/>
      <c r="D329" s="175"/>
      <c r="E329" s="175"/>
      <c r="F329" s="175"/>
      <c r="G329" s="81">
        <f>G333</f>
        <v>0</v>
      </c>
      <c r="H329" s="81">
        <f t="shared" ref="H329:W329" si="155">H333</f>
        <v>0</v>
      </c>
      <c r="I329" s="81">
        <f t="shared" si="155"/>
        <v>0</v>
      </c>
      <c r="J329" s="81">
        <f t="shared" si="155"/>
        <v>0</v>
      </c>
      <c r="K329" s="81">
        <f t="shared" si="155"/>
        <v>0</v>
      </c>
      <c r="L329" s="134">
        <f t="shared" si="155"/>
        <v>0</v>
      </c>
      <c r="M329" s="134"/>
      <c r="N329" s="134"/>
      <c r="O329" s="134"/>
      <c r="P329" s="134"/>
      <c r="Q329" s="134">
        <f t="shared" si="155"/>
        <v>0</v>
      </c>
      <c r="R329" s="134"/>
      <c r="S329" s="134"/>
      <c r="T329" s="134"/>
      <c r="U329" s="134"/>
      <c r="V329" s="134">
        <f t="shared" si="155"/>
        <v>0</v>
      </c>
      <c r="W329" s="134">
        <f t="shared" si="155"/>
        <v>0</v>
      </c>
      <c r="X329" s="175"/>
      <c r="Y329" s="175"/>
    </row>
    <row r="330" spans="1:25" ht="24.6" hidden="1" customHeight="1">
      <c r="A330" s="531" t="s">
        <v>294</v>
      </c>
      <c r="B330" s="175" t="s">
        <v>91</v>
      </c>
      <c r="C330" s="175"/>
      <c r="D330" s="175"/>
      <c r="E330" s="175"/>
      <c r="F330" s="175"/>
      <c r="G330" s="75"/>
      <c r="H330" s="75"/>
      <c r="I330" s="75"/>
      <c r="J330" s="75"/>
      <c r="K330" s="75"/>
      <c r="L330" s="135"/>
      <c r="M330" s="135"/>
      <c r="N330" s="135"/>
      <c r="O330" s="135"/>
      <c r="P330" s="135"/>
      <c r="Q330" s="135">
        <v>0</v>
      </c>
      <c r="R330" s="135"/>
      <c r="S330" s="135"/>
      <c r="T330" s="135"/>
      <c r="U330" s="135"/>
      <c r="V330" s="135"/>
      <c r="W330" s="135"/>
      <c r="X330" s="175"/>
      <c r="Y330" s="541" t="s">
        <v>373</v>
      </c>
    </row>
    <row r="331" spans="1:25" s="56" customFormat="1" ht="24.6" hidden="1" customHeight="1">
      <c r="A331" s="531"/>
      <c r="B331" s="175" t="s">
        <v>287</v>
      </c>
      <c r="C331" s="175"/>
      <c r="D331" s="175"/>
      <c r="E331" s="175"/>
      <c r="F331" s="175"/>
      <c r="G331" s="75">
        <f>G332+G333</f>
        <v>0</v>
      </c>
      <c r="H331" s="75">
        <f t="shared" ref="H331:W331" si="156">H332+H333</f>
        <v>0</v>
      </c>
      <c r="I331" s="75">
        <f t="shared" si="156"/>
        <v>0</v>
      </c>
      <c r="J331" s="75">
        <f t="shared" si="156"/>
        <v>0</v>
      </c>
      <c r="K331" s="75">
        <f t="shared" si="156"/>
        <v>0</v>
      </c>
      <c r="L331" s="135">
        <f t="shared" si="156"/>
        <v>0</v>
      </c>
      <c r="M331" s="135"/>
      <c r="N331" s="135"/>
      <c r="O331" s="135"/>
      <c r="P331" s="135"/>
      <c r="Q331" s="135">
        <f t="shared" si="156"/>
        <v>0</v>
      </c>
      <c r="R331" s="135"/>
      <c r="S331" s="135"/>
      <c r="T331" s="135"/>
      <c r="U331" s="135"/>
      <c r="V331" s="135">
        <f t="shared" si="156"/>
        <v>0</v>
      </c>
      <c r="W331" s="135">
        <f t="shared" si="156"/>
        <v>0</v>
      </c>
      <c r="X331" s="175"/>
      <c r="Y331" s="541"/>
    </row>
    <row r="332" spans="1:25" s="56" customFormat="1" ht="24.6" hidden="1" customHeight="1">
      <c r="A332" s="531"/>
      <c r="B332" s="175" t="s">
        <v>11</v>
      </c>
      <c r="C332" s="175"/>
      <c r="D332" s="175"/>
      <c r="E332" s="175"/>
      <c r="F332" s="175"/>
      <c r="G332" s="75"/>
      <c r="H332" s="75"/>
      <c r="I332" s="75"/>
      <c r="J332" s="75"/>
      <c r="K332" s="7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75"/>
      <c r="Y332" s="541"/>
    </row>
    <row r="333" spans="1:25" s="56" customFormat="1" ht="24.6" hidden="1" customHeight="1">
      <c r="A333" s="531"/>
      <c r="B333" s="175" t="s">
        <v>35</v>
      </c>
      <c r="C333" s="175"/>
      <c r="D333" s="175"/>
      <c r="E333" s="175"/>
      <c r="F333" s="175"/>
      <c r="G333" s="75"/>
      <c r="H333" s="75"/>
      <c r="I333" s="75"/>
      <c r="J333" s="75"/>
      <c r="K333" s="75"/>
      <c r="L333" s="135">
        <v>0</v>
      </c>
      <c r="M333" s="135"/>
      <c r="N333" s="135"/>
      <c r="O333" s="135"/>
      <c r="P333" s="135"/>
      <c r="Q333" s="135">
        <v>0</v>
      </c>
      <c r="R333" s="135"/>
      <c r="S333" s="135"/>
      <c r="T333" s="135"/>
      <c r="U333" s="135"/>
      <c r="V333" s="135"/>
      <c r="W333" s="135"/>
      <c r="X333" s="175"/>
      <c r="Y333" s="541"/>
    </row>
    <row r="334" spans="1:25" s="56" customFormat="1" ht="24.9" customHeight="1">
      <c r="A334" s="539" t="s">
        <v>108</v>
      </c>
      <c r="B334" s="83" t="s">
        <v>91</v>
      </c>
      <c r="C334" s="83"/>
      <c r="D334" s="83"/>
      <c r="E334" s="83"/>
      <c r="F334" s="83"/>
      <c r="G334" s="81">
        <f t="shared" ref="G334:L334" si="157">G338+G342</f>
        <v>2.75</v>
      </c>
      <c r="H334" s="81">
        <f t="shared" si="157"/>
        <v>0</v>
      </c>
      <c r="I334" s="81">
        <f t="shared" si="157"/>
        <v>0</v>
      </c>
      <c r="J334" s="81">
        <f t="shared" si="157"/>
        <v>0</v>
      </c>
      <c r="K334" s="81">
        <f t="shared" si="157"/>
        <v>2.75</v>
      </c>
      <c r="L334" s="134">
        <f t="shared" si="157"/>
        <v>1.6</v>
      </c>
      <c r="M334" s="134"/>
      <c r="N334" s="134"/>
      <c r="O334" s="134"/>
      <c r="P334" s="134">
        <v>1.6</v>
      </c>
      <c r="Q334" s="134">
        <f>+Q346</f>
        <v>0</v>
      </c>
      <c r="R334" s="134"/>
      <c r="S334" s="134"/>
      <c r="T334" s="134"/>
      <c r="U334" s="134"/>
      <c r="V334" s="134">
        <f t="shared" ref="V334:W334" si="158">+V346</f>
        <v>0.1</v>
      </c>
      <c r="W334" s="134">
        <f t="shared" si="158"/>
        <v>0</v>
      </c>
      <c r="X334" s="175"/>
      <c r="Y334" s="83"/>
    </row>
    <row r="335" spans="1:25" ht="24" customHeight="1">
      <c r="A335" s="539"/>
      <c r="B335" s="83" t="s">
        <v>287</v>
      </c>
      <c r="C335" s="83"/>
      <c r="D335" s="83"/>
      <c r="E335" s="83"/>
      <c r="F335" s="83"/>
      <c r="G335" s="81">
        <f>G336+G337</f>
        <v>35000.1</v>
      </c>
      <c r="H335" s="81">
        <f t="shared" ref="H335:O335" si="159">H336+H337</f>
        <v>0</v>
      </c>
      <c r="I335" s="81">
        <f t="shared" si="159"/>
        <v>0</v>
      </c>
      <c r="J335" s="81">
        <f t="shared" si="159"/>
        <v>0</v>
      </c>
      <c r="K335" s="81">
        <f t="shared" si="159"/>
        <v>35000.1</v>
      </c>
      <c r="L335" s="134">
        <f>L336+L337</f>
        <v>30009.7</v>
      </c>
      <c r="M335" s="134">
        <f t="shared" si="159"/>
        <v>0</v>
      </c>
      <c r="N335" s="134">
        <f t="shared" si="159"/>
        <v>0</v>
      </c>
      <c r="O335" s="134">
        <f t="shared" si="159"/>
        <v>3000</v>
      </c>
      <c r="P335" s="134">
        <f>P336+P337</f>
        <v>27009.7</v>
      </c>
      <c r="Q335" s="134">
        <f>Q336+Q337</f>
        <v>0</v>
      </c>
      <c r="R335" s="134"/>
      <c r="S335" s="134"/>
      <c r="T335" s="134"/>
      <c r="U335" s="134"/>
      <c r="V335" s="134">
        <f t="shared" ref="V335:W335" si="160">V336+V337</f>
        <v>10000</v>
      </c>
      <c r="W335" s="134">
        <f t="shared" si="160"/>
        <v>0</v>
      </c>
      <c r="X335" s="175"/>
      <c r="Y335" s="83"/>
    </row>
    <row r="336" spans="1:25" ht="21" customHeight="1">
      <c r="A336" s="539"/>
      <c r="B336" s="83" t="s">
        <v>11</v>
      </c>
      <c r="C336" s="83"/>
      <c r="D336" s="83"/>
      <c r="E336" s="83"/>
      <c r="F336" s="83"/>
      <c r="G336" s="81">
        <f t="shared" ref="G336:P337" si="161">G340+G344</f>
        <v>10500.1</v>
      </c>
      <c r="H336" s="81">
        <f t="shared" si="161"/>
        <v>0</v>
      </c>
      <c r="I336" s="81">
        <f t="shared" si="161"/>
        <v>0</v>
      </c>
      <c r="J336" s="81">
        <f t="shared" si="161"/>
        <v>0</v>
      </c>
      <c r="K336" s="81">
        <f t="shared" si="161"/>
        <v>10500.1</v>
      </c>
      <c r="L336" s="134">
        <f>L340+L344</f>
        <v>0</v>
      </c>
      <c r="M336" s="134">
        <f t="shared" ref="M336:P336" si="162">M340+M344</f>
        <v>0</v>
      </c>
      <c r="N336" s="134">
        <f t="shared" si="162"/>
        <v>0</v>
      </c>
      <c r="O336" s="134">
        <f t="shared" si="162"/>
        <v>0</v>
      </c>
      <c r="P336" s="134">
        <f t="shared" si="162"/>
        <v>0</v>
      </c>
      <c r="Q336" s="134">
        <f>Q348</f>
        <v>0</v>
      </c>
      <c r="R336" s="134"/>
      <c r="S336" s="134"/>
      <c r="T336" s="134"/>
      <c r="U336" s="134"/>
      <c r="V336" s="134">
        <f t="shared" ref="V336:W336" si="163">V348</f>
        <v>10000</v>
      </c>
      <c r="W336" s="134">
        <f t="shared" si="163"/>
        <v>0</v>
      </c>
      <c r="X336" s="175"/>
      <c r="Y336" s="83"/>
    </row>
    <row r="337" spans="1:25" ht="25.2" customHeight="1">
      <c r="A337" s="539"/>
      <c r="B337" s="83" t="s">
        <v>615</v>
      </c>
      <c r="C337" s="83"/>
      <c r="D337" s="83"/>
      <c r="E337" s="83"/>
      <c r="F337" s="83"/>
      <c r="G337" s="81">
        <f t="shared" si="161"/>
        <v>24500</v>
      </c>
      <c r="H337" s="81">
        <f t="shared" si="161"/>
        <v>0</v>
      </c>
      <c r="I337" s="81">
        <f t="shared" si="161"/>
        <v>0</v>
      </c>
      <c r="J337" s="81">
        <f t="shared" si="161"/>
        <v>0</v>
      </c>
      <c r="K337" s="81">
        <f t="shared" si="161"/>
        <v>24500</v>
      </c>
      <c r="L337" s="134">
        <f t="shared" si="161"/>
        <v>30009.7</v>
      </c>
      <c r="M337" s="134">
        <f t="shared" si="161"/>
        <v>0</v>
      </c>
      <c r="N337" s="134">
        <f t="shared" si="161"/>
        <v>0</v>
      </c>
      <c r="O337" s="134">
        <f t="shared" si="161"/>
        <v>3000</v>
      </c>
      <c r="P337" s="134">
        <f t="shared" si="161"/>
        <v>27009.7</v>
      </c>
      <c r="Q337" s="134">
        <f>Q349</f>
        <v>0</v>
      </c>
      <c r="R337" s="134"/>
      <c r="S337" s="134"/>
      <c r="T337" s="134"/>
      <c r="U337" s="134"/>
      <c r="V337" s="134">
        <f t="shared" ref="V337:W337" si="164">V349</f>
        <v>0</v>
      </c>
      <c r="W337" s="134">
        <f t="shared" si="164"/>
        <v>0</v>
      </c>
      <c r="X337" s="175"/>
      <c r="Y337" s="83"/>
    </row>
    <row r="338" spans="1:25" ht="21.75" hidden="1" customHeight="1">
      <c r="A338" s="553" t="s">
        <v>21</v>
      </c>
      <c r="B338" s="175" t="s">
        <v>91</v>
      </c>
      <c r="C338" s="175">
        <v>176</v>
      </c>
      <c r="D338" s="175" t="s">
        <v>16</v>
      </c>
      <c r="E338" s="175">
        <v>6100404</v>
      </c>
      <c r="F338" s="175">
        <v>414</v>
      </c>
      <c r="G338" s="75">
        <f>SUM(H338:K338)</f>
        <v>2.75</v>
      </c>
      <c r="H338" s="75">
        <v>0</v>
      </c>
      <c r="I338" s="75">
        <v>0</v>
      </c>
      <c r="J338" s="75"/>
      <c r="K338" s="75">
        <v>2.75</v>
      </c>
      <c r="L338" s="135">
        <v>0</v>
      </c>
      <c r="M338" s="135"/>
      <c r="N338" s="135"/>
      <c r="O338" s="135"/>
      <c r="P338" s="135"/>
      <c r="Q338" s="135">
        <v>0</v>
      </c>
      <c r="R338" s="135"/>
      <c r="S338" s="135"/>
      <c r="T338" s="135"/>
      <c r="U338" s="135"/>
      <c r="V338" s="135"/>
      <c r="W338" s="135"/>
      <c r="X338" s="175"/>
      <c r="Y338" s="533" t="s">
        <v>241</v>
      </c>
    </row>
    <row r="339" spans="1:25" ht="24.9" hidden="1" customHeight="1">
      <c r="A339" s="554"/>
      <c r="B339" s="175" t="s">
        <v>287</v>
      </c>
      <c r="C339" s="175"/>
      <c r="D339" s="175"/>
      <c r="E339" s="175"/>
      <c r="F339" s="175"/>
      <c r="G339" s="75">
        <f>G340+G341</f>
        <v>35000.1</v>
      </c>
      <c r="H339" s="75">
        <f t="shared" ref="H339:V339" si="165">H340+H341</f>
        <v>0</v>
      </c>
      <c r="I339" s="75">
        <f t="shared" si="165"/>
        <v>0</v>
      </c>
      <c r="J339" s="75">
        <f t="shared" si="165"/>
        <v>0</v>
      </c>
      <c r="K339" s="75">
        <f t="shared" si="165"/>
        <v>35000.1</v>
      </c>
      <c r="L339" s="135">
        <f t="shared" si="165"/>
        <v>0</v>
      </c>
      <c r="M339" s="135"/>
      <c r="N339" s="135"/>
      <c r="O339" s="135"/>
      <c r="P339" s="135"/>
      <c r="Q339" s="135">
        <f t="shared" si="165"/>
        <v>0</v>
      </c>
      <c r="R339" s="135"/>
      <c r="S339" s="135"/>
      <c r="T339" s="135"/>
      <c r="U339" s="135"/>
      <c r="V339" s="135">
        <f t="shared" si="165"/>
        <v>0</v>
      </c>
      <c r="W339" s="135"/>
      <c r="X339" s="175"/>
      <c r="Y339" s="534"/>
    </row>
    <row r="340" spans="1:25" ht="28.5" hidden="1" customHeight="1">
      <c r="A340" s="554"/>
      <c r="B340" s="175" t="s">
        <v>11</v>
      </c>
      <c r="C340" s="175"/>
      <c r="D340" s="175"/>
      <c r="E340" s="175"/>
      <c r="F340" s="175"/>
      <c r="G340" s="75">
        <f>SUM(H340:K340)</f>
        <v>10500.1</v>
      </c>
      <c r="H340" s="75"/>
      <c r="I340" s="75"/>
      <c r="J340" s="75"/>
      <c r="K340" s="75">
        <v>10500.1</v>
      </c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75"/>
      <c r="Y340" s="534"/>
    </row>
    <row r="341" spans="1:25" ht="24.9" hidden="1" customHeight="1">
      <c r="A341" s="555"/>
      <c r="B341" s="175" t="s">
        <v>35</v>
      </c>
      <c r="C341" s="175"/>
      <c r="D341" s="175"/>
      <c r="E341" s="175"/>
      <c r="F341" s="175"/>
      <c r="G341" s="75">
        <f>SUM(H341:K341)</f>
        <v>24500</v>
      </c>
      <c r="H341" s="75"/>
      <c r="I341" s="75"/>
      <c r="J341" s="75"/>
      <c r="K341" s="75">
        <v>24500</v>
      </c>
      <c r="L341" s="135"/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75"/>
      <c r="Y341" s="535"/>
    </row>
    <row r="342" spans="1:25" ht="24.6" hidden="1" customHeight="1">
      <c r="A342" s="531" t="s">
        <v>267</v>
      </c>
      <c r="B342" s="175" t="s">
        <v>91</v>
      </c>
      <c r="C342" s="175"/>
      <c r="D342" s="175"/>
      <c r="E342" s="175"/>
      <c r="F342" s="175"/>
      <c r="G342" s="75"/>
      <c r="H342" s="75"/>
      <c r="I342" s="75"/>
      <c r="J342" s="75"/>
      <c r="K342" s="75"/>
      <c r="L342" s="135">
        <v>1.6</v>
      </c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75"/>
      <c r="Y342" s="541" t="s">
        <v>258</v>
      </c>
    </row>
    <row r="343" spans="1:25" s="56" customFormat="1" ht="24.6" hidden="1" customHeight="1">
      <c r="A343" s="531"/>
      <c r="B343" s="175" t="s">
        <v>287</v>
      </c>
      <c r="C343" s="175"/>
      <c r="D343" s="175"/>
      <c r="E343" s="175"/>
      <c r="F343" s="175"/>
      <c r="G343" s="75">
        <f>G344+G345</f>
        <v>0</v>
      </c>
      <c r="H343" s="75">
        <f t="shared" ref="H343:V343" si="166">H344+H345</f>
        <v>0</v>
      </c>
      <c r="I343" s="75">
        <f t="shared" si="166"/>
        <v>0</v>
      </c>
      <c r="J343" s="75">
        <f t="shared" si="166"/>
        <v>0</v>
      </c>
      <c r="K343" s="75">
        <f t="shared" si="166"/>
        <v>0</v>
      </c>
      <c r="L343" s="135">
        <f>L344+L345</f>
        <v>30009.7</v>
      </c>
      <c r="M343" s="135"/>
      <c r="N343" s="135"/>
      <c r="O343" s="135">
        <f t="shared" ref="O343:P343" si="167">O344+O345</f>
        <v>3000</v>
      </c>
      <c r="P343" s="135">
        <f t="shared" si="167"/>
        <v>27009.7</v>
      </c>
      <c r="Q343" s="135">
        <f t="shared" si="166"/>
        <v>0</v>
      </c>
      <c r="R343" s="135"/>
      <c r="S343" s="135"/>
      <c r="T343" s="135"/>
      <c r="U343" s="135"/>
      <c r="V343" s="135">
        <f t="shared" si="166"/>
        <v>0</v>
      </c>
      <c r="W343" s="135"/>
      <c r="X343" s="175"/>
      <c r="Y343" s="541"/>
    </row>
    <row r="344" spans="1:25" s="56" customFormat="1" ht="24.6" hidden="1" customHeight="1">
      <c r="A344" s="531"/>
      <c r="B344" s="175" t="s">
        <v>11</v>
      </c>
      <c r="C344" s="175"/>
      <c r="D344" s="175"/>
      <c r="E344" s="175"/>
      <c r="F344" s="175"/>
      <c r="G344" s="75"/>
      <c r="H344" s="75"/>
      <c r="I344" s="75"/>
      <c r="J344" s="75"/>
      <c r="K344" s="7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75"/>
      <c r="Y344" s="541"/>
    </row>
    <row r="345" spans="1:25" s="56" customFormat="1" ht="24.6" hidden="1" customHeight="1">
      <c r="A345" s="531"/>
      <c r="B345" s="175" t="s">
        <v>35</v>
      </c>
      <c r="C345" s="175"/>
      <c r="D345" s="175"/>
      <c r="E345" s="175"/>
      <c r="F345" s="175"/>
      <c r="G345" s="75"/>
      <c r="H345" s="75"/>
      <c r="I345" s="75"/>
      <c r="J345" s="75"/>
      <c r="K345" s="75"/>
      <c r="L345" s="135">
        <f>57000-26990.3</f>
        <v>30009.7</v>
      </c>
      <c r="M345" s="135"/>
      <c r="N345" s="135"/>
      <c r="O345" s="135">
        <v>3000</v>
      </c>
      <c r="P345" s="135">
        <v>27009.7</v>
      </c>
      <c r="Q345" s="135"/>
      <c r="R345" s="135"/>
      <c r="S345" s="135"/>
      <c r="T345" s="135"/>
      <c r="U345" s="135"/>
      <c r="V345" s="135"/>
      <c r="W345" s="135"/>
      <c r="X345" s="175"/>
      <c r="Y345" s="541"/>
    </row>
    <row r="346" spans="1:25" s="56" customFormat="1" ht="24.9" customHeight="1">
      <c r="A346" s="553" t="s">
        <v>397</v>
      </c>
      <c r="B346" s="175" t="s">
        <v>91</v>
      </c>
      <c r="C346" s="175"/>
      <c r="D346" s="175"/>
      <c r="E346" s="175"/>
      <c r="F346" s="175"/>
      <c r="G346" s="75"/>
      <c r="H346" s="75"/>
      <c r="I346" s="75"/>
      <c r="J346" s="75"/>
      <c r="K346" s="7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>
        <v>0.1</v>
      </c>
      <c r="W346" s="135"/>
      <c r="X346" s="175"/>
      <c r="Y346" s="533" t="s">
        <v>398</v>
      </c>
    </row>
    <row r="347" spans="1:25" s="56" customFormat="1" ht="24.9" customHeight="1">
      <c r="A347" s="554"/>
      <c r="B347" s="175" t="s">
        <v>287</v>
      </c>
      <c r="C347" s="175"/>
      <c r="D347" s="175"/>
      <c r="E347" s="175"/>
      <c r="F347" s="175"/>
      <c r="G347" s="75"/>
      <c r="H347" s="75"/>
      <c r="I347" s="75"/>
      <c r="J347" s="75"/>
      <c r="K347" s="7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>
        <f>V348</f>
        <v>10000</v>
      </c>
      <c r="W347" s="135"/>
      <c r="X347" s="175"/>
      <c r="Y347" s="534"/>
    </row>
    <row r="348" spans="1:25" s="56" customFormat="1" ht="24.9" customHeight="1">
      <c r="A348" s="554"/>
      <c r="B348" s="175" t="s">
        <v>11</v>
      </c>
      <c r="C348" s="175"/>
      <c r="D348" s="175"/>
      <c r="E348" s="175"/>
      <c r="F348" s="175"/>
      <c r="G348" s="75"/>
      <c r="H348" s="75"/>
      <c r="I348" s="75"/>
      <c r="J348" s="75"/>
      <c r="K348" s="75"/>
      <c r="L348" s="135"/>
      <c r="M348" s="135"/>
      <c r="N348" s="135"/>
      <c r="O348" s="135"/>
      <c r="P348" s="135"/>
      <c r="Q348" s="135"/>
      <c r="R348" s="135"/>
      <c r="S348" s="135"/>
      <c r="T348" s="135"/>
      <c r="U348" s="135"/>
      <c r="V348" s="135">
        <v>10000</v>
      </c>
      <c r="W348" s="135"/>
      <c r="X348" s="175"/>
      <c r="Y348" s="534"/>
    </row>
    <row r="349" spans="1:25" s="56" customFormat="1" ht="24.9" customHeight="1">
      <c r="A349" s="555"/>
      <c r="B349" s="175" t="s">
        <v>615</v>
      </c>
      <c r="C349" s="175"/>
      <c r="D349" s="175"/>
      <c r="E349" s="175"/>
      <c r="F349" s="175"/>
      <c r="G349" s="75"/>
      <c r="H349" s="75"/>
      <c r="I349" s="75"/>
      <c r="J349" s="75"/>
      <c r="K349" s="75"/>
      <c r="L349" s="135"/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75"/>
      <c r="Y349" s="535"/>
    </row>
    <row r="350" spans="1:25" s="56" customFormat="1" ht="24.9" customHeight="1">
      <c r="A350" s="503" t="s">
        <v>109</v>
      </c>
      <c r="B350" s="83" t="s">
        <v>91</v>
      </c>
      <c r="C350" s="83"/>
      <c r="D350" s="83"/>
      <c r="E350" s="83"/>
      <c r="F350" s="83"/>
      <c r="G350" s="81">
        <f>G354+G358</f>
        <v>0</v>
      </c>
      <c r="H350" s="81">
        <f t="shared" ref="H350:K350" si="168">H354+H358</f>
        <v>0</v>
      </c>
      <c r="I350" s="81">
        <f t="shared" si="168"/>
        <v>0</v>
      </c>
      <c r="J350" s="81">
        <f t="shared" si="168"/>
        <v>0</v>
      </c>
      <c r="K350" s="81">
        <f t="shared" si="168"/>
        <v>0</v>
      </c>
      <c r="L350" s="134">
        <f>L354+L358</f>
        <v>5.4169999999999998</v>
      </c>
      <c r="M350" s="134">
        <f t="shared" ref="M350:P350" si="169">M354+M358</f>
        <v>0</v>
      </c>
      <c r="N350" s="134">
        <f t="shared" si="169"/>
        <v>0</v>
      </c>
      <c r="O350" s="134">
        <f>O354+O358</f>
        <v>0</v>
      </c>
      <c r="P350" s="134">
        <f t="shared" si="169"/>
        <v>5.4169999999999998</v>
      </c>
      <c r="Q350" s="134">
        <f>Q354+Q358</f>
        <v>2.4</v>
      </c>
      <c r="R350" s="134">
        <f t="shared" ref="R350:U350" si="170">R354+R358</f>
        <v>0</v>
      </c>
      <c r="S350" s="134">
        <f t="shared" si="170"/>
        <v>0</v>
      </c>
      <c r="T350" s="134">
        <f t="shared" si="170"/>
        <v>0</v>
      </c>
      <c r="U350" s="134">
        <f t="shared" si="170"/>
        <v>2.4</v>
      </c>
      <c r="V350" s="134">
        <f>V354+V358</f>
        <v>4.9000000000000004</v>
      </c>
      <c r="W350" s="134">
        <f>W354+W358</f>
        <v>0</v>
      </c>
      <c r="X350" s="175"/>
      <c r="Y350" s="83"/>
    </row>
    <row r="351" spans="1:25" ht="24.9" customHeight="1">
      <c r="A351" s="504"/>
      <c r="B351" s="83" t="s">
        <v>287</v>
      </c>
      <c r="C351" s="83"/>
      <c r="D351" s="83"/>
      <c r="E351" s="83"/>
      <c r="F351" s="83"/>
      <c r="G351" s="81">
        <f>G353+G352</f>
        <v>0</v>
      </c>
      <c r="H351" s="81">
        <f t="shared" ref="H351:W351" si="171">H353+H352</f>
        <v>0</v>
      </c>
      <c r="I351" s="81">
        <f t="shared" si="171"/>
        <v>0</v>
      </c>
      <c r="J351" s="81">
        <f t="shared" si="171"/>
        <v>0</v>
      </c>
      <c r="K351" s="81">
        <f t="shared" si="171"/>
        <v>0</v>
      </c>
      <c r="L351" s="134">
        <f t="shared" si="171"/>
        <v>145946.70000000001</v>
      </c>
      <c r="M351" s="134">
        <f t="shared" si="171"/>
        <v>0</v>
      </c>
      <c r="N351" s="134">
        <f t="shared" si="171"/>
        <v>0</v>
      </c>
      <c r="O351" s="134">
        <f t="shared" si="171"/>
        <v>48010.9</v>
      </c>
      <c r="P351" s="134">
        <f t="shared" si="171"/>
        <v>97935.8</v>
      </c>
      <c r="Q351" s="134">
        <f t="shared" si="171"/>
        <v>64211.100000000006</v>
      </c>
      <c r="R351" s="134">
        <f t="shared" si="171"/>
        <v>0</v>
      </c>
      <c r="S351" s="134">
        <f t="shared" si="171"/>
        <v>0</v>
      </c>
      <c r="T351" s="134">
        <f t="shared" si="171"/>
        <v>44690.402000000009</v>
      </c>
      <c r="U351" s="134">
        <f t="shared" si="171"/>
        <v>19520.698</v>
      </c>
      <c r="V351" s="134">
        <f t="shared" si="171"/>
        <v>92000</v>
      </c>
      <c r="W351" s="134">
        <f t="shared" si="171"/>
        <v>0</v>
      </c>
      <c r="X351" s="175"/>
      <c r="Y351" s="83"/>
    </row>
    <row r="352" spans="1:25" ht="24.9" customHeight="1">
      <c r="A352" s="504"/>
      <c r="B352" s="83" t="s">
        <v>11</v>
      </c>
      <c r="C352" s="83"/>
      <c r="D352" s="83"/>
      <c r="E352" s="83"/>
      <c r="F352" s="83"/>
      <c r="G352" s="81">
        <f>G356+G360</f>
        <v>0</v>
      </c>
      <c r="H352" s="81">
        <f t="shared" ref="H352:W353" si="172">H356+H360</f>
        <v>0</v>
      </c>
      <c r="I352" s="81">
        <f t="shared" si="172"/>
        <v>0</v>
      </c>
      <c r="J352" s="81">
        <f t="shared" si="172"/>
        <v>0</v>
      </c>
      <c r="K352" s="81">
        <f t="shared" si="172"/>
        <v>0</v>
      </c>
      <c r="L352" s="134">
        <f>L356+L360</f>
        <v>40000</v>
      </c>
      <c r="M352" s="134">
        <f t="shared" ref="M352:P352" si="173">M356+M360</f>
        <v>0</v>
      </c>
      <c r="N352" s="134">
        <f t="shared" si="173"/>
        <v>0</v>
      </c>
      <c r="O352" s="134">
        <f t="shared" si="173"/>
        <v>30000</v>
      </c>
      <c r="P352" s="134">
        <f t="shared" si="173"/>
        <v>10000</v>
      </c>
      <c r="Q352" s="134">
        <f t="shared" si="172"/>
        <v>64211.100000000006</v>
      </c>
      <c r="R352" s="134">
        <f t="shared" si="172"/>
        <v>0</v>
      </c>
      <c r="S352" s="134">
        <f t="shared" si="172"/>
        <v>0</v>
      </c>
      <c r="T352" s="134">
        <f t="shared" si="172"/>
        <v>44690.402000000009</v>
      </c>
      <c r="U352" s="134">
        <f t="shared" si="172"/>
        <v>19520.698</v>
      </c>
      <c r="V352" s="134">
        <f t="shared" si="172"/>
        <v>92000</v>
      </c>
      <c r="W352" s="134">
        <f t="shared" si="172"/>
        <v>0</v>
      </c>
      <c r="X352" s="175"/>
      <c r="Y352" s="83"/>
    </row>
    <row r="353" spans="1:25" ht="24.6" customHeight="1">
      <c r="A353" s="506"/>
      <c r="B353" s="83" t="s">
        <v>615</v>
      </c>
      <c r="C353" s="83"/>
      <c r="D353" s="83"/>
      <c r="E353" s="83"/>
      <c r="F353" s="83"/>
      <c r="G353" s="81">
        <f>G357+G361</f>
        <v>0</v>
      </c>
      <c r="H353" s="81">
        <f t="shared" si="172"/>
        <v>0</v>
      </c>
      <c r="I353" s="81">
        <f t="shared" si="172"/>
        <v>0</v>
      </c>
      <c r="J353" s="81">
        <f t="shared" si="172"/>
        <v>0</v>
      </c>
      <c r="K353" s="81">
        <f t="shared" si="172"/>
        <v>0</v>
      </c>
      <c r="L353" s="134">
        <f t="shared" si="172"/>
        <v>105946.70000000001</v>
      </c>
      <c r="M353" s="134">
        <f t="shared" si="172"/>
        <v>0</v>
      </c>
      <c r="N353" s="134">
        <f t="shared" si="172"/>
        <v>0</v>
      </c>
      <c r="O353" s="134">
        <f t="shared" si="172"/>
        <v>18010.900000000001</v>
      </c>
      <c r="P353" s="134">
        <f t="shared" si="172"/>
        <v>87935.8</v>
      </c>
      <c r="Q353" s="134">
        <f t="shared" si="172"/>
        <v>0</v>
      </c>
      <c r="R353" s="134"/>
      <c r="S353" s="134"/>
      <c r="T353" s="134"/>
      <c r="U353" s="134"/>
      <c r="V353" s="134">
        <f t="shared" si="172"/>
        <v>0</v>
      </c>
      <c r="W353" s="134">
        <f t="shared" si="172"/>
        <v>0</v>
      </c>
      <c r="X353" s="175"/>
      <c r="Y353" s="83"/>
    </row>
    <row r="354" spans="1:25" ht="0.6" customHeight="1">
      <c r="A354" s="531" t="s">
        <v>22</v>
      </c>
      <c r="B354" s="180" t="s">
        <v>91</v>
      </c>
      <c r="C354" s="180">
        <v>176</v>
      </c>
      <c r="D354" s="180" t="s">
        <v>16</v>
      </c>
      <c r="E354" s="180">
        <v>6100404</v>
      </c>
      <c r="F354" s="180">
        <v>414</v>
      </c>
      <c r="G354" s="80"/>
      <c r="H354" s="80"/>
      <c r="I354" s="80"/>
      <c r="J354" s="80"/>
      <c r="K354" s="80"/>
      <c r="L354" s="137">
        <v>1.417</v>
      </c>
      <c r="M354" s="137"/>
      <c r="N354" s="137"/>
      <c r="O354" s="137"/>
      <c r="P354" s="137">
        <v>1.417</v>
      </c>
      <c r="Q354" s="137"/>
      <c r="R354" s="137"/>
      <c r="S354" s="137"/>
      <c r="T354" s="137"/>
      <c r="U354" s="137"/>
      <c r="V354" s="137"/>
      <c r="W354" s="137"/>
      <c r="X354" s="180"/>
      <c r="Y354" s="532" t="s">
        <v>244</v>
      </c>
    </row>
    <row r="355" spans="1:25" ht="24.6" hidden="1" customHeight="1">
      <c r="A355" s="531"/>
      <c r="B355" s="180" t="s">
        <v>287</v>
      </c>
      <c r="C355" s="180"/>
      <c r="D355" s="180"/>
      <c r="E355" s="180"/>
      <c r="F355" s="180"/>
      <c r="G355" s="80">
        <f>G356+G357</f>
        <v>0</v>
      </c>
      <c r="H355" s="80">
        <f t="shared" ref="H355:V355" si="174">H356+H357</f>
        <v>0</v>
      </c>
      <c r="I355" s="80">
        <f t="shared" si="174"/>
        <v>0</v>
      </c>
      <c r="J355" s="80">
        <f t="shared" si="174"/>
        <v>0</v>
      </c>
      <c r="K355" s="80">
        <f t="shared" si="174"/>
        <v>0</v>
      </c>
      <c r="L355" s="137">
        <f t="shared" si="174"/>
        <v>40000</v>
      </c>
      <c r="M355" s="137">
        <f t="shared" si="174"/>
        <v>0</v>
      </c>
      <c r="N355" s="137">
        <f t="shared" si="174"/>
        <v>0</v>
      </c>
      <c r="O355" s="137">
        <f t="shared" si="174"/>
        <v>30000</v>
      </c>
      <c r="P355" s="137">
        <f t="shared" si="174"/>
        <v>10000</v>
      </c>
      <c r="Q355" s="137">
        <f t="shared" si="174"/>
        <v>0</v>
      </c>
      <c r="R355" s="137"/>
      <c r="S355" s="137"/>
      <c r="T355" s="137"/>
      <c r="U355" s="137"/>
      <c r="V355" s="137">
        <f t="shared" si="174"/>
        <v>0</v>
      </c>
      <c r="W355" s="137"/>
      <c r="X355" s="180"/>
      <c r="Y355" s="532"/>
    </row>
    <row r="356" spans="1:25" ht="24.6" hidden="1" customHeight="1">
      <c r="A356" s="531"/>
      <c r="B356" s="180" t="s">
        <v>11</v>
      </c>
      <c r="C356" s="180"/>
      <c r="D356" s="180"/>
      <c r="E356" s="180"/>
      <c r="F356" s="180"/>
      <c r="G356" s="80"/>
      <c r="H356" s="80"/>
      <c r="I356" s="80"/>
      <c r="J356" s="80"/>
      <c r="K356" s="80"/>
      <c r="L356" s="137">
        <v>40000</v>
      </c>
      <c r="M356" s="137"/>
      <c r="N356" s="137"/>
      <c r="O356" s="137">
        <v>30000</v>
      </c>
      <c r="P356" s="137">
        <v>10000</v>
      </c>
      <c r="Q356" s="137"/>
      <c r="R356" s="137"/>
      <c r="S356" s="137"/>
      <c r="T356" s="137"/>
      <c r="U356" s="137"/>
      <c r="V356" s="137"/>
      <c r="W356" s="137"/>
      <c r="X356" s="180"/>
      <c r="Y356" s="532"/>
    </row>
    <row r="357" spans="1:25" ht="24.6" hidden="1" customHeight="1">
      <c r="A357" s="531"/>
      <c r="B357" s="180" t="s">
        <v>35</v>
      </c>
      <c r="C357" s="180"/>
      <c r="D357" s="180"/>
      <c r="E357" s="180"/>
      <c r="F357" s="180"/>
      <c r="G357" s="80"/>
      <c r="H357" s="80"/>
      <c r="I357" s="80"/>
      <c r="J357" s="80"/>
      <c r="K357" s="80"/>
      <c r="L357" s="137"/>
      <c r="M357" s="137"/>
      <c r="N357" s="137"/>
      <c r="O357" s="137"/>
      <c r="P357" s="137"/>
      <c r="Q357" s="137"/>
      <c r="R357" s="137"/>
      <c r="S357" s="137"/>
      <c r="T357" s="137"/>
      <c r="U357" s="137"/>
      <c r="V357" s="137"/>
      <c r="W357" s="137"/>
      <c r="X357" s="180"/>
      <c r="Y357" s="532"/>
    </row>
    <row r="358" spans="1:25" ht="24" customHeight="1">
      <c r="A358" s="531" t="s">
        <v>399</v>
      </c>
      <c r="B358" s="175" t="s">
        <v>91</v>
      </c>
      <c r="C358" s="175"/>
      <c r="D358" s="175"/>
      <c r="E358" s="175"/>
      <c r="F358" s="175"/>
      <c r="G358" s="75"/>
      <c r="H358" s="75"/>
      <c r="I358" s="75"/>
      <c r="J358" s="75"/>
      <c r="K358" s="75"/>
      <c r="L358" s="135">
        <v>4</v>
      </c>
      <c r="M358" s="135"/>
      <c r="N358" s="135"/>
      <c r="O358" s="135"/>
      <c r="P358" s="135">
        <v>4</v>
      </c>
      <c r="Q358" s="135">
        <v>2.4</v>
      </c>
      <c r="R358" s="135"/>
      <c r="S358" s="135"/>
      <c r="T358" s="135"/>
      <c r="U358" s="135">
        <v>2.4</v>
      </c>
      <c r="V358" s="135">
        <v>4.9000000000000004</v>
      </c>
      <c r="W358" s="135"/>
      <c r="X358" s="175"/>
      <c r="Y358" s="541" t="s">
        <v>624</v>
      </c>
    </row>
    <row r="359" spans="1:25" ht="24.6" customHeight="1">
      <c r="A359" s="531"/>
      <c r="B359" s="175" t="s">
        <v>287</v>
      </c>
      <c r="C359" s="175"/>
      <c r="D359" s="175"/>
      <c r="E359" s="175"/>
      <c r="F359" s="175"/>
      <c r="G359" s="75">
        <f>G360+G361</f>
        <v>0</v>
      </c>
      <c r="H359" s="75">
        <f t="shared" ref="H359:W359" si="175">H360+H361</f>
        <v>0</v>
      </c>
      <c r="I359" s="75">
        <f t="shared" si="175"/>
        <v>0</v>
      </c>
      <c r="J359" s="75">
        <f t="shared" si="175"/>
        <v>0</v>
      </c>
      <c r="K359" s="75">
        <f t="shared" si="175"/>
        <v>0</v>
      </c>
      <c r="L359" s="135">
        <f t="shared" si="175"/>
        <v>105946.70000000001</v>
      </c>
      <c r="M359" s="135">
        <f t="shared" si="175"/>
        <v>0</v>
      </c>
      <c r="N359" s="135">
        <f t="shared" si="175"/>
        <v>0</v>
      </c>
      <c r="O359" s="135">
        <f t="shared" si="175"/>
        <v>18010.900000000001</v>
      </c>
      <c r="P359" s="135">
        <f t="shared" si="175"/>
        <v>87935.8</v>
      </c>
      <c r="Q359" s="135">
        <f t="shared" si="175"/>
        <v>64211.100000000006</v>
      </c>
      <c r="R359" s="135"/>
      <c r="S359" s="135"/>
      <c r="T359" s="135">
        <v>44690.402000000009</v>
      </c>
      <c r="U359" s="135">
        <f>U360</f>
        <v>19520.698</v>
      </c>
      <c r="V359" s="135">
        <f t="shared" si="175"/>
        <v>92000</v>
      </c>
      <c r="W359" s="135">
        <f t="shared" si="175"/>
        <v>0</v>
      </c>
      <c r="X359" s="175"/>
      <c r="Y359" s="541"/>
    </row>
    <row r="360" spans="1:25" ht="24.6" customHeight="1">
      <c r="A360" s="531"/>
      <c r="B360" s="175" t="s">
        <v>11</v>
      </c>
      <c r="C360" s="175"/>
      <c r="D360" s="175"/>
      <c r="E360" s="175"/>
      <c r="F360" s="175"/>
      <c r="G360" s="75"/>
      <c r="H360" s="75"/>
      <c r="I360" s="75"/>
      <c r="J360" s="75"/>
      <c r="K360" s="75"/>
      <c r="L360" s="135"/>
      <c r="M360" s="135"/>
      <c r="N360" s="135"/>
      <c r="O360" s="135"/>
      <c r="P360" s="135"/>
      <c r="Q360" s="135">
        <f>T360+U360</f>
        <v>64211.100000000006</v>
      </c>
      <c r="R360" s="135"/>
      <c r="S360" s="135"/>
      <c r="T360" s="135">
        <v>44690.402000000009</v>
      </c>
      <c r="U360" s="135">
        <f>22900.198-3379.5</f>
        <v>19520.698</v>
      </c>
      <c r="V360" s="135">
        <v>92000</v>
      </c>
      <c r="W360" s="135">
        <v>0</v>
      </c>
      <c r="X360" s="175"/>
      <c r="Y360" s="541"/>
    </row>
    <row r="361" spans="1:25" ht="24.6" customHeight="1">
      <c r="A361" s="531"/>
      <c r="B361" s="175" t="s">
        <v>615</v>
      </c>
      <c r="C361" s="175"/>
      <c r="D361" s="175"/>
      <c r="E361" s="175"/>
      <c r="F361" s="175"/>
      <c r="G361" s="75"/>
      <c r="H361" s="75"/>
      <c r="I361" s="75"/>
      <c r="J361" s="75"/>
      <c r="K361" s="75"/>
      <c r="L361" s="135">
        <f>125424.8-19478.1</f>
        <v>105946.70000000001</v>
      </c>
      <c r="M361" s="135"/>
      <c r="N361" s="135"/>
      <c r="O361" s="135">
        <v>18010.900000000001</v>
      </c>
      <c r="P361" s="135">
        <v>87935.8</v>
      </c>
      <c r="Q361" s="135">
        <v>0</v>
      </c>
      <c r="R361" s="135"/>
      <c r="S361" s="135"/>
      <c r="T361" s="135"/>
      <c r="U361" s="135"/>
      <c r="V361" s="135"/>
      <c r="W361" s="135"/>
      <c r="X361" s="175"/>
      <c r="Y361" s="541"/>
    </row>
    <row r="362" spans="1:25" ht="24.6" hidden="1" customHeight="1">
      <c r="A362" s="539" t="s">
        <v>145</v>
      </c>
      <c r="B362" s="83" t="s">
        <v>91</v>
      </c>
      <c r="C362" s="175"/>
      <c r="D362" s="175"/>
      <c r="E362" s="175"/>
      <c r="F362" s="175"/>
      <c r="G362" s="81">
        <f>G366</f>
        <v>0</v>
      </c>
      <c r="H362" s="81">
        <f t="shared" ref="H362:V362" si="176">H366</f>
        <v>0</v>
      </c>
      <c r="I362" s="81">
        <f t="shared" si="176"/>
        <v>0</v>
      </c>
      <c r="J362" s="81">
        <f t="shared" si="176"/>
        <v>0</v>
      </c>
      <c r="K362" s="81">
        <f t="shared" si="176"/>
        <v>0</v>
      </c>
      <c r="L362" s="134">
        <f t="shared" si="176"/>
        <v>0</v>
      </c>
      <c r="M362" s="134"/>
      <c r="N362" s="134"/>
      <c r="O362" s="134"/>
      <c r="P362" s="134"/>
      <c r="Q362" s="134">
        <f t="shared" si="176"/>
        <v>0</v>
      </c>
      <c r="R362" s="134"/>
      <c r="S362" s="134"/>
      <c r="T362" s="134"/>
      <c r="U362" s="134"/>
      <c r="V362" s="134">
        <f t="shared" si="176"/>
        <v>0</v>
      </c>
      <c r="W362" s="134"/>
      <c r="X362" s="175"/>
      <c r="Y362" s="175"/>
    </row>
    <row r="363" spans="1:25" ht="24.9" hidden="1" customHeight="1">
      <c r="A363" s="539"/>
      <c r="B363" s="83" t="s">
        <v>287</v>
      </c>
      <c r="C363" s="175"/>
      <c r="D363" s="175"/>
      <c r="E363" s="175"/>
      <c r="F363" s="175"/>
      <c r="G363" s="81">
        <f>G364+G365</f>
        <v>0</v>
      </c>
      <c r="H363" s="81">
        <f t="shared" ref="H363:V363" si="177">H364+H365</f>
        <v>0</v>
      </c>
      <c r="I363" s="81">
        <f t="shared" si="177"/>
        <v>0</v>
      </c>
      <c r="J363" s="81">
        <f t="shared" si="177"/>
        <v>0</v>
      </c>
      <c r="K363" s="81">
        <f t="shared" si="177"/>
        <v>0</v>
      </c>
      <c r="L363" s="134">
        <f t="shared" si="177"/>
        <v>0</v>
      </c>
      <c r="M363" s="134"/>
      <c r="N363" s="134"/>
      <c r="O363" s="134"/>
      <c r="P363" s="134"/>
      <c r="Q363" s="134">
        <f t="shared" si="177"/>
        <v>0</v>
      </c>
      <c r="R363" s="134"/>
      <c r="S363" s="134"/>
      <c r="T363" s="134"/>
      <c r="U363" s="134"/>
      <c r="V363" s="134">
        <f t="shared" si="177"/>
        <v>0</v>
      </c>
      <c r="W363" s="134"/>
      <c r="X363" s="175"/>
      <c r="Y363" s="175"/>
    </row>
    <row r="364" spans="1:25" ht="24.9" hidden="1" customHeight="1">
      <c r="A364" s="539"/>
      <c r="B364" s="83" t="s">
        <v>11</v>
      </c>
      <c r="C364" s="175"/>
      <c r="D364" s="175"/>
      <c r="E364" s="175"/>
      <c r="F364" s="175"/>
      <c r="G364" s="81">
        <f>G368</f>
        <v>0</v>
      </c>
      <c r="H364" s="81">
        <f t="shared" ref="H364:V365" si="178">H368</f>
        <v>0</v>
      </c>
      <c r="I364" s="81">
        <f t="shared" si="178"/>
        <v>0</v>
      </c>
      <c r="J364" s="81">
        <f t="shared" si="178"/>
        <v>0</v>
      </c>
      <c r="K364" s="81">
        <f t="shared" si="178"/>
        <v>0</v>
      </c>
      <c r="L364" s="134">
        <f t="shared" si="178"/>
        <v>0</v>
      </c>
      <c r="M364" s="134"/>
      <c r="N364" s="134"/>
      <c r="O364" s="134"/>
      <c r="P364" s="134"/>
      <c r="Q364" s="134">
        <f t="shared" si="178"/>
        <v>0</v>
      </c>
      <c r="R364" s="134"/>
      <c r="S364" s="134"/>
      <c r="T364" s="134"/>
      <c r="U364" s="134"/>
      <c r="V364" s="134">
        <f t="shared" si="178"/>
        <v>0</v>
      </c>
      <c r="W364" s="134"/>
      <c r="X364" s="175"/>
      <c r="Y364" s="175"/>
    </row>
    <row r="365" spans="1:25" ht="24.9" hidden="1" customHeight="1">
      <c r="A365" s="539"/>
      <c r="B365" s="83" t="s">
        <v>35</v>
      </c>
      <c r="C365" s="175"/>
      <c r="D365" s="175"/>
      <c r="E365" s="175"/>
      <c r="F365" s="175"/>
      <c r="G365" s="81">
        <f>G369</f>
        <v>0</v>
      </c>
      <c r="H365" s="81">
        <f t="shared" si="178"/>
        <v>0</v>
      </c>
      <c r="I365" s="81">
        <f t="shared" si="178"/>
        <v>0</v>
      </c>
      <c r="J365" s="81">
        <f t="shared" si="178"/>
        <v>0</v>
      </c>
      <c r="K365" s="81">
        <f t="shared" si="178"/>
        <v>0</v>
      </c>
      <c r="L365" s="134">
        <f t="shared" si="178"/>
        <v>0</v>
      </c>
      <c r="M365" s="134"/>
      <c r="N365" s="134"/>
      <c r="O365" s="134"/>
      <c r="P365" s="134"/>
      <c r="Q365" s="134">
        <f t="shared" si="178"/>
        <v>0</v>
      </c>
      <c r="R365" s="134"/>
      <c r="S365" s="134"/>
      <c r="T365" s="134"/>
      <c r="U365" s="134"/>
      <c r="V365" s="134">
        <f t="shared" si="178"/>
        <v>0</v>
      </c>
      <c r="W365" s="134"/>
      <c r="X365" s="175"/>
      <c r="Y365" s="175"/>
    </row>
    <row r="366" spans="1:25" ht="24.9" hidden="1" customHeight="1">
      <c r="A366" s="531" t="s">
        <v>269</v>
      </c>
      <c r="B366" s="175" t="s">
        <v>91</v>
      </c>
      <c r="C366" s="175"/>
      <c r="D366" s="175"/>
      <c r="E366" s="175"/>
      <c r="F366" s="175"/>
      <c r="G366" s="75"/>
      <c r="H366" s="75"/>
      <c r="I366" s="75"/>
      <c r="J366" s="75"/>
      <c r="K366" s="75"/>
      <c r="L366" s="135"/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75"/>
      <c r="Y366" s="541" t="s">
        <v>268</v>
      </c>
    </row>
    <row r="367" spans="1:25" s="56" customFormat="1" ht="24.9" hidden="1" customHeight="1">
      <c r="A367" s="531"/>
      <c r="B367" s="175" t="s">
        <v>287</v>
      </c>
      <c r="C367" s="175"/>
      <c r="D367" s="175"/>
      <c r="E367" s="175"/>
      <c r="F367" s="175"/>
      <c r="G367" s="75">
        <f>G368+G369</f>
        <v>0</v>
      </c>
      <c r="H367" s="75">
        <f t="shared" ref="H367:V367" si="179">H368+H369</f>
        <v>0</v>
      </c>
      <c r="I367" s="75">
        <f t="shared" si="179"/>
        <v>0</v>
      </c>
      <c r="J367" s="75">
        <f t="shared" si="179"/>
        <v>0</v>
      </c>
      <c r="K367" s="75">
        <f t="shared" si="179"/>
        <v>0</v>
      </c>
      <c r="L367" s="135">
        <f t="shared" si="179"/>
        <v>0</v>
      </c>
      <c r="M367" s="135"/>
      <c r="N367" s="135"/>
      <c r="O367" s="135"/>
      <c r="P367" s="135"/>
      <c r="Q367" s="135">
        <f t="shared" si="179"/>
        <v>0</v>
      </c>
      <c r="R367" s="135"/>
      <c r="S367" s="135"/>
      <c r="T367" s="135"/>
      <c r="U367" s="135"/>
      <c r="V367" s="135">
        <f t="shared" si="179"/>
        <v>0</v>
      </c>
      <c r="W367" s="135"/>
      <c r="X367" s="175"/>
      <c r="Y367" s="541"/>
    </row>
    <row r="368" spans="1:25" s="56" customFormat="1" ht="24.9" hidden="1" customHeight="1">
      <c r="A368" s="531"/>
      <c r="B368" s="175" t="s">
        <v>11</v>
      </c>
      <c r="C368" s="175"/>
      <c r="D368" s="175"/>
      <c r="E368" s="175"/>
      <c r="F368" s="175"/>
      <c r="G368" s="75"/>
      <c r="H368" s="75"/>
      <c r="I368" s="75"/>
      <c r="J368" s="75"/>
      <c r="K368" s="75"/>
      <c r="L368" s="135"/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75"/>
      <c r="Y368" s="541"/>
    </row>
    <row r="369" spans="1:25" s="56" customFormat="1" ht="24.9" hidden="1" customHeight="1">
      <c r="A369" s="531"/>
      <c r="B369" s="175" t="s">
        <v>35</v>
      </c>
      <c r="C369" s="175"/>
      <c r="D369" s="175"/>
      <c r="E369" s="175"/>
      <c r="F369" s="175"/>
      <c r="G369" s="75"/>
      <c r="H369" s="75"/>
      <c r="I369" s="75"/>
      <c r="J369" s="75"/>
      <c r="K369" s="7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75"/>
      <c r="Y369" s="541"/>
    </row>
    <row r="370" spans="1:25" s="56" customFormat="1" ht="24.9" customHeight="1">
      <c r="A370" s="539" t="s">
        <v>110</v>
      </c>
      <c r="B370" s="83" t="s">
        <v>91</v>
      </c>
      <c r="C370" s="83"/>
      <c r="D370" s="83"/>
      <c r="E370" s="83"/>
      <c r="F370" s="83"/>
      <c r="G370" s="81">
        <f>G374</f>
        <v>0</v>
      </c>
      <c r="H370" s="81">
        <f t="shared" ref="H370:U370" si="180">H374</f>
        <v>0</v>
      </c>
      <c r="I370" s="81">
        <f t="shared" si="180"/>
        <v>0</v>
      </c>
      <c r="J370" s="81">
        <f t="shared" si="180"/>
        <v>0</v>
      </c>
      <c r="K370" s="81">
        <f t="shared" si="180"/>
        <v>0</v>
      </c>
      <c r="L370" s="134">
        <f>L374</f>
        <v>0</v>
      </c>
      <c r="M370" s="134"/>
      <c r="N370" s="134"/>
      <c r="O370" s="134"/>
      <c r="P370" s="134"/>
      <c r="Q370" s="134">
        <f t="shared" si="180"/>
        <v>14.2</v>
      </c>
      <c r="R370" s="134">
        <f t="shared" si="180"/>
        <v>0</v>
      </c>
      <c r="S370" s="134">
        <f t="shared" si="180"/>
        <v>0</v>
      </c>
      <c r="T370" s="134">
        <f t="shared" si="180"/>
        <v>0</v>
      </c>
      <c r="U370" s="134">
        <f t="shared" si="180"/>
        <v>14.154999999999999</v>
      </c>
      <c r="V370" s="134"/>
      <c r="W370" s="134"/>
      <c r="X370" s="175"/>
      <c r="Y370" s="83"/>
    </row>
    <row r="371" spans="1:25" ht="24.9" customHeight="1">
      <c r="A371" s="539"/>
      <c r="B371" s="83" t="s">
        <v>287</v>
      </c>
      <c r="C371" s="83"/>
      <c r="D371" s="83"/>
      <c r="E371" s="83"/>
      <c r="F371" s="83"/>
      <c r="G371" s="81">
        <f>G372+G373</f>
        <v>0</v>
      </c>
      <c r="H371" s="81">
        <f t="shared" ref="H371:U371" si="181">H372+H373</f>
        <v>0</v>
      </c>
      <c r="I371" s="81">
        <f t="shared" si="181"/>
        <v>0</v>
      </c>
      <c r="J371" s="81">
        <f t="shared" si="181"/>
        <v>0</v>
      </c>
      <c r="K371" s="81">
        <f t="shared" si="181"/>
        <v>0</v>
      </c>
      <c r="L371" s="134">
        <f t="shared" si="181"/>
        <v>0</v>
      </c>
      <c r="M371" s="134"/>
      <c r="N371" s="134"/>
      <c r="O371" s="134"/>
      <c r="P371" s="134"/>
      <c r="Q371" s="134">
        <f t="shared" si="181"/>
        <v>342247.32</v>
      </c>
      <c r="R371" s="134">
        <f t="shared" si="181"/>
        <v>0</v>
      </c>
      <c r="S371" s="134">
        <f t="shared" si="181"/>
        <v>0</v>
      </c>
      <c r="T371" s="134">
        <f t="shared" si="181"/>
        <v>190000</v>
      </c>
      <c r="U371" s="134">
        <f t="shared" si="181"/>
        <v>152247.32</v>
      </c>
      <c r="V371" s="134"/>
      <c r="W371" s="134"/>
      <c r="X371" s="175"/>
      <c r="Y371" s="83"/>
    </row>
    <row r="372" spans="1:25" ht="24.9" customHeight="1">
      <c r="A372" s="539"/>
      <c r="B372" s="83" t="s">
        <v>11</v>
      </c>
      <c r="C372" s="83"/>
      <c r="D372" s="83"/>
      <c r="E372" s="83"/>
      <c r="F372" s="83"/>
      <c r="G372" s="81">
        <f>G376</f>
        <v>0</v>
      </c>
      <c r="H372" s="81">
        <f t="shared" ref="H372:U373" si="182">H376</f>
        <v>0</v>
      </c>
      <c r="I372" s="81">
        <f t="shared" si="182"/>
        <v>0</v>
      </c>
      <c r="J372" s="81">
        <f t="shared" si="182"/>
        <v>0</v>
      </c>
      <c r="K372" s="81">
        <f t="shared" si="182"/>
        <v>0</v>
      </c>
      <c r="L372" s="134">
        <f t="shared" si="182"/>
        <v>0</v>
      </c>
      <c r="M372" s="134"/>
      <c r="N372" s="134"/>
      <c r="O372" s="134"/>
      <c r="P372" s="134"/>
      <c r="Q372" s="134">
        <f t="shared" si="182"/>
        <v>171844.7</v>
      </c>
      <c r="R372" s="134">
        <f t="shared" si="182"/>
        <v>0</v>
      </c>
      <c r="S372" s="134">
        <f t="shared" si="182"/>
        <v>0</v>
      </c>
      <c r="T372" s="134">
        <f t="shared" si="182"/>
        <v>100000</v>
      </c>
      <c r="U372" s="134">
        <f t="shared" si="182"/>
        <v>71844.7</v>
      </c>
      <c r="V372" s="134"/>
      <c r="W372" s="134"/>
      <c r="X372" s="175"/>
      <c r="Y372" s="83"/>
    </row>
    <row r="373" spans="1:25" ht="24.9" customHeight="1">
      <c r="A373" s="539"/>
      <c r="B373" s="83" t="s">
        <v>35</v>
      </c>
      <c r="C373" s="83"/>
      <c r="D373" s="83"/>
      <c r="E373" s="83"/>
      <c r="F373" s="83"/>
      <c r="G373" s="81">
        <f>G377</f>
        <v>0</v>
      </c>
      <c r="H373" s="81">
        <f t="shared" si="182"/>
        <v>0</v>
      </c>
      <c r="I373" s="81">
        <f t="shared" si="182"/>
        <v>0</v>
      </c>
      <c r="J373" s="81">
        <f t="shared" si="182"/>
        <v>0</v>
      </c>
      <c r="K373" s="81">
        <f t="shared" si="182"/>
        <v>0</v>
      </c>
      <c r="L373" s="134">
        <f t="shared" si="182"/>
        <v>0</v>
      </c>
      <c r="M373" s="134"/>
      <c r="N373" s="134"/>
      <c r="O373" s="134"/>
      <c r="P373" s="134"/>
      <c r="Q373" s="134">
        <f t="shared" si="182"/>
        <v>170402.62</v>
      </c>
      <c r="R373" s="134">
        <f t="shared" si="182"/>
        <v>0</v>
      </c>
      <c r="S373" s="134">
        <f t="shared" si="182"/>
        <v>0</v>
      </c>
      <c r="T373" s="134">
        <f t="shared" si="182"/>
        <v>90000</v>
      </c>
      <c r="U373" s="134">
        <f t="shared" si="182"/>
        <v>80402.62</v>
      </c>
      <c r="V373" s="134"/>
      <c r="W373" s="134"/>
      <c r="X373" s="175"/>
      <c r="Y373" s="83"/>
    </row>
    <row r="374" spans="1:25" ht="24.9" customHeight="1">
      <c r="A374" s="531" t="s">
        <v>473</v>
      </c>
      <c r="B374" s="175" t="s">
        <v>91</v>
      </c>
      <c r="C374" s="175">
        <v>176</v>
      </c>
      <c r="D374" s="175" t="s">
        <v>16</v>
      </c>
      <c r="E374" s="175">
        <v>6100404</v>
      </c>
      <c r="F374" s="175">
        <v>414</v>
      </c>
      <c r="G374" s="75">
        <v>0</v>
      </c>
      <c r="H374" s="75">
        <v>0</v>
      </c>
      <c r="I374" s="75">
        <v>0</v>
      </c>
      <c r="J374" s="75">
        <v>0</v>
      </c>
      <c r="K374" s="75">
        <v>0</v>
      </c>
      <c r="L374" s="135"/>
      <c r="M374" s="135"/>
      <c r="N374" s="135"/>
      <c r="O374" s="135"/>
      <c r="P374" s="135"/>
      <c r="Q374" s="135">
        <v>14.2</v>
      </c>
      <c r="R374" s="135"/>
      <c r="S374" s="135"/>
      <c r="T374" s="135"/>
      <c r="U374" s="135">
        <v>14.154999999999999</v>
      </c>
      <c r="V374" s="135"/>
      <c r="W374" s="135"/>
      <c r="X374" s="175"/>
      <c r="Y374" s="541" t="s">
        <v>400</v>
      </c>
    </row>
    <row r="375" spans="1:25" ht="24.9" customHeight="1">
      <c r="A375" s="531"/>
      <c r="B375" s="175" t="s">
        <v>287</v>
      </c>
      <c r="C375" s="175"/>
      <c r="D375" s="175"/>
      <c r="E375" s="175"/>
      <c r="F375" s="175"/>
      <c r="G375" s="75">
        <f>G376+G377</f>
        <v>0</v>
      </c>
      <c r="H375" s="75">
        <f t="shared" ref="H375:Q375" si="183">H376+H377</f>
        <v>0</v>
      </c>
      <c r="I375" s="75">
        <f t="shared" si="183"/>
        <v>0</v>
      </c>
      <c r="J375" s="75">
        <f t="shared" si="183"/>
        <v>0</v>
      </c>
      <c r="K375" s="75">
        <f t="shared" si="183"/>
        <v>0</v>
      </c>
      <c r="L375" s="135">
        <f t="shared" si="183"/>
        <v>0</v>
      </c>
      <c r="M375" s="135"/>
      <c r="N375" s="135"/>
      <c r="O375" s="135"/>
      <c r="P375" s="135"/>
      <c r="Q375" s="135">
        <f t="shared" si="183"/>
        <v>342247.32</v>
      </c>
      <c r="R375" s="135"/>
      <c r="S375" s="135"/>
      <c r="T375" s="135">
        <v>190000</v>
      </c>
      <c r="U375" s="135">
        <v>157894.29999999999</v>
      </c>
      <c r="V375" s="135"/>
      <c r="W375" s="135"/>
      <c r="X375" s="175"/>
      <c r="Y375" s="541"/>
    </row>
    <row r="376" spans="1:25" ht="28.5" customHeight="1">
      <c r="A376" s="531"/>
      <c r="B376" s="175" t="s">
        <v>11</v>
      </c>
      <c r="C376" s="175"/>
      <c r="D376" s="175"/>
      <c r="E376" s="175"/>
      <c r="F376" s="175"/>
      <c r="G376" s="75"/>
      <c r="H376" s="75"/>
      <c r="I376" s="75"/>
      <c r="J376" s="75"/>
      <c r="K376" s="75"/>
      <c r="L376" s="135"/>
      <c r="M376" s="135"/>
      <c r="N376" s="135"/>
      <c r="O376" s="135"/>
      <c r="P376" s="135"/>
      <c r="Q376" s="135">
        <f>T376+U376</f>
        <v>171844.7</v>
      </c>
      <c r="R376" s="135"/>
      <c r="S376" s="135"/>
      <c r="T376" s="135">
        <v>100000</v>
      </c>
      <c r="U376" s="135">
        <f>87451.1-15602.6-3.8</f>
        <v>71844.7</v>
      </c>
      <c r="V376" s="135"/>
      <c r="W376" s="135"/>
      <c r="X376" s="175"/>
      <c r="Y376" s="541"/>
    </row>
    <row r="377" spans="1:25" ht="24.9" customHeight="1">
      <c r="A377" s="531"/>
      <c r="B377" s="175" t="s">
        <v>35</v>
      </c>
      <c r="C377" s="175"/>
      <c r="D377" s="175"/>
      <c r="E377" s="175"/>
      <c r="F377" s="175"/>
      <c r="G377" s="75"/>
      <c r="H377" s="75"/>
      <c r="I377" s="75"/>
      <c r="J377" s="75"/>
      <c r="K377" s="75"/>
      <c r="L377" s="135">
        <v>0</v>
      </c>
      <c r="M377" s="135"/>
      <c r="N377" s="135"/>
      <c r="O377" s="135"/>
      <c r="P377" s="135"/>
      <c r="Q377" s="135">
        <f>T377+U377</f>
        <v>170402.62</v>
      </c>
      <c r="R377" s="135"/>
      <c r="S377" s="135"/>
      <c r="T377" s="135">
        <v>90000</v>
      </c>
      <c r="U377" s="135">
        <f>70443.2+9960.2-0.78</f>
        <v>80402.62</v>
      </c>
      <c r="V377" s="135"/>
      <c r="W377" s="135"/>
      <c r="X377" s="175"/>
      <c r="Y377" s="541"/>
    </row>
    <row r="378" spans="1:25" ht="0.6" customHeight="1">
      <c r="A378" s="539" t="s">
        <v>147</v>
      </c>
      <c r="B378" s="83" t="s">
        <v>91</v>
      </c>
      <c r="C378" s="175"/>
      <c r="D378" s="175"/>
      <c r="E378" s="175"/>
      <c r="F378" s="175"/>
      <c r="G378" s="81">
        <f>G382</f>
        <v>0</v>
      </c>
      <c r="H378" s="81">
        <f t="shared" ref="H378:Q378" si="184">H382</f>
        <v>0</v>
      </c>
      <c r="I378" s="81">
        <f t="shared" si="184"/>
        <v>0</v>
      </c>
      <c r="J378" s="81">
        <f t="shared" si="184"/>
        <v>0</v>
      </c>
      <c r="K378" s="81">
        <f t="shared" si="184"/>
        <v>0</v>
      </c>
      <c r="L378" s="134">
        <f>L382</f>
        <v>0</v>
      </c>
      <c r="M378" s="134"/>
      <c r="N378" s="134"/>
      <c r="O378" s="134"/>
      <c r="P378" s="134"/>
      <c r="Q378" s="134">
        <f t="shared" si="184"/>
        <v>0</v>
      </c>
      <c r="R378" s="134"/>
      <c r="S378" s="134"/>
      <c r="T378" s="134"/>
      <c r="U378" s="134"/>
      <c r="V378" s="134">
        <f>V386</f>
        <v>0</v>
      </c>
      <c r="W378" s="134"/>
      <c r="X378" s="175"/>
      <c r="Y378" s="175"/>
    </row>
    <row r="379" spans="1:25" ht="24.6" hidden="1" customHeight="1">
      <c r="A379" s="539"/>
      <c r="B379" s="83" t="s">
        <v>287</v>
      </c>
      <c r="C379" s="175"/>
      <c r="D379" s="175"/>
      <c r="E379" s="175"/>
      <c r="F379" s="175"/>
      <c r="G379" s="81">
        <f>G380+G381</f>
        <v>0</v>
      </c>
      <c r="H379" s="81">
        <f t="shared" ref="H379:V379" si="185">H380+H381</f>
        <v>0</v>
      </c>
      <c r="I379" s="81">
        <f t="shared" si="185"/>
        <v>0</v>
      </c>
      <c r="J379" s="81">
        <f t="shared" si="185"/>
        <v>0</v>
      </c>
      <c r="K379" s="81">
        <f t="shared" si="185"/>
        <v>0</v>
      </c>
      <c r="L379" s="134">
        <f t="shared" si="185"/>
        <v>0</v>
      </c>
      <c r="M379" s="134"/>
      <c r="N379" s="134"/>
      <c r="O379" s="134"/>
      <c r="P379" s="134"/>
      <c r="Q379" s="134">
        <f>Q380+Q381</f>
        <v>0</v>
      </c>
      <c r="R379" s="134"/>
      <c r="S379" s="134"/>
      <c r="T379" s="134"/>
      <c r="U379" s="134"/>
      <c r="V379" s="134">
        <f t="shared" si="185"/>
        <v>0</v>
      </c>
      <c r="W379" s="134"/>
      <c r="X379" s="175"/>
      <c r="Y379" s="175"/>
    </row>
    <row r="380" spans="1:25" ht="24.6" hidden="1" customHeight="1">
      <c r="A380" s="539"/>
      <c r="B380" s="83" t="s">
        <v>11</v>
      </c>
      <c r="C380" s="175"/>
      <c r="D380" s="175"/>
      <c r="E380" s="175"/>
      <c r="F380" s="175"/>
      <c r="G380" s="81">
        <f>G384</f>
        <v>0</v>
      </c>
      <c r="H380" s="81">
        <f t="shared" ref="H380:V381" si="186">H384</f>
        <v>0</v>
      </c>
      <c r="I380" s="81">
        <f t="shared" si="186"/>
        <v>0</v>
      </c>
      <c r="J380" s="81">
        <f t="shared" si="186"/>
        <v>0</v>
      </c>
      <c r="K380" s="81">
        <f t="shared" si="186"/>
        <v>0</v>
      </c>
      <c r="L380" s="134">
        <f t="shared" si="186"/>
        <v>0</v>
      </c>
      <c r="M380" s="134"/>
      <c r="N380" s="134"/>
      <c r="O380" s="134"/>
      <c r="P380" s="134"/>
      <c r="Q380" s="134"/>
      <c r="R380" s="134"/>
      <c r="S380" s="134"/>
      <c r="T380" s="134"/>
      <c r="U380" s="134"/>
      <c r="V380" s="134">
        <f t="shared" si="186"/>
        <v>0</v>
      </c>
      <c r="W380" s="134"/>
      <c r="X380" s="175"/>
      <c r="Y380" s="175"/>
    </row>
    <row r="381" spans="1:25" ht="24" hidden="1" customHeight="1">
      <c r="A381" s="539"/>
      <c r="B381" s="83" t="s">
        <v>35</v>
      </c>
      <c r="C381" s="175"/>
      <c r="D381" s="175"/>
      <c r="E381" s="175"/>
      <c r="F381" s="175"/>
      <c r="G381" s="81">
        <f>G385</f>
        <v>0</v>
      </c>
      <c r="H381" s="81">
        <f t="shared" si="186"/>
        <v>0</v>
      </c>
      <c r="I381" s="81">
        <f t="shared" si="186"/>
        <v>0</v>
      </c>
      <c r="J381" s="81">
        <f t="shared" si="186"/>
        <v>0</v>
      </c>
      <c r="K381" s="81">
        <f t="shared" si="186"/>
        <v>0</v>
      </c>
      <c r="L381" s="134">
        <f t="shared" si="186"/>
        <v>0</v>
      </c>
      <c r="M381" s="134"/>
      <c r="N381" s="134"/>
      <c r="O381" s="134"/>
      <c r="P381" s="134"/>
      <c r="Q381" s="134">
        <f>Q385</f>
        <v>0</v>
      </c>
      <c r="R381" s="134"/>
      <c r="S381" s="134"/>
      <c r="T381" s="134"/>
      <c r="U381" s="134"/>
      <c r="V381" s="134">
        <f>V389</f>
        <v>0</v>
      </c>
      <c r="W381" s="134"/>
      <c r="X381" s="175"/>
      <c r="Y381" s="175"/>
    </row>
    <row r="382" spans="1:25" ht="24.6" hidden="1" customHeight="1">
      <c r="A382" s="531" t="s">
        <v>270</v>
      </c>
      <c r="B382" s="175" t="s">
        <v>91</v>
      </c>
      <c r="C382" s="175"/>
      <c r="D382" s="175"/>
      <c r="E382" s="175"/>
      <c r="F382" s="175"/>
      <c r="G382" s="75"/>
      <c r="H382" s="75"/>
      <c r="I382" s="75"/>
      <c r="J382" s="75"/>
      <c r="K382" s="75"/>
      <c r="L382" s="135"/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75"/>
      <c r="Y382" s="541" t="s">
        <v>268</v>
      </c>
    </row>
    <row r="383" spans="1:25" s="56" customFormat="1" ht="24.6" hidden="1" customHeight="1">
      <c r="A383" s="531"/>
      <c r="B383" s="175" t="s">
        <v>287</v>
      </c>
      <c r="C383" s="175"/>
      <c r="D383" s="175"/>
      <c r="E383" s="175"/>
      <c r="F383" s="175"/>
      <c r="G383" s="75">
        <f>G384+G385</f>
        <v>0</v>
      </c>
      <c r="H383" s="75">
        <f t="shared" ref="H383:V383" si="187">H384+H385</f>
        <v>0</v>
      </c>
      <c r="I383" s="75">
        <f t="shared" si="187"/>
        <v>0</v>
      </c>
      <c r="J383" s="75">
        <f t="shared" si="187"/>
        <v>0</v>
      </c>
      <c r="K383" s="75">
        <f t="shared" si="187"/>
        <v>0</v>
      </c>
      <c r="L383" s="135">
        <f t="shared" si="187"/>
        <v>0</v>
      </c>
      <c r="M383" s="135"/>
      <c r="N383" s="135"/>
      <c r="O383" s="135"/>
      <c r="P383" s="135"/>
      <c r="Q383" s="135"/>
      <c r="R383" s="135"/>
      <c r="S383" s="135"/>
      <c r="T383" s="135"/>
      <c r="U383" s="135"/>
      <c r="V383" s="135">
        <f t="shared" si="187"/>
        <v>0</v>
      </c>
      <c r="W383" s="135"/>
      <c r="X383" s="175"/>
      <c r="Y383" s="541"/>
    </row>
    <row r="384" spans="1:25" s="56" customFormat="1" ht="28.2" hidden="1" customHeight="1">
      <c r="A384" s="531"/>
      <c r="B384" s="175" t="s">
        <v>11</v>
      </c>
      <c r="C384" s="175"/>
      <c r="D384" s="175"/>
      <c r="E384" s="175"/>
      <c r="F384" s="175"/>
      <c r="G384" s="75"/>
      <c r="H384" s="75"/>
      <c r="I384" s="75"/>
      <c r="J384" s="75"/>
      <c r="K384" s="75"/>
      <c r="L384" s="135"/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75"/>
      <c r="Y384" s="541"/>
    </row>
    <row r="385" spans="1:25" s="56" customFormat="1" ht="24.6" hidden="1" customHeight="1">
      <c r="A385" s="531"/>
      <c r="B385" s="175" t="s">
        <v>35</v>
      </c>
      <c r="C385" s="175"/>
      <c r="D385" s="175"/>
      <c r="E385" s="175"/>
      <c r="F385" s="175"/>
      <c r="G385" s="75"/>
      <c r="H385" s="75"/>
      <c r="I385" s="75"/>
      <c r="J385" s="75"/>
      <c r="K385" s="7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75"/>
      <c r="Y385" s="541"/>
    </row>
    <row r="386" spans="1:25" s="56" customFormat="1" ht="24.6" hidden="1" customHeight="1">
      <c r="A386" s="553" t="s">
        <v>363</v>
      </c>
      <c r="B386" s="175" t="s">
        <v>91</v>
      </c>
      <c r="C386" s="175"/>
      <c r="D386" s="175"/>
      <c r="E386" s="175"/>
      <c r="F386" s="175"/>
      <c r="G386" s="75"/>
      <c r="H386" s="75"/>
      <c r="I386" s="75"/>
      <c r="J386" s="75"/>
      <c r="K386" s="7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75"/>
      <c r="Y386" s="533" t="s">
        <v>263</v>
      </c>
    </row>
    <row r="387" spans="1:25" s="56" customFormat="1" ht="24.6" hidden="1" customHeight="1">
      <c r="A387" s="554"/>
      <c r="B387" s="175" t="s">
        <v>287</v>
      </c>
      <c r="C387" s="175"/>
      <c r="D387" s="175"/>
      <c r="E387" s="175"/>
      <c r="F387" s="175"/>
      <c r="G387" s="75"/>
      <c r="H387" s="75"/>
      <c r="I387" s="75"/>
      <c r="J387" s="75"/>
      <c r="K387" s="75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5">
        <f>V389</f>
        <v>0</v>
      </c>
      <c r="W387" s="135"/>
      <c r="X387" s="175"/>
      <c r="Y387" s="534"/>
    </row>
    <row r="388" spans="1:25" s="56" customFormat="1" ht="24.6" hidden="1" customHeight="1">
      <c r="A388" s="554"/>
      <c r="B388" s="175" t="s">
        <v>11</v>
      </c>
      <c r="C388" s="175"/>
      <c r="D388" s="175"/>
      <c r="E388" s="175"/>
      <c r="F388" s="175"/>
      <c r="G388" s="75"/>
      <c r="H388" s="75"/>
      <c r="I388" s="75"/>
      <c r="J388" s="75"/>
      <c r="K388" s="75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75"/>
      <c r="Y388" s="534"/>
    </row>
    <row r="389" spans="1:25" s="56" customFormat="1" ht="24.6" hidden="1" customHeight="1">
      <c r="A389" s="555"/>
      <c r="B389" s="175" t="s">
        <v>35</v>
      </c>
      <c r="C389" s="175"/>
      <c r="D389" s="175"/>
      <c r="E389" s="175"/>
      <c r="F389" s="175"/>
      <c r="G389" s="75"/>
      <c r="H389" s="75"/>
      <c r="I389" s="75"/>
      <c r="J389" s="75"/>
      <c r="K389" s="75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75"/>
      <c r="Y389" s="535"/>
    </row>
    <row r="390" spans="1:25" s="56" customFormat="1" ht="24.9" customHeight="1">
      <c r="A390" s="539" t="s">
        <v>111</v>
      </c>
      <c r="B390" s="83" t="s">
        <v>91</v>
      </c>
      <c r="C390" s="83"/>
      <c r="D390" s="83"/>
      <c r="E390" s="83"/>
      <c r="F390" s="83"/>
      <c r="G390" s="81">
        <f>G394+G398+G402</f>
        <v>2.0680000000000001</v>
      </c>
      <c r="H390" s="81">
        <f t="shared" ref="H390:W390" si="188">H394+H398+H402</f>
        <v>0</v>
      </c>
      <c r="I390" s="81">
        <f t="shared" si="188"/>
        <v>0</v>
      </c>
      <c r="J390" s="81">
        <f t="shared" si="188"/>
        <v>0</v>
      </c>
      <c r="K390" s="81">
        <f t="shared" si="188"/>
        <v>2.0680000000000001</v>
      </c>
      <c r="L390" s="134">
        <f>L394+L398+L402</f>
        <v>2.2610000000000001</v>
      </c>
      <c r="M390" s="134"/>
      <c r="N390" s="134"/>
      <c r="O390" s="134"/>
      <c r="P390" s="134">
        <f>P398</f>
        <v>2.2610000000000001</v>
      </c>
      <c r="Q390" s="134">
        <f t="shared" si="188"/>
        <v>2</v>
      </c>
      <c r="R390" s="134">
        <f t="shared" si="188"/>
        <v>0</v>
      </c>
      <c r="S390" s="134">
        <f t="shared" si="188"/>
        <v>0</v>
      </c>
      <c r="T390" s="134">
        <f t="shared" si="188"/>
        <v>0</v>
      </c>
      <c r="U390" s="134">
        <f t="shared" si="188"/>
        <v>2</v>
      </c>
      <c r="V390" s="134">
        <f t="shared" si="188"/>
        <v>0</v>
      </c>
      <c r="W390" s="134">
        <f t="shared" si="188"/>
        <v>0</v>
      </c>
      <c r="X390" s="175"/>
      <c r="Y390" s="83"/>
    </row>
    <row r="391" spans="1:25" ht="24.9" customHeight="1">
      <c r="A391" s="539"/>
      <c r="B391" s="83" t="s">
        <v>287</v>
      </c>
      <c r="C391" s="83"/>
      <c r="D391" s="83"/>
      <c r="E391" s="83"/>
      <c r="F391" s="83"/>
      <c r="G391" s="81">
        <f>G392+G393</f>
        <v>60000.099999999991</v>
      </c>
      <c r="H391" s="81">
        <f t="shared" ref="H391:W391" si="189">H392+H393</f>
        <v>0</v>
      </c>
      <c r="I391" s="81">
        <f t="shared" si="189"/>
        <v>4882.2</v>
      </c>
      <c r="J391" s="81">
        <f t="shared" si="189"/>
        <v>34608</v>
      </c>
      <c r="K391" s="81">
        <f t="shared" si="189"/>
        <v>20509.899999999998</v>
      </c>
      <c r="L391" s="134">
        <f t="shared" si="189"/>
        <v>70843.399999999994</v>
      </c>
      <c r="M391" s="134">
        <f t="shared" si="189"/>
        <v>0</v>
      </c>
      <c r="N391" s="134">
        <f t="shared" si="189"/>
        <v>0</v>
      </c>
      <c r="O391" s="134">
        <f t="shared" si="189"/>
        <v>12043.4</v>
      </c>
      <c r="P391" s="134">
        <f t="shared" si="189"/>
        <v>58800</v>
      </c>
      <c r="Q391" s="134">
        <f t="shared" si="189"/>
        <v>68432.000000000029</v>
      </c>
      <c r="R391" s="134">
        <f t="shared" si="189"/>
        <v>0</v>
      </c>
      <c r="S391" s="134">
        <f t="shared" si="189"/>
        <v>0</v>
      </c>
      <c r="T391" s="134">
        <f t="shared" si="189"/>
        <v>45875.602000000021</v>
      </c>
      <c r="U391" s="134">
        <f t="shared" si="189"/>
        <v>22556.398000000001</v>
      </c>
      <c r="V391" s="134">
        <f t="shared" si="189"/>
        <v>0</v>
      </c>
      <c r="W391" s="134">
        <f t="shared" si="189"/>
        <v>0</v>
      </c>
      <c r="X391" s="175"/>
      <c r="Y391" s="83"/>
    </row>
    <row r="392" spans="1:25" ht="24.9" customHeight="1">
      <c r="A392" s="539"/>
      <c r="B392" s="83" t="s">
        <v>11</v>
      </c>
      <c r="C392" s="83"/>
      <c r="D392" s="83"/>
      <c r="E392" s="83"/>
      <c r="F392" s="83"/>
      <c r="G392" s="81">
        <f>G396+G400+G404</f>
        <v>1000</v>
      </c>
      <c r="H392" s="81">
        <f t="shared" ref="H392:W393" si="190">H396+H400+H404</f>
        <v>0</v>
      </c>
      <c r="I392" s="81">
        <f t="shared" si="190"/>
        <v>0</v>
      </c>
      <c r="J392" s="81">
        <f t="shared" si="190"/>
        <v>0</v>
      </c>
      <c r="K392" s="81">
        <f t="shared" si="190"/>
        <v>1000</v>
      </c>
      <c r="L392" s="134">
        <f t="shared" si="190"/>
        <v>0</v>
      </c>
      <c r="M392" s="134"/>
      <c r="N392" s="134"/>
      <c r="O392" s="134"/>
      <c r="P392" s="134"/>
      <c r="Q392" s="134">
        <f t="shared" si="190"/>
        <v>68432.000000000029</v>
      </c>
      <c r="R392" s="134">
        <f t="shared" si="190"/>
        <v>0</v>
      </c>
      <c r="S392" s="134">
        <f t="shared" si="190"/>
        <v>0</v>
      </c>
      <c r="T392" s="134">
        <f t="shared" si="190"/>
        <v>45875.602000000021</v>
      </c>
      <c r="U392" s="134">
        <f t="shared" si="190"/>
        <v>22556.398000000001</v>
      </c>
      <c r="V392" s="134">
        <f t="shared" si="190"/>
        <v>0</v>
      </c>
      <c r="W392" s="134">
        <f t="shared" si="190"/>
        <v>0</v>
      </c>
      <c r="X392" s="175"/>
      <c r="Y392" s="83"/>
    </row>
    <row r="393" spans="1:25" ht="24.6" customHeight="1">
      <c r="A393" s="539"/>
      <c r="B393" s="83" t="s">
        <v>615</v>
      </c>
      <c r="C393" s="83"/>
      <c r="D393" s="83"/>
      <c r="E393" s="83"/>
      <c r="F393" s="83"/>
      <c r="G393" s="81">
        <f>G397+G401+G405</f>
        <v>59000.099999999991</v>
      </c>
      <c r="H393" s="81">
        <f t="shared" si="190"/>
        <v>0</v>
      </c>
      <c r="I393" s="81">
        <f t="shared" si="190"/>
        <v>4882.2</v>
      </c>
      <c r="J393" s="81">
        <f t="shared" si="190"/>
        <v>34608</v>
      </c>
      <c r="K393" s="81">
        <f t="shared" si="190"/>
        <v>19509.899999999998</v>
      </c>
      <c r="L393" s="134">
        <f>L397+L401+L405</f>
        <v>70843.399999999994</v>
      </c>
      <c r="M393" s="134">
        <f t="shared" ref="M393:P393" si="191">M397+M401+M405</f>
        <v>0</v>
      </c>
      <c r="N393" s="134">
        <f t="shared" si="191"/>
        <v>0</v>
      </c>
      <c r="O393" s="134">
        <f t="shared" si="191"/>
        <v>12043.4</v>
      </c>
      <c r="P393" s="134">
        <f t="shared" si="191"/>
        <v>58800</v>
      </c>
      <c r="Q393" s="134">
        <f t="shared" si="190"/>
        <v>0</v>
      </c>
      <c r="R393" s="134"/>
      <c r="S393" s="134"/>
      <c r="T393" s="134"/>
      <c r="U393" s="134"/>
      <c r="V393" s="134">
        <f t="shared" si="190"/>
        <v>0</v>
      </c>
      <c r="W393" s="134">
        <f t="shared" si="190"/>
        <v>0</v>
      </c>
      <c r="X393" s="175"/>
      <c r="Y393" s="83"/>
    </row>
    <row r="394" spans="1:25" ht="24.9" hidden="1" customHeight="1">
      <c r="A394" s="540" t="s">
        <v>246</v>
      </c>
      <c r="B394" s="175" t="s">
        <v>91</v>
      </c>
      <c r="C394" s="175">
        <v>176</v>
      </c>
      <c r="D394" s="175" t="s">
        <v>16</v>
      </c>
      <c r="E394" s="175">
        <v>6100404</v>
      </c>
      <c r="F394" s="175">
        <v>414</v>
      </c>
      <c r="G394" s="75">
        <f>SUM(H394:K394)</f>
        <v>2.0680000000000001</v>
      </c>
      <c r="H394" s="75">
        <v>0</v>
      </c>
      <c r="I394" s="75"/>
      <c r="J394" s="75"/>
      <c r="K394" s="75">
        <v>2.0680000000000001</v>
      </c>
      <c r="L394" s="135"/>
      <c r="M394" s="135"/>
      <c r="N394" s="135"/>
      <c r="O394" s="135"/>
      <c r="P394" s="135"/>
      <c r="Q394" s="135">
        <v>0</v>
      </c>
      <c r="R394" s="135"/>
      <c r="S394" s="135"/>
      <c r="T394" s="135"/>
      <c r="U394" s="135"/>
      <c r="V394" s="135"/>
      <c r="W394" s="135"/>
      <c r="X394" s="175"/>
      <c r="Y394" s="541" t="s">
        <v>245</v>
      </c>
    </row>
    <row r="395" spans="1:25" ht="21.75" hidden="1" customHeight="1">
      <c r="A395" s="540"/>
      <c r="B395" s="175" t="s">
        <v>287</v>
      </c>
      <c r="C395" s="175"/>
      <c r="D395" s="175"/>
      <c r="E395" s="175"/>
      <c r="F395" s="175"/>
      <c r="G395" s="75">
        <f>G396+G397</f>
        <v>60000.099999999991</v>
      </c>
      <c r="H395" s="75">
        <f t="shared" ref="H395:V395" si="192">H396+H397</f>
        <v>0</v>
      </c>
      <c r="I395" s="75">
        <f t="shared" si="192"/>
        <v>4882.2</v>
      </c>
      <c r="J395" s="75">
        <f t="shared" si="192"/>
        <v>34608</v>
      </c>
      <c r="K395" s="75">
        <f t="shared" si="192"/>
        <v>20509.899999999998</v>
      </c>
      <c r="L395" s="135">
        <f t="shared" si="192"/>
        <v>0</v>
      </c>
      <c r="M395" s="135"/>
      <c r="N395" s="135"/>
      <c r="O395" s="135"/>
      <c r="P395" s="135"/>
      <c r="Q395" s="135">
        <f t="shared" si="192"/>
        <v>0</v>
      </c>
      <c r="R395" s="135"/>
      <c r="S395" s="135"/>
      <c r="T395" s="135"/>
      <c r="U395" s="135"/>
      <c r="V395" s="135">
        <f t="shared" si="192"/>
        <v>0</v>
      </c>
      <c r="W395" s="135"/>
      <c r="X395" s="175"/>
      <c r="Y395" s="541"/>
    </row>
    <row r="396" spans="1:25" ht="24.9" hidden="1" customHeight="1">
      <c r="A396" s="540"/>
      <c r="B396" s="175" t="s">
        <v>11</v>
      </c>
      <c r="C396" s="175"/>
      <c r="D396" s="175"/>
      <c r="E396" s="175"/>
      <c r="F396" s="175"/>
      <c r="G396" s="75">
        <f>SUM(H396:K396)</f>
        <v>1000</v>
      </c>
      <c r="H396" s="75"/>
      <c r="I396" s="75"/>
      <c r="J396" s="75"/>
      <c r="K396" s="75">
        <v>1000</v>
      </c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75"/>
      <c r="Y396" s="541"/>
    </row>
    <row r="397" spans="1:25" ht="24.9" hidden="1" customHeight="1">
      <c r="A397" s="540"/>
      <c r="B397" s="175" t="s">
        <v>35</v>
      </c>
      <c r="C397" s="175"/>
      <c r="D397" s="175"/>
      <c r="E397" s="175"/>
      <c r="F397" s="175"/>
      <c r="G397" s="75">
        <f>SUM(H397:K397)</f>
        <v>59000.099999999991</v>
      </c>
      <c r="H397" s="75"/>
      <c r="I397" s="75">
        <v>4882.2</v>
      </c>
      <c r="J397" s="75">
        <v>34608</v>
      </c>
      <c r="K397" s="75">
        <f>22309.8-818.7-1981.2</f>
        <v>19509.899999999998</v>
      </c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75"/>
      <c r="Y397" s="541"/>
    </row>
    <row r="398" spans="1:25" ht="24.6" hidden="1" customHeight="1">
      <c r="A398" s="572" t="s">
        <v>338</v>
      </c>
      <c r="B398" s="175" t="s">
        <v>91</v>
      </c>
      <c r="C398" s="175"/>
      <c r="D398" s="175"/>
      <c r="E398" s="175"/>
      <c r="F398" s="175"/>
      <c r="G398" s="75"/>
      <c r="H398" s="75"/>
      <c r="I398" s="75"/>
      <c r="J398" s="75"/>
      <c r="K398" s="75"/>
      <c r="L398" s="135">
        <v>2.2610000000000001</v>
      </c>
      <c r="M398" s="135"/>
      <c r="N398" s="135"/>
      <c r="O398" s="135"/>
      <c r="P398" s="135">
        <v>2.2610000000000001</v>
      </c>
      <c r="Q398" s="135"/>
      <c r="R398" s="135"/>
      <c r="S398" s="135"/>
      <c r="T398" s="135"/>
      <c r="U398" s="135"/>
      <c r="V398" s="135"/>
      <c r="W398" s="135"/>
      <c r="X398" s="175"/>
      <c r="Y398" s="541" t="s">
        <v>297</v>
      </c>
    </row>
    <row r="399" spans="1:25" ht="24.6" hidden="1" customHeight="1">
      <c r="A399" s="573"/>
      <c r="B399" s="175" t="s">
        <v>287</v>
      </c>
      <c r="C399" s="175"/>
      <c r="D399" s="175"/>
      <c r="E399" s="175"/>
      <c r="F399" s="175"/>
      <c r="G399" s="75">
        <f>G400+G401</f>
        <v>0</v>
      </c>
      <c r="H399" s="75">
        <f t="shared" ref="H399:V399" si="193">H400+H401</f>
        <v>0</v>
      </c>
      <c r="I399" s="75">
        <f t="shared" si="193"/>
        <v>0</v>
      </c>
      <c r="J399" s="75">
        <f t="shared" si="193"/>
        <v>0</v>
      </c>
      <c r="K399" s="75">
        <f t="shared" si="193"/>
        <v>0</v>
      </c>
      <c r="L399" s="135">
        <f>L400+L401</f>
        <v>70843.399999999994</v>
      </c>
      <c r="M399" s="135">
        <f t="shared" ref="M399:P399" si="194">M400+M401</f>
        <v>0</v>
      </c>
      <c r="N399" s="135">
        <f t="shared" si="194"/>
        <v>0</v>
      </c>
      <c r="O399" s="135">
        <f t="shared" si="194"/>
        <v>12043.4</v>
      </c>
      <c r="P399" s="135">
        <f t="shared" si="194"/>
        <v>58800</v>
      </c>
      <c r="Q399" s="135">
        <f t="shared" si="193"/>
        <v>0</v>
      </c>
      <c r="R399" s="135"/>
      <c r="S399" s="135"/>
      <c r="T399" s="135"/>
      <c r="U399" s="135"/>
      <c r="V399" s="135">
        <f t="shared" si="193"/>
        <v>0</v>
      </c>
      <c r="W399" s="135"/>
      <c r="X399" s="175"/>
      <c r="Y399" s="541"/>
    </row>
    <row r="400" spans="1:25" ht="27" hidden="1" customHeight="1">
      <c r="A400" s="573"/>
      <c r="B400" s="175" t="s">
        <v>11</v>
      </c>
      <c r="C400" s="175"/>
      <c r="D400" s="175"/>
      <c r="E400" s="175"/>
      <c r="F400" s="175"/>
      <c r="G400" s="75"/>
      <c r="H400" s="75"/>
      <c r="I400" s="75"/>
      <c r="J400" s="75"/>
      <c r="K400" s="7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75"/>
      <c r="Y400" s="541"/>
    </row>
    <row r="401" spans="1:25" ht="24.6" hidden="1" customHeight="1">
      <c r="A401" s="574"/>
      <c r="B401" s="175" t="s">
        <v>35</v>
      </c>
      <c r="C401" s="175"/>
      <c r="D401" s="175"/>
      <c r="E401" s="175"/>
      <c r="F401" s="175"/>
      <c r="G401" s="75"/>
      <c r="H401" s="75"/>
      <c r="I401" s="75"/>
      <c r="J401" s="75"/>
      <c r="K401" s="75"/>
      <c r="L401" s="135">
        <f>87610-16766.6</f>
        <v>70843.399999999994</v>
      </c>
      <c r="M401" s="135"/>
      <c r="N401" s="135"/>
      <c r="O401" s="135">
        <v>12043.4</v>
      </c>
      <c r="P401" s="135">
        <v>58800</v>
      </c>
      <c r="Q401" s="135"/>
      <c r="R401" s="135"/>
      <c r="S401" s="135"/>
      <c r="T401" s="135"/>
      <c r="U401" s="135"/>
      <c r="V401" s="135"/>
      <c r="W401" s="135"/>
      <c r="X401" s="175"/>
      <c r="Y401" s="541"/>
    </row>
    <row r="402" spans="1:25" ht="24.9" customHeight="1">
      <c r="A402" s="571" t="s">
        <v>401</v>
      </c>
      <c r="B402" s="180" t="s">
        <v>91</v>
      </c>
      <c r="C402" s="180"/>
      <c r="D402" s="180"/>
      <c r="E402" s="180"/>
      <c r="F402" s="180"/>
      <c r="G402" s="80"/>
      <c r="H402" s="80"/>
      <c r="I402" s="80"/>
      <c r="J402" s="80"/>
      <c r="K402" s="80"/>
      <c r="L402" s="137"/>
      <c r="M402" s="135"/>
      <c r="N402" s="135"/>
      <c r="O402" s="135"/>
      <c r="P402" s="135"/>
      <c r="Q402" s="135">
        <v>2</v>
      </c>
      <c r="R402" s="135"/>
      <c r="S402" s="135"/>
      <c r="T402" s="135"/>
      <c r="U402" s="135">
        <v>2</v>
      </c>
      <c r="V402" s="135"/>
      <c r="W402" s="135"/>
      <c r="X402" s="175"/>
      <c r="Y402" s="541" t="s">
        <v>373</v>
      </c>
    </row>
    <row r="403" spans="1:25" ht="24.9" customHeight="1">
      <c r="A403" s="571"/>
      <c r="B403" s="180" t="s">
        <v>287</v>
      </c>
      <c r="C403" s="180"/>
      <c r="D403" s="180"/>
      <c r="E403" s="180"/>
      <c r="F403" s="180"/>
      <c r="G403" s="80">
        <f>G404+G405</f>
        <v>0</v>
      </c>
      <c r="H403" s="80">
        <f t="shared" ref="H403:V403" si="195">H404+H405</f>
        <v>0</v>
      </c>
      <c r="I403" s="80">
        <f t="shared" si="195"/>
        <v>0</v>
      </c>
      <c r="J403" s="80">
        <f t="shared" si="195"/>
        <v>0</v>
      </c>
      <c r="K403" s="80">
        <f t="shared" si="195"/>
        <v>0</v>
      </c>
      <c r="L403" s="137">
        <f t="shared" si="195"/>
        <v>0</v>
      </c>
      <c r="M403" s="135"/>
      <c r="N403" s="135"/>
      <c r="O403" s="135"/>
      <c r="P403" s="135"/>
      <c r="Q403" s="135">
        <f t="shared" si="195"/>
        <v>68432.000000000029</v>
      </c>
      <c r="R403" s="135"/>
      <c r="S403" s="135"/>
      <c r="T403" s="135">
        <v>45875.602000000021</v>
      </c>
      <c r="U403" s="135">
        <v>22900.197999999997</v>
      </c>
      <c r="V403" s="135">
        <f t="shared" si="195"/>
        <v>0</v>
      </c>
      <c r="W403" s="135">
        <f>W404+W405</f>
        <v>0</v>
      </c>
      <c r="X403" s="175"/>
      <c r="Y403" s="541"/>
    </row>
    <row r="404" spans="1:25" ht="27" customHeight="1">
      <c r="A404" s="571"/>
      <c r="B404" s="180" t="s">
        <v>11</v>
      </c>
      <c r="C404" s="180"/>
      <c r="D404" s="180"/>
      <c r="E404" s="180"/>
      <c r="F404" s="180"/>
      <c r="G404" s="80"/>
      <c r="H404" s="80"/>
      <c r="I404" s="80"/>
      <c r="J404" s="80"/>
      <c r="K404" s="80"/>
      <c r="L404" s="137"/>
      <c r="M404" s="135"/>
      <c r="N404" s="135"/>
      <c r="O404" s="135"/>
      <c r="P404" s="135"/>
      <c r="Q404" s="135">
        <f>T404+U404</f>
        <v>68432.000000000029</v>
      </c>
      <c r="R404" s="135"/>
      <c r="S404" s="135"/>
      <c r="T404" s="135">
        <v>45875.602000000021</v>
      </c>
      <c r="U404" s="135">
        <f>22900.198-343.8</f>
        <v>22556.398000000001</v>
      </c>
      <c r="V404" s="135"/>
      <c r="W404" s="135"/>
      <c r="X404" s="175"/>
      <c r="Y404" s="541"/>
    </row>
    <row r="405" spans="1:25" ht="24.9" customHeight="1">
      <c r="A405" s="571"/>
      <c r="B405" s="180" t="s">
        <v>615</v>
      </c>
      <c r="C405" s="180"/>
      <c r="D405" s="180"/>
      <c r="E405" s="180"/>
      <c r="F405" s="180"/>
      <c r="G405" s="80"/>
      <c r="H405" s="80"/>
      <c r="I405" s="80"/>
      <c r="J405" s="80"/>
      <c r="K405" s="80"/>
      <c r="L405" s="137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75"/>
      <c r="Y405" s="541"/>
    </row>
    <row r="406" spans="1:25" ht="0.6" customHeight="1">
      <c r="A406" s="556" t="s">
        <v>183</v>
      </c>
      <c r="B406" s="83" t="s">
        <v>91</v>
      </c>
      <c r="C406" s="175"/>
      <c r="D406" s="175"/>
      <c r="E406" s="175"/>
      <c r="F406" s="175"/>
      <c r="G406" s="81">
        <f>G410+G422+G414</f>
        <v>0.23</v>
      </c>
      <c r="H406" s="81">
        <f>H410+H422+H414</f>
        <v>0</v>
      </c>
      <c r="I406" s="81">
        <f>I410+I422+I414</f>
        <v>0</v>
      </c>
      <c r="J406" s="81">
        <f>J410+J422+J414</f>
        <v>0</v>
      </c>
      <c r="K406" s="81">
        <f>K410+K422+K414</f>
        <v>0.23</v>
      </c>
      <c r="L406" s="134">
        <f>L410+L422+L414+L418</f>
        <v>0</v>
      </c>
      <c r="M406" s="134"/>
      <c r="N406" s="134"/>
      <c r="O406" s="134"/>
      <c r="P406" s="134"/>
      <c r="Q406" s="134">
        <f>Q410+Q422+Q414</f>
        <v>0</v>
      </c>
      <c r="R406" s="134"/>
      <c r="S406" s="134"/>
      <c r="T406" s="134"/>
      <c r="U406" s="134"/>
      <c r="V406" s="134">
        <f>V410+V422+V414</f>
        <v>0</v>
      </c>
      <c r="W406" s="134"/>
      <c r="X406" s="175"/>
      <c r="Y406" s="175"/>
    </row>
    <row r="407" spans="1:25" ht="24.6" hidden="1" customHeight="1">
      <c r="A407" s="556"/>
      <c r="B407" s="83" t="s">
        <v>287</v>
      </c>
      <c r="C407" s="175"/>
      <c r="D407" s="175"/>
      <c r="E407" s="175"/>
      <c r="F407" s="175"/>
      <c r="G407" s="81">
        <f>G408+G409</f>
        <v>4787.9859999999999</v>
      </c>
      <c r="H407" s="81">
        <f t="shared" ref="H407:V407" si="196">H408+H409</f>
        <v>0</v>
      </c>
      <c r="I407" s="81">
        <f t="shared" si="196"/>
        <v>0</v>
      </c>
      <c r="J407" s="81">
        <f t="shared" si="196"/>
        <v>4787.9859999999999</v>
      </c>
      <c r="K407" s="81">
        <f t="shared" si="196"/>
        <v>0</v>
      </c>
      <c r="L407" s="134">
        <f t="shared" si="196"/>
        <v>336</v>
      </c>
      <c r="M407" s="134">
        <f t="shared" si="196"/>
        <v>0</v>
      </c>
      <c r="N407" s="134">
        <f t="shared" si="196"/>
        <v>0</v>
      </c>
      <c r="O407" s="134">
        <f t="shared" si="196"/>
        <v>0</v>
      </c>
      <c r="P407" s="134">
        <f t="shared" si="196"/>
        <v>336</v>
      </c>
      <c r="Q407" s="134">
        <f t="shared" si="196"/>
        <v>0</v>
      </c>
      <c r="R407" s="134"/>
      <c r="S407" s="134"/>
      <c r="T407" s="134"/>
      <c r="U407" s="134"/>
      <c r="V407" s="134">
        <f t="shared" si="196"/>
        <v>0</v>
      </c>
      <c r="W407" s="134"/>
      <c r="X407" s="175"/>
      <c r="Y407" s="175"/>
    </row>
    <row r="408" spans="1:25" ht="24.6" hidden="1" customHeight="1">
      <c r="A408" s="556"/>
      <c r="B408" s="83" t="s">
        <v>11</v>
      </c>
      <c r="C408" s="175"/>
      <c r="D408" s="175"/>
      <c r="E408" s="175"/>
      <c r="F408" s="175"/>
      <c r="G408" s="81">
        <f>G412+G424</f>
        <v>0</v>
      </c>
      <c r="H408" s="81">
        <f>H412+H424</f>
        <v>0</v>
      </c>
      <c r="I408" s="81">
        <f>I412+I424</f>
        <v>0</v>
      </c>
      <c r="J408" s="81">
        <f>J412+J424</f>
        <v>0</v>
      </c>
      <c r="K408" s="81">
        <f>K412+K424</f>
        <v>0</v>
      </c>
      <c r="L408" s="134">
        <f>L412+L424+L420</f>
        <v>336</v>
      </c>
      <c r="M408" s="134">
        <f>M412+M424+M420</f>
        <v>0</v>
      </c>
      <c r="N408" s="134">
        <f>N412+N424+N420</f>
        <v>0</v>
      </c>
      <c r="O408" s="134">
        <f>O412+O424+O420</f>
        <v>0</v>
      </c>
      <c r="P408" s="134">
        <f>P412+P424+P420</f>
        <v>336</v>
      </c>
      <c r="Q408" s="134">
        <f>Q412+Q424</f>
        <v>0</v>
      </c>
      <c r="R408" s="134"/>
      <c r="S408" s="134"/>
      <c r="T408" s="134"/>
      <c r="U408" s="134"/>
      <c r="V408" s="134">
        <f>V412+V424</f>
        <v>0</v>
      </c>
      <c r="W408" s="134"/>
      <c r="X408" s="175"/>
      <c r="Y408" s="175"/>
    </row>
    <row r="409" spans="1:25" ht="22.95" hidden="1" customHeight="1">
      <c r="A409" s="556"/>
      <c r="B409" s="83" t="s">
        <v>35</v>
      </c>
      <c r="C409" s="175"/>
      <c r="D409" s="175"/>
      <c r="E409" s="175"/>
      <c r="F409" s="175"/>
      <c r="G409" s="81">
        <f t="shared" ref="G409:L409" si="197">G413+G425+G417</f>
        <v>4787.9859999999999</v>
      </c>
      <c r="H409" s="81">
        <f t="shared" si="197"/>
        <v>0</v>
      </c>
      <c r="I409" s="81">
        <f t="shared" si="197"/>
        <v>0</v>
      </c>
      <c r="J409" s="81">
        <f t="shared" si="197"/>
        <v>4787.9859999999999</v>
      </c>
      <c r="K409" s="81">
        <f t="shared" si="197"/>
        <v>0</v>
      </c>
      <c r="L409" s="134">
        <f t="shared" si="197"/>
        <v>0</v>
      </c>
      <c r="M409" s="134"/>
      <c r="N409" s="134"/>
      <c r="O409" s="134"/>
      <c r="P409" s="134"/>
      <c r="Q409" s="134">
        <f>Q413+Q425+Q417</f>
        <v>0</v>
      </c>
      <c r="R409" s="134"/>
      <c r="S409" s="134"/>
      <c r="T409" s="134"/>
      <c r="U409" s="134"/>
      <c r="V409" s="134">
        <f>V413+V425+V417</f>
        <v>0</v>
      </c>
      <c r="W409" s="134"/>
      <c r="X409" s="175"/>
      <c r="Y409" s="175"/>
    </row>
    <row r="410" spans="1:25" ht="24.6" hidden="1" customHeight="1">
      <c r="A410" s="577" t="s">
        <v>251</v>
      </c>
      <c r="B410" s="180" t="s">
        <v>91</v>
      </c>
      <c r="C410" s="180"/>
      <c r="D410" s="180"/>
      <c r="E410" s="180"/>
      <c r="F410" s="180"/>
      <c r="G410" s="80">
        <f>SUM(H410:K410)</f>
        <v>0.23</v>
      </c>
      <c r="H410" s="80"/>
      <c r="I410" s="80"/>
      <c r="J410" s="80"/>
      <c r="K410" s="80">
        <v>0.23</v>
      </c>
      <c r="L410" s="137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75"/>
      <c r="Y410" s="533"/>
    </row>
    <row r="411" spans="1:25" ht="24.6" hidden="1" customHeight="1">
      <c r="A411" s="578"/>
      <c r="B411" s="180" t="s">
        <v>287</v>
      </c>
      <c r="C411" s="180"/>
      <c r="D411" s="180"/>
      <c r="E411" s="180"/>
      <c r="F411" s="180"/>
      <c r="G411" s="80">
        <f>G412+G413</f>
        <v>4787.9859999999999</v>
      </c>
      <c r="H411" s="80">
        <f t="shared" ref="H411:V411" si="198">H412+H413</f>
        <v>0</v>
      </c>
      <c r="I411" s="80">
        <f t="shared" si="198"/>
        <v>0</v>
      </c>
      <c r="J411" s="80">
        <f t="shared" si="198"/>
        <v>4787.9859999999999</v>
      </c>
      <c r="K411" s="80">
        <f t="shared" si="198"/>
        <v>0</v>
      </c>
      <c r="L411" s="137">
        <f t="shared" si="198"/>
        <v>0</v>
      </c>
      <c r="M411" s="135"/>
      <c r="N411" s="135"/>
      <c r="O411" s="135"/>
      <c r="P411" s="135"/>
      <c r="Q411" s="135">
        <f t="shared" si="198"/>
        <v>0</v>
      </c>
      <c r="R411" s="135"/>
      <c r="S411" s="135"/>
      <c r="T411" s="135"/>
      <c r="U411" s="135"/>
      <c r="V411" s="135">
        <f t="shared" si="198"/>
        <v>0</v>
      </c>
      <c r="W411" s="135"/>
      <c r="X411" s="175"/>
      <c r="Y411" s="534"/>
    </row>
    <row r="412" spans="1:25" ht="24.6" hidden="1" customHeight="1">
      <c r="A412" s="578"/>
      <c r="B412" s="180" t="s">
        <v>11</v>
      </c>
      <c r="C412" s="180"/>
      <c r="D412" s="180"/>
      <c r="E412" s="180"/>
      <c r="F412" s="180"/>
      <c r="G412" s="80">
        <f>SUM(H412:K412)</f>
        <v>0</v>
      </c>
      <c r="H412" s="80"/>
      <c r="I412" s="80"/>
      <c r="J412" s="80"/>
      <c r="K412" s="80"/>
      <c r="L412" s="137">
        <v>0</v>
      </c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75"/>
      <c r="Y412" s="534"/>
    </row>
    <row r="413" spans="1:25" ht="24.6" hidden="1" customHeight="1">
      <c r="A413" s="579"/>
      <c r="B413" s="180" t="s">
        <v>35</v>
      </c>
      <c r="C413" s="180"/>
      <c r="D413" s="180"/>
      <c r="E413" s="180"/>
      <c r="F413" s="180"/>
      <c r="G413" s="80">
        <f>SUM(H413:K413)</f>
        <v>4787.9859999999999</v>
      </c>
      <c r="H413" s="80"/>
      <c r="I413" s="80"/>
      <c r="J413" s="80">
        <v>4787.9859999999999</v>
      </c>
      <c r="K413" s="80"/>
      <c r="L413" s="137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75"/>
      <c r="Y413" s="535"/>
    </row>
    <row r="414" spans="1:25" ht="0.6" hidden="1" customHeight="1">
      <c r="A414" s="577" t="s">
        <v>332</v>
      </c>
      <c r="B414" s="175" t="s">
        <v>91</v>
      </c>
      <c r="C414" s="175"/>
      <c r="D414" s="175"/>
      <c r="E414" s="175"/>
      <c r="F414" s="175"/>
      <c r="G414" s="75"/>
      <c r="H414" s="75"/>
      <c r="I414" s="75"/>
      <c r="J414" s="75"/>
      <c r="K414" s="7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75"/>
      <c r="Y414" s="533" t="s">
        <v>339</v>
      </c>
    </row>
    <row r="415" spans="1:25" ht="0.6" hidden="1" customHeight="1">
      <c r="A415" s="578"/>
      <c r="B415" s="175" t="s">
        <v>287</v>
      </c>
      <c r="C415" s="175"/>
      <c r="D415" s="175"/>
      <c r="E415" s="175"/>
      <c r="F415" s="175"/>
      <c r="G415" s="75">
        <f>G416+G417</f>
        <v>0</v>
      </c>
      <c r="H415" s="75">
        <f t="shared" ref="H415:V415" si="199">H416+H417</f>
        <v>0</v>
      </c>
      <c r="I415" s="75">
        <f t="shared" si="199"/>
        <v>0</v>
      </c>
      <c r="J415" s="75">
        <f t="shared" si="199"/>
        <v>0</v>
      </c>
      <c r="K415" s="75">
        <f t="shared" si="199"/>
        <v>0</v>
      </c>
      <c r="L415" s="135">
        <f t="shared" si="199"/>
        <v>0</v>
      </c>
      <c r="M415" s="135"/>
      <c r="N415" s="135"/>
      <c r="O415" s="135"/>
      <c r="P415" s="135"/>
      <c r="Q415" s="135">
        <f>Q416+Q417</f>
        <v>0</v>
      </c>
      <c r="R415" s="135"/>
      <c r="S415" s="135"/>
      <c r="T415" s="135"/>
      <c r="U415" s="135"/>
      <c r="V415" s="135">
        <f t="shared" si="199"/>
        <v>0</v>
      </c>
      <c r="W415" s="135"/>
      <c r="X415" s="175"/>
      <c r="Y415" s="534"/>
    </row>
    <row r="416" spans="1:25" ht="24.6" hidden="1" customHeight="1">
      <c r="A416" s="578"/>
      <c r="B416" s="175" t="s">
        <v>11</v>
      </c>
      <c r="C416" s="175"/>
      <c r="D416" s="175"/>
      <c r="E416" s="175"/>
      <c r="F416" s="175"/>
      <c r="G416" s="75"/>
      <c r="H416" s="75"/>
      <c r="I416" s="75"/>
      <c r="J416" s="75"/>
      <c r="K416" s="7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75"/>
      <c r="Y416" s="534"/>
    </row>
    <row r="417" spans="1:25" ht="24.6" hidden="1" customHeight="1">
      <c r="A417" s="579"/>
      <c r="B417" s="175" t="s">
        <v>35</v>
      </c>
      <c r="C417" s="175"/>
      <c r="D417" s="175"/>
      <c r="E417" s="175"/>
      <c r="F417" s="175"/>
      <c r="G417" s="75"/>
      <c r="H417" s="75"/>
      <c r="I417" s="75"/>
      <c r="J417" s="75"/>
      <c r="K417" s="7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75"/>
      <c r="Y417" s="535"/>
    </row>
    <row r="418" spans="1:25" ht="24.6" hidden="1" customHeight="1">
      <c r="A418" s="577" t="s">
        <v>345</v>
      </c>
      <c r="B418" s="175" t="s">
        <v>91</v>
      </c>
      <c r="C418" s="175"/>
      <c r="D418" s="175"/>
      <c r="E418" s="175"/>
      <c r="F418" s="175"/>
      <c r="G418" s="75"/>
      <c r="H418" s="75"/>
      <c r="I418" s="75"/>
      <c r="J418" s="75"/>
      <c r="K418" s="7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75"/>
      <c r="Y418" s="533" t="s">
        <v>344</v>
      </c>
    </row>
    <row r="419" spans="1:25" ht="24.6" hidden="1" customHeight="1">
      <c r="A419" s="578"/>
      <c r="B419" s="175" t="s">
        <v>287</v>
      </c>
      <c r="C419" s="175"/>
      <c r="D419" s="175"/>
      <c r="E419" s="175"/>
      <c r="F419" s="175"/>
      <c r="G419" s="75">
        <f>G420+G421</f>
        <v>0</v>
      </c>
      <c r="H419" s="75">
        <f t="shared" ref="H419:P419" si="200">H420+H421</f>
        <v>0</v>
      </c>
      <c r="I419" s="75">
        <f t="shared" si="200"/>
        <v>0</v>
      </c>
      <c r="J419" s="75">
        <f t="shared" si="200"/>
        <v>0</v>
      </c>
      <c r="K419" s="75">
        <f t="shared" si="200"/>
        <v>0</v>
      </c>
      <c r="L419" s="135">
        <f t="shared" si="200"/>
        <v>336</v>
      </c>
      <c r="M419" s="135">
        <f t="shared" si="200"/>
        <v>0</v>
      </c>
      <c r="N419" s="135">
        <f t="shared" si="200"/>
        <v>0</v>
      </c>
      <c r="O419" s="135">
        <f t="shared" si="200"/>
        <v>0</v>
      </c>
      <c r="P419" s="135">
        <f t="shared" si="200"/>
        <v>336</v>
      </c>
      <c r="Q419" s="135">
        <f>Q420+Q421</f>
        <v>0</v>
      </c>
      <c r="R419" s="135"/>
      <c r="S419" s="135"/>
      <c r="T419" s="135"/>
      <c r="U419" s="135"/>
      <c r="V419" s="135">
        <f t="shared" ref="V419" si="201">V420+V421</f>
        <v>0</v>
      </c>
      <c r="W419" s="135"/>
      <c r="X419" s="175"/>
      <c r="Y419" s="534"/>
    </row>
    <row r="420" spans="1:25" ht="24.6" hidden="1" customHeight="1">
      <c r="A420" s="578"/>
      <c r="B420" s="175" t="s">
        <v>11</v>
      </c>
      <c r="C420" s="175"/>
      <c r="D420" s="175"/>
      <c r="E420" s="175"/>
      <c r="F420" s="175"/>
      <c r="G420" s="75"/>
      <c r="H420" s="75"/>
      <c r="I420" s="75"/>
      <c r="J420" s="75"/>
      <c r="K420" s="75"/>
      <c r="L420" s="135">
        <v>336</v>
      </c>
      <c r="M420" s="135"/>
      <c r="N420" s="135"/>
      <c r="O420" s="135"/>
      <c r="P420" s="135">
        <v>336</v>
      </c>
      <c r="Q420" s="135"/>
      <c r="R420" s="135"/>
      <c r="S420" s="135"/>
      <c r="T420" s="135"/>
      <c r="U420" s="135"/>
      <c r="V420" s="135"/>
      <c r="W420" s="135"/>
      <c r="X420" s="175"/>
      <c r="Y420" s="534"/>
    </row>
    <row r="421" spans="1:25" ht="24.6" hidden="1" customHeight="1">
      <c r="A421" s="579"/>
      <c r="B421" s="175" t="s">
        <v>35</v>
      </c>
      <c r="C421" s="175"/>
      <c r="D421" s="175"/>
      <c r="E421" s="175"/>
      <c r="F421" s="175"/>
      <c r="G421" s="75"/>
      <c r="H421" s="75"/>
      <c r="I421" s="75"/>
      <c r="J421" s="75"/>
      <c r="K421" s="7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75"/>
      <c r="Y421" s="535"/>
    </row>
    <row r="422" spans="1:25" ht="24.6" hidden="1" customHeight="1">
      <c r="A422" s="571" t="s">
        <v>271</v>
      </c>
      <c r="B422" s="175" t="s">
        <v>91</v>
      </c>
      <c r="C422" s="175"/>
      <c r="D422" s="175"/>
      <c r="E422" s="175"/>
      <c r="F422" s="175"/>
      <c r="G422" s="75"/>
      <c r="H422" s="75"/>
      <c r="I422" s="75"/>
      <c r="J422" s="75"/>
      <c r="K422" s="75"/>
      <c r="L422" s="135"/>
      <c r="M422" s="135"/>
      <c r="N422" s="135"/>
      <c r="O422" s="135"/>
      <c r="P422" s="135"/>
      <c r="Q422" s="135">
        <v>0</v>
      </c>
      <c r="R422" s="135"/>
      <c r="S422" s="135"/>
      <c r="T422" s="135"/>
      <c r="U422" s="135"/>
      <c r="V422" s="135">
        <v>0</v>
      </c>
      <c r="W422" s="135"/>
      <c r="X422" s="175"/>
      <c r="Y422" s="541" t="s">
        <v>266</v>
      </c>
    </row>
    <row r="423" spans="1:25" ht="31.2" hidden="1" customHeight="1">
      <c r="A423" s="571"/>
      <c r="B423" s="175" t="s">
        <v>287</v>
      </c>
      <c r="C423" s="175"/>
      <c r="D423" s="175"/>
      <c r="E423" s="175"/>
      <c r="F423" s="175"/>
      <c r="G423" s="75">
        <f>G424+G425</f>
        <v>0</v>
      </c>
      <c r="H423" s="75">
        <f t="shared" ref="H423:V423" si="202">H424+H425</f>
        <v>0</v>
      </c>
      <c r="I423" s="75">
        <f t="shared" si="202"/>
        <v>0</v>
      </c>
      <c r="J423" s="75">
        <f t="shared" si="202"/>
        <v>0</v>
      </c>
      <c r="K423" s="75">
        <f t="shared" si="202"/>
        <v>0</v>
      </c>
      <c r="L423" s="135">
        <f t="shared" si="202"/>
        <v>0</v>
      </c>
      <c r="M423" s="135"/>
      <c r="N423" s="135"/>
      <c r="O423" s="135"/>
      <c r="P423" s="135"/>
      <c r="Q423" s="135">
        <f t="shared" si="202"/>
        <v>0</v>
      </c>
      <c r="R423" s="135"/>
      <c r="S423" s="135"/>
      <c r="T423" s="135"/>
      <c r="U423" s="135"/>
      <c r="V423" s="135">
        <f t="shared" si="202"/>
        <v>0</v>
      </c>
      <c r="W423" s="135"/>
      <c r="X423" s="175"/>
      <c r="Y423" s="541"/>
    </row>
    <row r="424" spans="1:25" ht="27" hidden="1" customHeight="1">
      <c r="A424" s="571"/>
      <c r="B424" s="175" t="s">
        <v>11</v>
      </c>
      <c r="C424" s="175"/>
      <c r="D424" s="175"/>
      <c r="E424" s="175"/>
      <c r="F424" s="175"/>
      <c r="G424" s="75"/>
      <c r="H424" s="75"/>
      <c r="I424" s="75"/>
      <c r="J424" s="75"/>
      <c r="K424" s="7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75"/>
      <c r="Y424" s="541"/>
    </row>
    <row r="425" spans="1:25" ht="24.6" hidden="1" customHeight="1">
      <c r="A425" s="571"/>
      <c r="B425" s="175" t="s">
        <v>35</v>
      </c>
      <c r="C425" s="175"/>
      <c r="D425" s="175"/>
      <c r="E425" s="175"/>
      <c r="F425" s="175"/>
      <c r="G425" s="75"/>
      <c r="H425" s="75"/>
      <c r="I425" s="75"/>
      <c r="J425" s="75"/>
      <c r="K425" s="7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75"/>
      <c r="Y425" s="541"/>
    </row>
    <row r="426" spans="1:25" ht="24.9" customHeight="1">
      <c r="A426" s="567" t="s">
        <v>23</v>
      </c>
      <c r="B426" s="83" t="s">
        <v>287</v>
      </c>
      <c r="C426" s="83"/>
      <c r="D426" s="83"/>
      <c r="E426" s="83"/>
      <c r="F426" s="83"/>
      <c r="G426" s="81">
        <f>G427+G428</f>
        <v>25096.400000000001</v>
      </c>
      <c r="H426" s="81">
        <f t="shared" ref="H426:W426" si="203">H427+H428</f>
        <v>8024.41</v>
      </c>
      <c r="I426" s="81">
        <f t="shared" si="203"/>
        <v>2747.3</v>
      </c>
      <c r="J426" s="81">
        <f t="shared" si="203"/>
        <v>10603.4</v>
      </c>
      <c r="K426" s="81">
        <f t="shared" si="203"/>
        <v>3721.29</v>
      </c>
      <c r="L426" s="134">
        <f t="shared" si="203"/>
        <v>21664.120000000003</v>
      </c>
      <c r="M426" s="134">
        <f t="shared" si="203"/>
        <v>339.3</v>
      </c>
      <c r="N426" s="134">
        <f t="shared" si="203"/>
        <v>5471.42</v>
      </c>
      <c r="O426" s="134">
        <f t="shared" si="203"/>
        <v>328.3</v>
      </c>
      <c r="P426" s="134">
        <f t="shared" si="203"/>
        <v>15525.1</v>
      </c>
      <c r="Q426" s="134">
        <f t="shared" si="203"/>
        <v>50630</v>
      </c>
      <c r="R426" s="134">
        <f t="shared" si="203"/>
        <v>0</v>
      </c>
      <c r="S426" s="134">
        <f t="shared" si="203"/>
        <v>0</v>
      </c>
      <c r="T426" s="134">
        <f t="shared" si="203"/>
        <v>10040.799999999999</v>
      </c>
      <c r="U426" s="134">
        <f t="shared" si="203"/>
        <v>40589.199999999997</v>
      </c>
      <c r="V426" s="134">
        <f t="shared" si="203"/>
        <v>16444.5</v>
      </c>
      <c r="W426" s="134">
        <f t="shared" si="203"/>
        <v>42620.5</v>
      </c>
      <c r="X426" s="175"/>
      <c r="Y426" s="536" t="s">
        <v>690</v>
      </c>
    </row>
    <row r="427" spans="1:25" ht="24.9" customHeight="1">
      <c r="A427" s="567"/>
      <c r="B427" s="83" t="s">
        <v>11</v>
      </c>
      <c r="C427" s="83"/>
      <c r="D427" s="83"/>
      <c r="E427" s="83"/>
      <c r="F427" s="83"/>
      <c r="G427" s="81">
        <f>SUM(H427:K427)</f>
        <v>17400</v>
      </c>
      <c r="H427" s="81">
        <v>8024.41</v>
      </c>
      <c r="I427" s="81">
        <f>2747.3</f>
        <v>2747.3</v>
      </c>
      <c r="J427" s="81">
        <v>2907</v>
      </c>
      <c r="K427" s="81">
        <f>5321.29-1600</f>
        <v>3721.29</v>
      </c>
      <c r="L427" s="134">
        <f>M427+N427+O427+P427</f>
        <v>6139.02</v>
      </c>
      <c r="M427" s="134">
        <v>339.3</v>
      </c>
      <c r="N427" s="134">
        <v>5471.42</v>
      </c>
      <c r="O427" s="134">
        <v>328.3</v>
      </c>
      <c r="P427" s="134">
        <v>0</v>
      </c>
      <c r="Q427" s="134">
        <f>SUM(R427:U427)</f>
        <v>50630</v>
      </c>
      <c r="R427" s="134"/>
      <c r="S427" s="134"/>
      <c r="T427" s="134">
        <v>10040.799999999999</v>
      </c>
      <c r="U427" s="134">
        <f>15678+4411.2+66.5+20500-66.5</f>
        <v>40589.199999999997</v>
      </c>
      <c r="V427" s="134">
        <v>16444.5</v>
      </c>
      <c r="W427" s="134">
        <v>42620.5</v>
      </c>
      <c r="X427" s="175"/>
      <c r="Y427" s="537"/>
    </row>
    <row r="428" spans="1:25" ht="52.2" customHeight="1">
      <c r="A428" s="567"/>
      <c r="B428" s="83" t="s">
        <v>615</v>
      </c>
      <c r="C428" s="83"/>
      <c r="D428" s="83"/>
      <c r="E428" s="83"/>
      <c r="F428" s="83"/>
      <c r="G428" s="81">
        <f>SUM(H428:K428)</f>
        <v>7696.4</v>
      </c>
      <c r="H428" s="81"/>
      <c r="I428" s="81"/>
      <c r="J428" s="81">
        <v>7696.4</v>
      </c>
      <c r="K428" s="81"/>
      <c r="L428" s="134">
        <f>15525.1</f>
        <v>15525.1</v>
      </c>
      <c r="M428" s="134"/>
      <c r="N428" s="134"/>
      <c r="O428" s="134"/>
      <c r="P428" s="134">
        <v>15525.1</v>
      </c>
      <c r="Q428" s="134"/>
      <c r="R428" s="134"/>
      <c r="S428" s="134"/>
      <c r="T428" s="134"/>
      <c r="U428" s="134"/>
      <c r="V428" s="134"/>
      <c r="W428" s="134"/>
      <c r="X428" s="175"/>
      <c r="Y428" s="538"/>
    </row>
    <row r="429" spans="1:25" ht="24.9" customHeight="1">
      <c r="A429" s="568" t="s">
        <v>337</v>
      </c>
      <c r="B429" s="83" t="s">
        <v>695</v>
      </c>
      <c r="C429" s="83"/>
      <c r="D429" s="83"/>
      <c r="E429" s="83"/>
      <c r="F429" s="83"/>
      <c r="G429" s="81"/>
      <c r="H429" s="81"/>
      <c r="I429" s="81"/>
      <c r="J429" s="81"/>
      <c r="K429" s="81"/>
      <c r="L429" s="134"/>
      <c r="M429" s="134"/>
      <c r="N429" s="134"/>
      <c r="O429" s="134"/>
      <c r="P429" s="134"/>
      <c r="Q429" s="134">
        <v>1</v>
      </c>
      <c r="R429" s="134"/>
      <c r="S429" s="134"/>
      <c r="T429" s="134"/>
      <c r="U429" s="134">
        <v>1</v>
      </c>
      <c r="V429" s="134"/>
      <c r="W429" s="134"/>
      <c r="X429" s="533" t="s">
        <v>687</v>
      </c>
      <c r="Y429" s="533" t="s">
        <v>697</v>
      </c>
    </row>
    <row r="430" spans="1:25" ht="24.9" customHeight="1">
      <c r="A430" s="569"/>
      <c r="B430" s="83" t="s">
        <v>25</v>
      </c>
      <c r="C430" s="83"/>
      <c r="D430" s="83"/>
      <c r="E430" s="83"/>
      <c r="F430" s="83"/>
      <c r="G430" s="81"/>
      <c r="H430" s="81"/>
      <c r="I430" s="81"/>
      <c r="J430" s="81"/>
      <c r="K430" s="81"/>
      <c r="L430" s="134" t="s">
        <v>348</v>
      </c>
      <c r="M430" s="134"/>
      <c r="N430" s="134"/>
      <c r="O430" s="134"/>
      <c r="P430" s="134"/>
      <c r="Q430" s="134">
        <f>Q431/Q429</f>
        <v>74574</v>
      </c>
      <c r="R430" s="134"/>
      <c r="S430" s="134"/>
      <c r="T430" s="134"/>
      <c r="U430" s="134">
        <f t="shared" ref="U430" si="204">U431/U429</f>
        <v>74574</v>
      </c>
      <c r="V430" s="134"/>
      <c r="W430" s="134"/>
      <c r="X430" s="534"/>
      <c r="Y430" s="534"/>
    </row>
    <row r="431" spans="1:25" ht="24.9" customHeight="1">
      <c r="A431" s="569"/>
      <c r="B431" s="83" t="s">
        <v>26</v>
      </c>
      <c r="C431" s="83"/>
      <c r="D431" s="83"/>
      <c r="E431" s="83"/>
      <c r="F431" s="83"/>
      <c r="G431" s="81"/>
      <c r="H431" s="81"/>
      <c r="I431" s="81"/>
      <c r="J431" s="81"/>
      <c r="K431" s="81"/>
      <c r="L431" s="134">
        <f>SUM(L435:L437)</f>
        <v>0</v>
      </c>
      <c r="M431" s="134">
        <f t="shared" ref="M431:P431" si="205">SUM(M435:M437)</f>
        <v>0</v>
      </c>
      <c r="N431" s="134">
        <f t="shared" si="205"/>
        <v>0</v>
      </c>
      <c r="O431" s="134">
        <f t="shared" si="205"/>
        <v>0</v>
      </c>
      <c r="P431" s="134">
        <f t="shared" si="205"/>
        <v>0</v>
      </c>
      <c r="Q431" s="134">
        <f>SUM(Q435:Q437)</f>
        <v>74574</v>
      </c>
      <c r="R431" s="134"/>
      <c r="S431" s="134"/>
      <c r="T431" s="134"/>
      <c r="U431" s="134">
        <f>U435</f>
        <v>74574</v>
      </c>
      <c r="V431" s="134">
        <f>SUM(V435:V437)</f>
        <v>0</v>
      </c>
      <c r="W431" s="134">
        <v>0</v>
      </c>
      <c r="X431" s="534"/>
      <c r="Y431" s="534"/>
    </row>
    <row r="432" spans="1:25" ht="24.9" customHeight="1">
      <c r="A432" s="570"/>
      <c r="B432" s="83" t="s">
        <v>10</v>
      </c>
      <c r="C432" s="83"/>
      <c r="D432" s="83"/>
      <c r="E432" s="83"/>
      <c r="F432" s="83"/>
      <c r="G432" s="81"/>
      <c r="H432" s="81"/>
      <c r="I432" s="81"/>
      <c r="J432" s="81"/>
      <c r="K432" s="81"/>
      <c r="L432" s="134"/>
      <c r="M432" s="134"/>
      <c r="N432" s="134"/>
      <c r="O432" s="134"/>
      <c r="P432" s="134"/>
      <c r="Q432" s="134"/>
      <c r="R432" s="134"/>
      <c r="S432" s="134"/>
      <c r="T432" s="134"/>
      <c r="U432" s="134"/>
      <c r="V432" s="134"/>
      <c r="W432" s="134"/>
      <c r="X432" s="534"/>
      <c r="Y432" s="534"/>
    </row>
    <row r="433" spans="1:32" ht="24.9" customHeight="1">
      <c r="A433" s="568" t="s">
        <v>698</v>
      </c>
      <c r="B433" s="83" t="s">
        <v>695</v>
      </c>
      <c r="C433" s="83"/>
      <c r="D433" s="83"/>
      <c r="E433" s="83"/>
      <c r="F433" s="83"/>
      <c r="G433" s="81"/>
      <c r="H433" s="81"/>
      <c r="I433" s="81"/>
      <c r="J433" s="81"/>
      <c r="K433" s="81"/>
      <c r="L433" s="134"/>
      <c r="M433" s="134"/>
      <c r="N433" s="134"/>
      <c r="O433" s="134"/>
      <c r="P433" s="134"/>
      <c r="Q433" s="134">
        <v>1</v>
      </c>
      <c r="R433" s="134"/>
      <c r="S433" s="134"/>
      <c r="T433" s="134"/>
      <c r="U433" s="134">
        <v>1</v>
      </c>
      <c r="V433" s="134"/>
      <c r="W433" s="134"/>
      <c r="X433" s="534"/>
      <c r="Y433" s="534"/>
    </row>
    <row r="434" spans="1:32" ht="24.9" customHeight="1">
      <c r="A434" s="569"/>
      <c r="B434" s="83" t="s">
        <v>25</v>
      </c>
      <c r="C434" s="83"/>
      <c r="D434" s="83"/>
      <c r="E434" s="83"/>
      <c r="F434" s="83"/>
      <c r="G434" s="81"/>
      <c r="H434" s="81"/>
      <c r="I434" s="81"/>
      <c r="J434" s="81"/>
      <c r="K434" s="81"/>
      <c r="L434" s="134"/>
      <c r="M434" s="134"/>
      <c r="N434" s="134"/>
      <c r="O434" s="134"/>
      <c r="P434" s="134"/>
      <c r="Q434" s="134">
        <f>Q435/Q433</f>
        <v>74574</v>
      </c>
      <c r="R434" s="134"/>
      <c r="S434" s="134"/>
      <c r="T434" s="134"/>
      <c r="U434" s="134">
        <f>U435/U433</f>
        <v>74574</v>
      </c>
      <c r="V434" s="134"/>
      <c r="W434" s="134"/>
      <c r="X434" s="534"/>
      <c r="Y434" s="534"/>
    </row>
    <row r="435" spans="1:32" ht="50.4" customHeight="1">
      <c r="A435" s="569"/>
      <c r="B435" s="83" t="s">
        <v>11</v>
      </c>
      <c r="C435" s="83"/>
      <c r="D435" s="83"/>
      <c r="E435" s="83"/>
      <c r="F435" s="83"/>
      <c r="G435" s="81"/>
      <c r="H435" s="81"/>
      <c r="I435" s="81"/>
      <c r="J435" s="81"/>
      <c r="K435" s="81"/>
      <c r="L435" s="135">
        <v>0</v>
      </c>
      <c r="M435" s="135"/>
      <c r="N435" s="135"/>
      <c r="O435" s="135"/>
      <c r="P435" s="135"/>
      <c r="Q435" s="135">
        <f>U435</f>
        <v>74574</v>
      </c>
      <c r="R435" s="135"/>
      <c r="S435" s="135"/>
      <c r="T435" s="135"/>
      <c r="U435" s="135">
        <f>71100+3474</f>
        <v>74574</v>
      </c>
      <c r="V435" s="135"/>
      <c r="W435" s="135"/>
      <c r="X435" s="534"/>
      <c r="Y435" s="534"/>
    </row>
    <row r="436" spans="1:32" ht="24.9" hidden="1" customHeight="1">
      <c r="A436" s="569"/>
      <c r="B436" s="83" t="s">
        <v>615</v>
      </c>
      <c r="C436" s="83"/>
      <c r="D436" s="83"/>
      <c r="E436" s="83"/>
      <c r="F436" s="83"/>
      <c r="G436" s="81"/>
      <c r="H436" s="81"/>
      <c r="I436" s="81"/>
      <c r="J436" s="81"/>
      <c r="K436" s="81"/>
      <c r="L436" s="135">
        <v>0</v>
      </c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534"/>
      <c r="Y436" s="534"/>
    </row>
    <row r="437" spans="1:32" ht="24.6" hidden="1" customHeight="1">
      <c r="A437" s="570"/>
      <c r="B437" s="83" t="s">
        <v>665</v>
      </c>
      <c r="C437" s="83"/>
      <c r="D437" s="83"/>
      <c r="E437" s="83"/>
      <c r="F437" s="83"/>
      <c r="G437" s="81"/>
      <c r="H437" s="81"/>
      <c r="I437" s="81"/>
      <c r="J437" s="81"/>
      <c r="K437" s="81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535"/>
      <c r="Y437" s="535"/>
    </row>
    <row r="438" spans="1:32" ht="24.9" customHeight="1">
      <c r="A438" s="539" t="s">
        <v>238</v>
      </c>
      <c r="B438" s="83" t="s">
        <v>91</v>
      </c>
      <c r="C438" s="83"/>
      <c r="D438" s="83"/>
      <c r="E438" s="83"/>
      <c r="F438" s="83"/>
      <c r="G438" s="81">
        <f>K438</f>
        <v>20.032999999999998</v>
      </c>
      <c r="H438" s="81"/>
      <c r="I438" s="81"/>
      <c r="J438" s="81"/>
      <c r="K438" s="81">
        <f t="shared" ref="K438:P438" si="206">K446+K454+K464+K472+K482+K488+K496+K506+K520+K532+K546+K550+K556+K562+K572+K578+K586+K600+K606+K624+K630+K644+K654+K662+K674+K680+K688+K696+K706+K712</f>
        <v>20.032999999999998</v>
      </c>
      <c r="L438" s="134">
        <f t="shared" si="206"/>
        <v>17.094999999999999</v>
      </c>
      <c r="M438" s="134">
        <f t="shared" si="206"/>
        <v>9.8570000000000011</v>
      </c>
      <c r="N438" s="134">
        <f t="shared" si="206"/>
        <v>1.143</v>
      </c>
      <c r="O438" s="134">
        <f t="shared" si="206"/>
        <v>5.3950000000000005</v>
      </c>
      <c r="P438" s="134">
        <f t="shared" si="206"/>
        <v>0.7</v>
      </c>
      <c r="Q438" s="134">
        <f>Q454+Q464+Q488+Q496+Q506+Q520+Q532+Q546+Q550+Q556+Q562+Q572+Q578+Q586+Q600+Q606+Q624+Q630+Q644+Q662+Q674+Q680+Q688+Q696+Q712</f>
        <v>5.6729999999999992</v>
      </c>
      <c r="R438" s="134">
        <f t="shared" ref="R438:S438" si="207">R454+R464+R488+R496+R506+R520+R532+R546+R550+R556+R562+R572+R578+R586+R600+R606+R624+R630+R644+R662+R674+R680+R688+R696+R712</f>
        <v>0</v>
      </c>
      <c r="S438" s="134">
        <f t="shared" si="207"/>
        <v>0</v>
      </c>
      <c r="T438" s="134"/>
      <c r="U438" s="134"/>
      <c r="V438" s="134">
        <f>V454+V464+V488+V496+V506+V520+V532+V546+V550+V556+V562+V572+V578+V586+V600+V606+V624+V630+V644+V662+V674+V680+V688+V696+V712+V482</f>
        <v>12.732000000000001</v>
      </c>
      <c r="W438" s="134">
        <f>W454+W464+W488+W496+W506+W520+W532+W546+W550+W556+W562+W572+W578+W586+W600+W606+W624+W630+W644+W662+W674+W680+W688+W696+W712+W482+W706</f>
        <v>9.4280000000000008</v>
      </c>
      <c r="X438" s="541" t="s">
        <v>27</v>
      </c>
      <c r="Y438" s="541" t="s">
        <v>319</v>
      </c>
    </row>
    <row r="439" spans="1:32" ht="24.9" customHeight="1">
      <c r="A439" s="539"/>
      <c r="B439" s="83" t="s">
        <v>25</v>
      </c>
      <c r="C439" s="83"/>
      <c r="D439" s="83"/>
      <c r="E439" s="83"/>
      <c r="F439" s="83"/>
      <c r="G439" s="81">
        <f>G440/G438</f>
        <v>27147.006139869216</v>
      </c>
      <c r="H439" s="81"/>
      <c r="I439" s="81"/>
      <c r="J439" s="81"/>
      <c r="K439" s="81"/>
      <c r="L439" s="134">
        <f>L440/L438</f>
        <v>20250.032173150048</v>
      </c>
      <c r="M439" s="134"/>
      <c r="N439" s="134"/>
      <c r="O439" s="134"/>
      <c r="P439" s="134"/>
      <c r="Q439" s="134">
        <f>Q440/Q438</f>
        <v>62351.066455138389</v>
      </c>
      <c r="R439" s="134"/>
      <c r="S439" s="134"/>
      <c r="T439" s="134"/>
      <c r="U439" s="134"/>
      <c r="V439" s="134">
        <f t="shared" ref="V439:W439" si="208">V440/V438</f>
        <v>42611.867734841348</v>
      </c>
      <c r="W439" s="134">
        <f t="shared" si="208"/>
        <v>34484.736953754771</v>
      </c>
      <c r="X439" s="541"/>
      <c r="Y439" s="541"/>
    </row>
    <row r="440" spans="1:32" ht="24.9" customHeight="1">
      <c r="A440" s="539"/>
      <c r="B440" s="83" t="s">
        <v>26</v>
      </c>
      <c r="C440" s="83">
        <v>176</v>
      </c>
      <c r="D440" s="83" t="s">
        <v>16</v>
      </c>
      <c r="E440" s="83">
        <v>6100404</v>
      </c>
      <c r="F440" s="83">
        <v>243</v>
      </c>
      <c r="G440" s="81">
        <f>G442+G443</f>
        <v>543835.97399999993</v>
      </c>
      <c r="H440" s="81">
        <f>H442+H443</f>
        <v>265715.27399999998</v>
      </c>
      <c r="I440" s="81">
        <f>I442+I443</f>
        <v>98680.250000000015</v>
      </c>
      <c r="J440" s="81">
        <f>J442+J443</f>
        <v>177681.24999999997</v>
      </c>
      <c r="K440" s="81">
        <f>K442+K443</f>
        <v>1759.2</v>
      </c>
      <c r="L440" s="134">
        <f>L442</f>
        <v>346174.30000000005</v>
      </c>
      <c r="M440" s="134">
        <f t="shared" ref="M440:P440" si="209">M442</f>
        <v>183503.90000000002</v>
      </c>
      <c r="N440" s="134">
        <f t="shared" si="209"/>
        <v>8872</v>
      </c>
      <c r="O440" s="134">
        <f t="shared" si="209"/>
        <v>116629.4</v>
      </c>
      <c r="P440" s="134">
        <f t="shared" si="209"/>
        <v>37169</v>
      </c>
      <c r="Q440" s="134">
        <f>Q442+Q443</f>
        <v>353717.60000000003</v>
      </c>
      <c r="R440" s="134">
        <f t="shared" ref="R440:U440" si="210">R442+R443</f>
        <v>22445.7</v>
      </c>
      <c r="S440" s="134">
        <f t="shared" si="210"/>
        <v>21188.2</v>
      </c>
      <c r="T440" s="134">
        <f t="shared" si="210"/>
        <v>169408.3</v>
      </c>
      <c r="U440" s="134">
        <f t="shared" si="210"/>
        <v>140675.40000000002</v>
      </c>
      <c r="V440" s="134">
        <f t="shared" ref="V440:W440" si="211">V442+V443</f>
        <v>542534.30000000005</v>
      </c>
      <c r="W440" s="134">
        <f t="shared" si="211"/>
        <v>325122.09999999998</v>
      </c>
      <c r="X440" s="541"/>
      <c r="Y440" s="541"/>
    </row>
    <row r="441" spans="1:32" ht="24.9" customHeight="1">
      <c r="A441" s="539"/>
      <c r="B441" s="83" t="s">
        <v>10</v>
      </c>
      <c r="C441" s="83"/>
      <c r="D441" s="83"/>
      <c r="E441" s="83"/>
      <c r="F441" s="83"/>
      <c r="G441" s="81"/>
      <c r="H441" s="81"/>
      <c r="I441" s="81"/>
      <c r="J441" s="81"/>
      <c r="K441" s="81"/>
      <c r="L441" s="134"/>
      <c r="M441" s="134"/>
      <c r="N441" s="134"/>
      <c r="O441" s="134"/>
      <c r="P441" s="134"/>
      <c r="Q441" s="134"/>
      <c r="R441" s="134"/>
      <c r="S441" s="134"/>
      <c r="T441" s="134"/>
      <c r="U441" s="134"/>
      <c r="V441" s="134"/>
      <c r="W441" s="134"/>
      <c r="X441" s="541"/>
      <c r="Y441" s="541"/>
    </row>
    <row r="442" spans="1:32" ht="23.4" customHeight="1">
      <c r="A442" s="539"/>
      <c r="B442" s="83" t="s">
        <v>11</v>
      </c>
      <c r="C442" s="83">
        <v>176</v>
      </c>
      <c r="D442" s="83" t="s">
        <v>16</v>
      </c>
      <c r="E442" s="83">
        <v>6100404</v>
      </c>
      <c r="F442" s="83">
        <v>243</v>
      </c>
      <c r="G442" s="81">
        <f>SUM(H442:K442)</f>
        <v>498099.47399999999</v>
      </c>
      <c r="H442" s="81">
        <f>H447+H455+H465+H473+H489+H497+H508+H521+H533+H557+H563+H573+H579+H588+H601+H609+H625+H631+H645+H655+H665+H675+H681+H689+H697+H707+H713+H718+H719</f>
        <v>265715.27399999998</v>
      </c>
      <c r="I442" s="81">
        <f>I447+I455+I465+I473+I489+I497+I508+I521+I533+I557+I563+I573+I579+I588+I601+I609+I625+I631+I645+I655+I665+I675+I681+I689+I697+I707+I713+I718+I719</f>
        <v>77257.550000000017</v>
      </c>
      <c r="J442" s="81">
        <f>J447+J455+J465+J473+J489+J497+J508+J521+J533+J557+J563+J573+J579+J588+J601+J609+J625+J631+J645+J655+J665+J675+J681+J689+J697+J707+J713+J718+J719</f>
        <v>153367.44999999998</v>
      </c>
      <c r="K442" s="81">
        <f>K447+K455+K465+K473+K489+K497+K508+K521+K533+K557+K563+K573+K579+K588+K601+K609+K625+K631+K645+K655+K665+K675+K681+K689+K697+K707+K713+K718+K719</f>
        <v>1759.2</v>
      </c>
      <c r="L442" s="134">
        <f>L447+L455+L465+L473+L483+L489+L508+L521+L533+L547+L557+L563+L573+L579+L588+L601+L609+L625+L631+L645+L655+L665+L675+L681+L689+L697+L707+L713+L718+L719+L497+L551</f>
        <v>346174.30000000005</v>
      </c>
      <c r="M442" s="134">
        <f>M447+M455+M465+M473+M483+M489+M508+M521+M533+M547+M557+M563+M573+M579+M588+M601+M609+M625+M631+M645+M655+M665+M675+M681+M689+M697+M707+M713+M718+M719+M497+M551</f>
        <v>183503.90000000002</v>
      </c>
      <c r="N442" s="134">
        <f>N447+N455+N465+N473+N483+N489+N508+N521+N533+N547+N557+N563+N573+N579+N588+N601+N609+N625+N631+N645+N655+N665+N675+N681+N689+N697+N707+N713+N718+N719+N497+N551</f>
        <v>8872</v>
      </c>
      <c r="O442" s="134">
        <f>O447+O455+O465+O473+O483+O489+O508+O521+O533+O547+O557+O563+O573+O579+O588+O601+O609+O625+O631+O645+O655+O665+O675+O681+O689+O697+O707+O713+O718+O719+O497+O551</f>
        <v>116629.4</v>
      </c>
      <c r="P442" s="134">
        <f>P447+P455+P465+P473+P483+P489+P508+P521+P533+P547+P557+P563+P573+P579+P588+P601+P609+P625+P631+P645+P655+P665+P675+P681+P689+P697+P707+P713+P718+P719+P497+P551</f>
        <v>37169</v>
      </c>
      <c r="Q442" s="134">
        <f>Q467++Q489+Q497+Q507+Q521+Q533+Q547+Q551+Q557+Q563+Q573+Q579+Q601+Q608+Q625+Q631+Q645+Q663+Q681+Q689+Q697+Q713+Q718++Q719</f>
        <v>353717.60000000003</v>
      </c>
      <c r="R442" s="134">
        <f t="shared" ref="R442:U442" si="212">R467++R489+R497+R507+R521+R533+R547+R551+R557+R563+R573+R579+R601+R608+R625+R631+R645+R663+R681+R689+R697+R713+R718++R719</f>
        <v>22445.7</v>
      </c>
      <c r="S442" s="134">
        <f t="shared" si="212"/>
        <v>21188.2</v>
      </c>
      <c r="T442" s="134">
        <f t="shared" si="212"/>
        <v>169408.3</v>
      </c>
      <c r="U442" s="134">
        <f t="shared" si="212"/>
        <v>140675.40000000002</v>
      </c>
      <c r="V442" s="134">
        <f>V455+V465+V483+V489+V497+V507+V521+V533+V547+V551+V557+V563+V573+V579+V587+V601+V608+V631+V645+V664+V675+V681+V689+V697+V707+V713+V718</f>
        <v>420684.30000000005</v>
      </c>
      <c r="W442" s="134">
        <f>W447+W455+W465+W473+W483+W489+W508+W521+W533+W547+W557+W563+W573+W579+W588+W601+W609+W625+W631+W645+W655+W665+W675+W681+W689+W697+W707+W713+W718+W719+W497+W551+W664</f>
        <v>325122.09999999998</v>
      </c>
      <c r="X442" s="541"/>
      <c r="Y442" s="541"/>
    </row>
    <row r="443" spans="1:32" s="56" customFormat="1" ht="24.6" customHeight="1">
      <c r="A443" s="539"/>
      <c r="B443" s="83" t="s">
        <v>476</v>
      </c>
      <c r="C443" s="83"/>
      <c r="D443" s="83"/>
      <c r="E443" s="83"/>
      <c r="F443" s="83"/>
      <c r="G443" s="81">
        <f>SUM(H443:K443)</f>
        <v>45736.5</v>
      </c>
      <c r="H443" s="81">
        <f>H509+H589</f>
        <v>0</v>
      </c>
      <c r="I443" s="81">
        <f>I509+I589</f>
        <v>21422.7</v>
      </c>
      <c r="J443" s="81">
        <f>J509+J589</f>
        <v>24313.8</v>
      </c>
      <c r="K443" s="81">
        <f>K509+K589</f>
        <v>0</v>
      </c>
      <c r="L443" s="134">
        <v>0</v>
      </c>
      <c r="M443" s="134"/>
      <c r="N443" s="134"/>
      <c r="O443" s="134"/>
      <c r="P443" s="134"/>
      <c r="Q443" s="134">
        <f>Q609</f>
        <v>0</v>
      </c>
      <c r="R443" s="134"/>
      <c r="S443" s="134"/>
      <c r="T443" s="134"/>
      <c r="U443" s="134"/>
      <c r="V443" s="134">
        <f>V609+V665</f>
        <v>121850</v>
      </c>
      <c r="W443" s="134">
        <f t="shared" ref="W443" si="213">W609</f>
        <v>0</v>
      </c>
      <c r="X443" s="541"/>
      <c r="Y443" s="541"/>
      <c r="AF443" s="56">
        <f>SUM(AF445:AF713)</f>
        <v>316.60000000000002</v>
      </c>
    </row>
    <row r="444" spans="1:32" s="56" customFormat="1" ht="24.6" customHeight="1">
      <c r="A444" s="539"/>
      <c r="B444" s="83" t="s">
        <v>12</v>
      </c>
      <c r="C444" s="83"/>
      <c r="D444" s="83"/>
      <c r="E444" s="83"/>
      <c r="F444" s="83"/>
      <c r="G444" s="81">
        <v>0</v>
      </c>
      <c r="H444" s="81"/>
      <c r="I444" s="81"/>
      <c r="J444" s="81"/>
      <c r="K444" s="81"/>
      <c r="L444" s="134">
        <v>0</v>
      </c>
      <c r="M444" s="134"/>
      <c r="N444" s="134"/>
      <c r="O444" s="134"/>
      <c r="P444" s="134"/>
      <c r="Q444" s="134">
        <v>0</v>
      </c>
      <c r="R444" s="134"/>
      <c r="S444" s="134"/>
      <c r="T444" s="134"/>
      <c r="U444" s="134"/>
      <c r="V444" s="134"/>
      <c r="W444" s="134"/>
      <c r="X444" s="541"/>
      <c r="Y444" s="541"/>
    </row>
    <row r="445" spans="1:32" ht="24.6" customHeight="1">
      <c r="A445" s="539"/>
      <c r="B445" s="83" t="s">
        <v>665</v>
      </c>
      <c r="C445" s="83"/>
      <c r="D445" s="83"/>
      <c r="E445" s="83"/>
      <c r="F445" s="83"/>
      <c r="G445" s="81">
        <v>0</v>
      </c>
      <c r="H445" s="81"/>
      <c r="I445" s="81"/>
      <c r="J445" s="81"/>
      <c r="K445" s="81"/>
      <c r="L445" s="134">
        <v>0</v>
      </c>
      <c r="M445" s="134"/>
      <c r="N445" s="134"/>
      <c r="O445" s="134"/>
      <c r="P445" s="134"/>
      <c r="Q445" s="134">
        <v>0</v>
      </c>
      <c r="R445" s="134"/>
      <c r="S445" s="134"/>
      <c r="T445" s="134"/>
      <c r="U445" s="134"/>
      <c r="V445" s="134"/>
      <c r="W445" s="134"/>
      <c r="X445" s="541"/>
      <c r="Y445" s="541"/>
    </row>
    <row r="446" spans="1:32" ht="24.6" hidden="1" customHeight="1">
      <c r="A446" s="539" t="s">
        <v>99</v>
      </c>
      <c r="B446" s="83" t="s">
        <v>91</v>
      </c>
      <c r="C446" s="83"/>
      <c r="D446" s="83"/>
      <c r="E446" s="83"/>
      <c r="F446" s="83"/>
      <c r="G446" s="81">
        <f>G448+G450+G452</f>
        <v>0.28000000000000003</v>
      </c>
      <c r="H446" s="81">
        <f t="shared" ref="H446:V447" si="214">H448+H450+H452</f>
        <v>0</v>
      </c>
      <c r="I446" s="81">
        <f t="shared" si="214"/>
        <v>0</v>
      </c>
      <c r="J446" s="81">
        <f t="shared" si="214"/>
        <v>0</v>
      </c>
      <c r="K446" s="81">
        <f t="shared" si="214"/>
        <v>0.28000000000000003</v>
      </c>
      <c r="L446" s="134">
        <f t="shared" si="214"/>
        <v>0</v>
      </c>
      <c r="M446" s="134"/>
      <c r="N446" s="134"/>
      <c r="O446" s="134"/>
      <c r="P446" s="134"/>
      <c r="Q446" s="134">
        <f t="shared" si="214"/>
        <v>0</v>
      </c>
      <c r="R446" s="134"/>
      <c r="S446" s="134"/>
      <c r="T446" s="134"/>
      <c r="U446" s="134"/>
      <c r="V446" s="134">
        <f t="shared" si="214"/>
        <v>0</v>
      </c>
      <c r="W446" s="134"/>
      <c r="X446" s="83"/>
      <c r="Y446" s="83"/>
    </row>
    <row r="447" spans="1:32" ht="24.6" hidden="1" customHeight="1">
      <c r="A447" s="539"/>
      <c r="B447" s="83" t="s">
        <v>299</v>
      </c>
      <c r="C447" s="83"/>
      <c r="D447" s="83"/>
      <c r="E447" s="83"/>
      <c r="F447" s="83"/>
      <c r="G447" s="81">
        <f>G449+G451+G453</f>
        <v>3550.5</v>
      </c>
      <c r="H447" s="81">
        <f t="shared" si="214"/>
        <v>0</v>
      </c>
      <c r="I447" s="81">
        <f t="shared" si="214"/>
        <v>996.5</v>
      </c>
      <c r="J447" s="81">
        <f t="shared" si="214"/>
        <v>2554</v>
      </c>
      <c r="K447" s="81">
        <f t="shared" si="214"/>
        <v>0</v>
      </c>
      <c r="L447" s="134">
        <f t="shared" si="214"/>
        <v>0</v>
      </c>
      <c r="M447" s="134"/>
      <c r="N447" s="134"/>
      <c r="O447" s="134"/>
      <c r="P447" s="134"/>
      <c r="Q447" s="134">
        <f t="shared" si="214"/>
        <v>0</v>
      </c>
      <c r="R447" s="134"/>
      <c r="S447" s="134"/>
      <c r="T447" s="134"/>
      <c r="U447" s="134"/>
      <c r="V447" s="134">
        <f t="shared" si="214"/>
        <v>0</v>
      </c>
      <c r="W447" s="134"/>
      <c r="X447" s="83"/>
      <c r="Y447" s="83"/>
    </row>
    <row r="448" spans="1:32" ht="24.6" hidden="1" customHeight="1">
      <c r="A448" s="531" t="s">
        <v>112</v>
      </c>
      <c r="B448" s="175" t="s">
        <v>91</v>
      </c>
      <c r="C448" s="175">
        <v>176</v>
      </c>
      <c r="D448" s="175" t="s">
        <v>16</v>
      </c>
      <c r="E448" s="175">
        <v>6100404</v>
      </c>
      <c r="F448" s="175">
        <v>243</v>
      </c>
      <c r="G448" s="75">
        <f>SUM(H448:K448)</f>
        <v>0.28000000000000003</v>
      </c>
      <c r="H448" s="75"/>
      <c r="I448" s="75"/>
      <c r="J448" s="75"/>
      <c r="K448" s="75">
        <v>0.28000000000000003</v>
      </c>
      <c r="L448" s="135">
        <v>0</v>
      </c>
      <c r="M448" s="135"/>
      <c r="N448" s="135"/>
      <c r="O448" s="135"/>
      <c r="P448" s="135"/>
      <c r="Q448" s="135">
        <v>0</v>
      </c>
      <c r="R448" s="135"/>
      <c r="S448" s="135"/>
      <c r="T448" s="135"/>
      <c r="U448" s="135"/>
      <c r="V448" s="135"/>
      <c r="W448" s="135"/>
      <c r="X448" s="175"/>
      <c r="Y448" s="541" t="s">
        <v>95</v>
      </c>
    </row>
    <row r="449" spans="1:25" ht="24.6" hidden="1" customHeight="1">
      <c r="A449" s="531"/>
      <c r="B449" s="175" t="s">
        <v>299</v>
      </c>
      <c r="C449" s="175"/>
      <c r="D449" s="175"/>
      <c r="E449" s="175"/>
      <c r="F449" s="175"/>
      <c r="G449" s="75">
        <f>SUM(H449:K449)</f>
        <v>3550.5</v>
      </c>
      <c r="H449" s="75"/>
      <c r="I449" s="75">
        <v>996.5</v>
      </c>
      <c r="J449" s="75">
        <f>3726.2-K449-I449-175.7</f>
        <v>2554</v>
      </c>
      <c r="K449" s="7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75"/>
      <c r="Y449" s="541"/>
    </row>
    <row r="450" spans="1:25" ht="24.6" hidden="1" customHeight="1">
      <c r="A450" s="185" t="s">
        <v>253</v>
      </c>
      <c r="B450" s="175" t="s">
        <v>91</v>
      </c>
      <c r="C450" s="175">
        <v>176</v>
      </c>
      <c r="D450" s="175" t="s">
        <v>16</v>
      </c>
      <c r="E450" s="175">
        <v>6100404</v>
      </c>
      <c r="F450" s="175">
        <v>243</v>
      </c>
      <c r="G450" s="75">
        <v>0</v>
      </c>
      <c r="H450" s="75">
        <v>0</v>
      </c>
      <c r="I450" s="75">
        <v>0</v>
      </c>
      <c r="J450" s="75">
        <v>0</v>
      </c>
      <c r="K450" s="75">
        <v>0</v>
      </c>
      <c r="L450" s="135">
        <v>0</v>
      </c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75"/>
      <c r="Y450" s="175" t="s">
        <v>36</v>
      </c>
    </row>
    <row r="451" spans="1:25" s="56" customFormat="1" ht="24.6" hidden="1" customHeight="1">
      <c r="A451" s="185"/>
      <c r="B451" s="175" t="s">
        <v>299</v>
      </c>
      <c r="C451" s="175"/>
      <c r="D451" s="175"/>
      <c r="E451" s="175"/>
      <c r="F451" s="175"/>
      <c r="G451" s="75"/>
      <c r="H451" s="75"/>
      <c r="I451" s="75"/>
      <c r="J451" s="75"/>
      <c r="K451" s="7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75"/>
      <c r="Y451" s="175"/>
    </row>
    <row r="452" spans="1:25" s="56" customFormat="1" ht="43.95" hidden="1" customHeight="1">
      <c r="A452" s="540" t="s">
        <v>113</v>
      </c>
      <c r="B452" s="175" t="s">
        <v>91</v>
      </c>
      <c r="C452" s="175">
        <v>176</v>
      </c>
      <c r="D452" s="175" t="s">
        <v>16</v>
      </c>
      <c r="E452" s="175">
        <v>6100404</v>
      </c>
      <c r="F452" s="175">
        <v>243</v>
      </c>
      <c r="G452" s="75">
        <v>0</v>
      </c>
      <c r="H452" s="75">
        <v>0</v>
      </c>
      <c r="I452" s="75">
        <v>0</v>
      </c>
      <c r="J452" s="75">
        <v>0</v>
      </c>
      <c r="K452" s="75">
        <v>0</v>
      </c>
      <c r="L452" s="135"/>
      <c r="M452" s="135"/>
      <c r="N452" s="135"/>
      <c r="O452" s="135"/>
      <c r="P452" s="135"/>
      <c r="Q452" s="135">
        <v>0</v>
      </c>
      <c r="R452" s="135"/>
      <c r="S452" s="135"/>
      <c r="T452" s="135"/>
      <c r="U452" s="135"/>
      <c r="V452" s="135"/>
      <c r="W452" s="135"/>
      <c r="X452" s="175"/>
      <c r="Y452" s="541" t="s">
        <v>32</v>
      </c>
    </row>
    <row r="453" spans="1:25" ht="24.6" hidden="1" customHeight="1">
      <c r="A453" s="540"/>
      <c r="B453" s="175" t="s">
        <v>299</v>
      </c>
      <c r="C453" s="175"/>
      <c r="D453" s="175"/>
      <c r="E453" s="175"/>
      <c r="F453" s="175"/>
      <c r="G453" s="75"/>
      <c r="H453" s="75"/>
      <c r="I453" s="75"/>
      <c r="J453" s="75"/>
      <c r="K453" s="7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75"/>
      <c r="Y453" s="541"/>
    </row>
    <row r="454" spans="1:25" ht="24" customHeight="1">
      <c r="A454" s="184" t="s">
        <v>120</v>
      </c>
      <c r="B454" s="83" t="s">
        <v>91</v>
      </c>
      <c r="C454" s="83"/>
      <c r="D454" s="83"/>
      <c r="E454" s="83"/>
      <c r="F454" s="83"/>
      <c r="G454" s="81">
        <f>G458+G460+G462</f>
        <v>0</v>
      </c>
      <c r="H454" s="81">
        <f t="shared" ref="H454:P455" si="215">H458+H460+H462</f>
        <v>0</v>
      </c>
      <c r="I454" s="81">
        <f t="shared" si="215"/>
        <v>0</v>
      </c>
      <c r="J454" s="81">
        <f t="shared" si="215"/>
        <v>0</v>
      </c>
      <c r="K454" s="81">
        <f t="shared" si="215"/>
        <v>0</v>
      </c>
      <c r="L454" s="134">
        <f t="shared" si="215"/>
        <v>1.2</v>
      </c>
      <c r="M454" s="134">
        <f t="shared" si="215"/>
        <v>1.2</v>
      </c>
      <c r="N454" s="134"/>
      <c r="O454" s="134"/>
      <c r="P454" s="134"/>
      <c r="Q454" s="134">
        <f>Q456+Q458</f>
        <v>0</v>
      </c>
      <c r="R454" s="134"/>
      <c r="S454" s="134"/>
      <c r="T454" s="134"/>
      <c r="U454" s="134"/>
      <c r="V454" s="134">
        <f t="shared" ref="V454:W454" si="216">V456+V458</f>
        <v>0</v>
      </c>
      <c r="W454" s="134">
        <f t="shared" si="216"/>
        <v>1</v>
      </c>
      <c r="X454" s="175"/>
      <c r="Y454" s="83"/>
    </row>
    <row r="455" spans="1:25" ht="41.25" customHeight="1">
      <c r="A455" s="174"/>
      <c r="B455" s="83" t="s">
        <v>299</v>
      </c>
      <c r="C455" s="83"/>
      <c r="D455" s="83"/>
      <c r="E455" s="83"/>
      <c r="F455" s="83"/>
      <c r="G455" s="81">
        <f>G459+G461+G463</f>
        <v>0</v>
      </c>
      <c r="H455" s="81">
        <f t="shared" si="215"/>
        <v>0</v>
      </c>
      <c r="I455" s="81">
        <f t="shared" si="215"/>
        <v>0</v>
      </c>
      <c r="J455" s="81">
        <f t="shared" si="215"/>
        <v>0</v>
      </c>
      <c r="K455" s="81">
        <f t="shared" si="215"/>
        <v>0</v>
      </c>
      <c r="L455" s="134">
        <f t="shared" si="215"/>
        <v>40874.1</v>
      </c>
      <c r="M455" s="134">
        <f t="shared" si="215"/>
        <v>40874.1</v>
      </c>
      <c r="N455" s="134">
        <f t="shared" si="215"/>
        <v>0</v>
      </c>
      <c r="O455" s="134">
        <f t="shared" si="215"/>
        <v>0</v>
      </c>
      <c r="P455" s="134">
        <f t="shared" si="215"/>
        <v>0</v>
      </c>
      <c r="Q455" s="134">
        <f>Q457+Q459</f>
        <v>0</v>
      </c>
      <c r="R455" s="134"/>
      <c r="S455" s="134"/>
      <c r="T455" s="134"/>
      <c r="U455" s="134"/>
      <c r="V455" s="134">
        <f t="shared" ref="V455:W455" si="217">V457+V459</f>
        <v>0</v>
      </c>
      <c r="W455" s="134">
        <f t="shared" si="217"/>
        <v>33031.199999999997</v>
      </c>
      <c r="X455" s="175"/>
      <c r="Y455" s="83"/>
    </row>
    <row r="456" spans="1:25" ht="24.6" hidden="1" customHeight="1">
      <c r="A456" s="536" t="s">
        <v>162</v>
      </c>
      <c r="B456" s="175" t="s">
        <v>91</v>
      </c>
      <c r="C456" s="83"/>
      <c r="D456" s="83"/>
      <c r="E456" s="83"/>
      <c r="F456" s="83"/>
      <c r="G456" s="81"/>
      <c r="H456" s="81"/>
      <c r="I456" s="81"/>
      <c r="J456" s="81"/>
      <c r="K456" s="81"/>
      <c r="L456" s="134"/>
      <c r="M456" s="134"/>
      <c r="N456" s="134"/>
      <c r="O456" s="134"/>
      <c r="P456" s="134"/>
      <c r="Q456" s="134"/>
      <c r="R456" s="134"/>
      <c r="S456" s="134"/>
      <c r="T456" s="134"/>
      <c r="U456" s="134"/>
      <c r="V456" s="134"/>
      <c r="W456" s="135"/>
      <c r="X456" s="175"/>
      <c r="Y456" s="533" t="s">
        <v>465</v>
      </c>
    </row>
    <row r="457" spans="1:25" ht="24.6" hidden="1" customHeight="1">
      <c r="A457" s="538"/>
      <c r="B457" s="175" t="s">
        <v>299</v>
      </c>
      <c r="C457" s="83"/>
      <c r="D457" s="83"/>
      <c r="E457" s="83"/>
      <c r="F457" s="83"/>
      <c r="G457" s="81"/>
      <c r="H457" s="81"/>
      <c r="I457" s="81"/>
      <c r="J457" s="81"/>
      <c r="K457" s="81"/>
      <c r="L457" s="134"/>
      <c r="M457" s="134"/>
      <c r="N457" s="134"/>
      <c r="O457" s="134"/>
      <c r="P457" s="134"/>
      <c r="Q457" s="134"/>
      <c r="R457" s="134"/>
      <c r="S457" s="134"/>
      <c r="T457" s="134"/>
      <c r="U457" s="134"/>
      <c r="V457" s="134"/>
      <c r="W457" s="135"/>
      <c r="X457" s="175"/>
      <c r="Y457" s="535"/>
    </row>
    <row r="458" spans="1:25" ht="24.6" customHeight="1">
      <c r="A458" s="531" t="s">
        <v>114</v>
      </c>
      <c r="B458" s="175" t="s">
        <v>91</v>
      </c>
      <c r="C458" s="175">
        <v>176</v>
      </c>
      <c r="D458" s="175" t="s">
        <v>16</v>
      </c>
      <c r="E458" s="175">
        <v>6100404</v>
      </c>
      <c r="F458" s="175">
        <v>243</v>
      </c>
      <c r="G458" s="75">
        <v>0</v>
      </c>
      <c r="H458" s="75">
        <v>0</v>
      </c>
      <c r="I458" s="75">
        <v>0</v>
      </c>
      <c r="J458" s="75">
        <v>0</v>
      </c>
      <c r="K458" s="75">
        <v>0</v>
      </c>
      <c r="L458" s="135">
        <v>1.2</v>
      </c>
      <c r="M458" s="135">
        <v>1.2</v>
      </c>
      <c r="N458" s="135"/>
      <c r="O458" s="135"/>
      <c r="P458" s="135"/>
      <c r="Q458" s="135"/>
      <c r="R458" s="135"/>
      <c r="S458" s="135"/>
      <c r="T458" s="135"/>
      <c r="U458" s="135"/>
      <c r="V458" s="135"/>
      <c r="W458" s="135">
        <v>1</v>
      </c>
      <c r="X458" s="175"/>
      <c r="Y458" s="541" t="s">
        <v>631</v>
      </c>
    </row>
    <row r="459" spans="1:25" ht="22.2" customHeight="1">
      <c r="A459" s="531"/>
      <c r="B459" s="175" t="s">
        <v>299</v>
      </c>
      <c r="C459" s="175"/>
      <c r="D459" s="175"/>
      <c r="E459" s="175"/>
      <c r="F459" s="175"/>
      <c r="G459" s="75"/>
      <c r="H459" s="75"/>
      <c r="I459" s="75"/>
      <c r="J459" s="75"/>
      <c r="K459" s="75"/>
      <c r="L459" s="135">
        <f>41037.5-163.4</f>
        <v>40874.1</v>
      </c>
      <c r="M459" s="135">
        <f>41037.5-163.4</f>
        <v>40874.1</v>
      </c>
      <c r="N459" s="135"/>
      <c r="O459" s="135"/>
      <c r="P459" s="135"/>
      <c r="Q459" s="135"/>
      <c r="R459" s="135"/>
      <c r="S459" s="135"/>
      <c r="T459" s="135"/>
      <c r="U459" s="135"/>
      <c r="V459" s="135"/>
      <c r="W459" s="135">
        <v>33031.199999999997</v>
      </c>
      <c r="X459" s="175"/>
      <c r="Y459" s="541"/>
    </row>
    <row r="460" spans="1:25" ht="24.6" hidden="1" customHeight="1">
      <c r="A460" s="540" t="s">
        <v>113</v>
      </c>
      <c r="B460" s="175" t="s">
        <v>91</v>
      </c>
      <c r="C460" s="175">
        <v>176</v>
      </c>
      <c r="D460" s="175" t="s">
        <v>16</v>
      </c>
      <c r="E460" s="175">
        <v>6100404</v>
      </c>
      <c r="F460" s="175">
        <v>243</v>
      </c>
      <c r="G460" s="75">
        <v>0</v>
      </c>
      <c r="H460" s="75">
        <v>0</v>
      </c>
      <c r="I460" s="75">
        <v>0</v>
      </c>
      <c r="J460" s="75">
        <v>0</v>
      </c>
      <c r="K460" s="75">
        <v>0</v>
      </c>
      <c r="L460" s="135">
        <v>0</v>
      </c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75"/>
      <c r="Y460" s="541" t="s">
        <v>32</v>
      </c>
    </row>
    <row r="461" spans="1:25" s="56" customFormat="1" ht="24.6" hidden="1" customHeight="1">
      <c r="A461" s="540"/>
      <c r="B461" s="175" t="s">
        <v>299</v>
      </c>
      <c r="C461" s="175"/>
      <c r="D461" s="175"/>
      <c r="E461" s="175"/>
      <c r="F461" s="175"/>
      <c r="G461" s="75"/>
      <c r="H461" s="75"/>
      <c r="I461" s="75"/>
      <c r="J461" s="75"/>
      <c r="K461" s="7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75"/>
      <c r="Y461" s="541"/>
    </row>
    <row r="462" spans="1:25" s="56" customFormat="1" ht="24.6" hidden="1" customHeight="1">
      <c r="A462" s="540" t="s">
        <v>162</v>
      </c>
      <c r="B462" s="175" t="s">
        <v>91</v>
      </c>
      <c r="C462" s="175"/>
      <c r="D462" s="175"/>
      <c r="E462" s="175"/>
      <c r="F462" s="175"/>
      <c r="G462" s="75"/>
      <c r="H462" s="75"/>
      <c r="I462" s="75"/>
      <c r="J462" s="75"/>
      <c r="K462" s="7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75"/>
      <c r="Y462" s="541" t="s">
        <v>36</v>
      </c>
    </row>
    <row r="463" spans="1:25" ht="24.6" hidden="1" customHeight="1">
      <c r="A463" s="540"/>
      <c r="B463" s="175" t="s">
        <v>299</v>
      </c>
      <c r="C463" s="175"/>
      <c r="D463" s="175"/>
      <c r="E463" s="175"/>
      <c r="F463" s="175"/>
      <c r="G463" s="75"/>
      <c r="H463" s="75"/>
      <c r="I463" s="75"/>
      <c r="J463" s="75"/>
      <c r="K463" s="7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75"/>
      <c r="Y463" s="541"/>
    </row>
    <row r="464" spans="1:25" ht="24.9" customHeight="1">
      <c r="A464" s="539" t="s">
        <v>100</v>
      </c>
      <c r="B464" s="83" t="s">
        <v>91</v>
      </c>
      <c r="C464" s="83"/>
      <c r="D464" s="83"/>
      <c r="E464" s="83"/>
      <c r="F464" s="83"/>
      <c r="G464" s="81">
        <f>G466+G468+G470</f>
        <v>0</v>
      </c>
      <c r="H464" s="81">
        <f t="shared" ref="H464:W465" si="218">H466+H468+H470</f>
        <v>0</v>
      </c>
      <c r="I464" s="81">
        <f t="shared" si="218"/>
        <v>0</v>
      </c>
      <c r="J464" s="81">
        <f t="shared" si="218"/>
        <v>0</v>
      </c>
      <c r="K464" s="81">
        <f t="shared" si="218"/>
        <v>0</v>
      </c>
      <c r="L464" s="134">
        <f>L466+L468+L470</f>
        <v>1.143</v>
      </c>
      <c r="M464" s="134">
        <f t="shared" ref="M464:N464" si="219">M466+M468+M470</f>
        <v>0</v>
      </c>
      <c r="N464" s="134">
        <f t="shared" si="219"/>
        <v>1.143</v>
      </c>
      <c r="O464" s="134"/>
      <c r="P464" s="134"/>
      <c r="Q464" s="134">
        <f t="shared" si="218"/>
        <v>0</v>
      </c>
      <c r="R464" s="134"/>
      <c r="S464" s="134"/>
      <c r="T464" s="134"/>
      <c r="U464" s="134"/>
      <c r="V464" s="134">
        <f t="shared" si="218"/>
        <v>0</v>
      </c>
      <c r="W464" s="134">
        <f t="shared" si="218"/>
        <v>0</v>
      </c>
      <c r="X464" s="175"/>
      <c r="Y464" s="83"/>
    </row>
    <row r="465" spans="1:25" ht="24.6" customHeight="1">
      <c r="A465" s="539"/>
      <c r="B465" s="83" t="s">
        <v>299</v>
      </c>
      <c r="C465" s="83"/>
      <c r="D465" s="83"/>
      <c r="E465" s="83"/>
      <c r="F465" s="83"/>
      <c r="G465" s="81">
        <f>G467+G469+G471</f>
        <v>0</v>
      </c>
      <c r="H465" s="81">
        <f t="shared" si="218"/>
        <v>0</v>
      </c>
      <c r="I465" s="81">
        <f t="shared" si="218"/>
        <v>0</v>
      </c>
      <c r="J465" s="81">
        <f t="shared" si="218"/>
        <v>0</v>
      </c>
      <c r="K465" s="81">
        <f t="shared" si="218"/>
        <v>0</v>
      </c>
      <c r="L465" s="134">
        <f t="shared" si="218"/>
        <v>28017.5</v>
      </c>
      <c r="M465" s="134">
        <f t="shared" si="218"/>
        <v>19145.5</v>
      </c>
      <c r="N465" s="134">
        <f t="shared" si="218"/>
        <v>8872</v>
      </c>
      <c r="O465" s="134">
        <f t="shared" si="218"/>
        <v>0</v>
      </c>
      <c r="P465" s="134">
        <f t="shared" si="218"/>
        <v>0</v>
      </c>
      <c r="Q465" s="134">
        <f t="shared" si="218"/>
        <v>0</v>
      </c>
      <c r="R465" s="134"/>
      <c r="S465" s="134"/>
      <c r="T465" s="134"/>
      <c r="U465" s="134"/>
      <c r="V465" s="134">
        <f t="shared" si="218"/>
        <v>4362.6000000000004</v>
      </c>
      <c r="W465" s="134">
        <f t="shared" si="218"/>
        <v>0</v>
      </c>
      <c r="X465" s="175"/>
      <c r="Y465" s="83"/>
    </row>
    <row r="466" spans="1:25" ht="25.2" customHeight="1">
      <c r="A466" s="565" t="s">
        <v>115</v>
      </c>
      <c r="B466" s="175" t="s">
        <v>91</v>
      </c>
      <c r="C466" s="175">
        <v>176</v>
      </c>
      <c r="D466" s="175" t="s">
        <v>16</v>
      </c>
      <c r="E466" s="175">
        <v>6100404</v>
      </c>
      <c r="F466" s="175">
        <v>243</v>
      </c>
      <c r="G466" s="75">
        <v>0</v>
      </c>
      <c r="H466" s="75">
        <v>0</v>
      </c>
      <c r="I466" s="75">
        <v>0</v>
      </c>
      <c r="J466" s="75">
        <v>0</v>
      </c>
      <c r="K466" s="75">
        <v>0</v>
      </c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75"/>
      <c r="Y466" s="541" t="s">
        <v>366</v>
      </c>
    </row>
    <row r="467" spans="1:25" ht="23.4" customHeight="1">
      <c r="A467" s="565"/>
      <c r="B467" s="175" t="s">
        <v>299</v>
      </c>
      <c r="C467" s="175"/>
      <c r="D467" s="175"/>
      <c r="E467" s="175"/>
      <c r="F467" s="175"/>
      <c r="G467" s="75"/>
      <c r="H467" s="75"/>
      <c r="I467" s="75"/>
      <c r="J467" s="75"/>
      <c r="K467" s="75"/>
      <c r="L467" s="135">
        <f>4706.7-61.2</f>
        <v>4645.5</v>
      </c>
      <c r="M467" s="135">
        <v>4645.5</v>
      </c>
      <c r="N467" s="135"/>
      <c r="O467" s="135"/>
      <c r="P467" s="135"/>
      <c r="Q467" s="135"/>
      <c r="R467" s="135"/>
      <c r="S467" s="135"/>
      <c r="T467" s="135"/>
      <c r="U467" s="135"/>
      <c r="V467" s="135">
        <v>4362.6000000000004</v>
      </c>
      <c r="W467" s="135"/>
      <c r="X467" s="175"/>
      <c r="Y467" s="541"/>
    </row>
    <row r="468" spans="1:25" ht="25.2" hidden="1" customHeight="1">
      <c r="A468" s="540" t="s">
        <v>116</v>
      </c>
      <c r="B468" s="175" t="s">
        <v>91</v>
      </c>
      <c r="C468" s="175">
        <v>176</v>
      </c>
      <c r="D468" s="175" t="s">
        <v>16</v>
      </c>
      <c r="E468" s="175">
        <v>6100404</v>
      </c>
      <c r="F468" s="175">
        <v>243</v>
      </c>
      <c r="G468" s="75">
        <f>SUM(H468:K468)</f>
        <v>0</v>
      </c>
      <c r="H468" s="75">
        <v>0</v>
      </c>
      <c r="I468" s="75">
        <v>0</v>
      </c>
      <c r="J468" s="75">
        <v>0</v>
      </c>
      <c r="K468" s="75">
        <v>0</v>
      </c>
      <c r="L468" s="135">
        <v>1.143</v>
      </c>
      <c r="M468" s="135"/>
      <c r="N468" s="135">
        <v>1.143</v>
      </c>
      <c r="O468" s="135"/>
      <c r="P468" s="135"/>
      <c r="Q468" s="135"/>
      <c r="R468" s="135"/>
      <c r="S468" s="135"/>
      <c r="T468" s="135"/>
      <c r="U468" s="135"/>
      <c r="V468" s="135"/>
      <c r="W468" s="135"/>
      <c r="X468" s="175"/>
      <c r="Y468" s="541" t="s">
        <v>254</v>
      </c>
    </row>
    <row r="469" spans="1:25" s="56" customFormat="1" ht="24.6" hidden="1" customHeight="1">
      <c r="A469" s="540"/>
      <c r="B469" s="175" t="s">
        <v>299</v>
      </c>
      <c r="C469" s="175"/>
      <c r="D469" s="175"/>
      <c r="E469" s="175"/>
      <c r="F469" s="175"/>
      <c r="G469" s="75"/>
      <c r="H469" s="75"/>
      <c r="I469" s="75"/>
      <c r="J469" s="75"/>
      <c r="K469" s="75"/>
      <c r="L469" s="135">
        <f>M469+N469</f>
        <v>23372</v>
      </c>
      <c r="M469" s="135">
        <v>14500</v>
      </c>
      <c r="N469" s="135">
        <f>5495+3377</f>
        <v>8872</v>
      </c>
      <c r="O469" s="135"/>
      <c r="P469" s="135"/>
      <c r="Q469" s="135">
        <v>0</v>
      </c>
      <c r="R469" s="135"/>
      <c r="S469" s="135"/>
      <c r="T469" s="135"/>
      <c r="U469" s="135"/>
      <c r="V469" s="135"/>
      <c r="W469" s="135"/>
      <c r="X469" s="175"/>
      <c r="Y469" s="541"/>
    </row>
    <row r="470" spans="1:25" s="56" customFormat="1" ht="24.6" hidden="1" customHeight="1">
      <c r="A470" s="181" t="s">
        <v>302</v>
      </c>
      <c r="B470" s="175" t="s">
        <v>91</v>
      </c>
      <c r="C470" s="175"/>
      <c r="D470" s="175"/>
      <c r="E470" s="175"/>
      <c r="F470" s="175"/>
      <c r="G470" s="75"/>
      <c r="H470" s="75"/>
      <c r="I470" s="75"/>
      <c r="J470" s="75"/>
      <c r="K470" s="7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75"/>
      <c r="Y470" s="175"/>
    </row>
    <row r="471" spans="1:25" ht="24.6" hidden="1" customHeight="1">
      <c r="A471" s="181"/>
      <c r="B471" s="175" t="s">
        <v>299</v>
      </c>
      <c r="C471" s="175"/>
      <c r="D471" s="175"/>
      <c r="E471" s="175"/>
      <c r="F471" s="175"/>
      <c r="G471" s="75"/>
      <c r="H471" s="75"/>
      <c r="I471" s="75"/>
      <c r="J471" s="75"/>
      <c r="K471" s="7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75"/>
      <c r="Y471" s="175" t="s">
        <v>36</v>
      </c>
    </row>
    <row r="472" spans="1:25" ht="0.6" hidden="1" customHeight="1">
      <c r="A472" s="539" t="s">
        <v>101</v>
      </c>
      <c r="B472" s="83" t="s">
        <v>91</v>
      </c>
      <c r="C472" s="83"/>
      <c r="D472" s="83"/>
      <c r="E472" s="83"/>
      <c r="F472" s="83"/>
      <c r="G472" s="81">
        <f>G474+G476+G478</f>
        <v>1.65</v>
      </c>
      <c r="H472" s="81">
        <f t="shared" ref="H472:V473" si="220">H474+H476+H478</f>
        <v>0</v>
      </c>
      <c r="I472" s="81">
        <f t="shared" si="220"/>
        <v>0</v>
      </c>
      <c r="J472" s="81">
        <f t="shared" si="220"/>
        <v>0</v>
      </c>
      <c r="K472" s="81">
        <f t="shared" si="220"/>
        <v>1.65</v>
      </c>
      <c r="L472" s="134">
        <f t="shared" si="220"/>
        <v>1</v>
      </c>
      <c r="M472" s="134">
        <v>1</v>
      </c>
      <c r="N472" s="134"/>
      <c r="O472" s="134"/>
      <c r="P472" s="134"/>
      <c r="Q472" s="134">
        <f t="shared" si="220"/>
        <v>0</v>
      </c>
      <c r="R472" s="134"/>
      <c r="S472" s="134"/>
      <c r="T472" s="134"/>
      <c r="U472" s="134"/>
      <c r="V472" s="134">
        <f t="shared" si="220"/>
        <v>0</v>
      </c>
      <c r="W472" s="134"/>
      <c r="X472" s="175"/>
      <c r="Y472" s="83"/>
    </row>
    <row r="473" spans="1:25" ht="0.6" customHeight="1">
      <c r="A473" s="539"/>
      <c r="B473" s="83" t="s">
        <v>299</v>
      </c>
      <c r="C473" s="83"/>
      <c r="D473" s="83"/>
      <c r="E473" s="83"/>
      <c r="F473" s="83"/>
      <c r="G473" s="81">
        <f>G475+G477+G479</f>
        <v>23381.899999999998</v>
      </c>
      <c r="H473" s="81">
        <f t="shared" si="220"/>
        <v>0</v>
      </c>
      <c r="I473" s="81">
        <f t="shared" si="220"/>
        <v>4477.5</v>
      </c>
      <c r="J473" s="81">
        <f t="shared" si="220"/>
        <v>18904.399999999998</v>
      </c>
      <c r="K473" s="81">
        <f t="shared" si="220"/>
        <v>0</v>
      </c>
      <c r="L473" s="134">
        <f>L475+L477+L479</f>
        <v>19623</v>
      </c>
      <c r="M473" s="134">
        <f t="shared" ref="M473:P473" si="221">M475+M477+M479</f>
        <v>19623</v>
      </c>
      <c r="N473" s="134">
        <f t="shared" si="221"/>
        <v>0</v>
      </c>
      <c r="O473" s="134">
        <f t="shared" si="221"/>
        <v>0</v>
      </c>
      <c r="P473" s="134">
        <f t="shared" si="221"/>
        <v>0</v>
      </c>
      <c r="Q473" s="134">
        <f t="shared" si="220"/>
        <v>0</v>
      </c>
      <c r="R473" s="134"/>
      <c r="S473" s="134"/>
      <c r="T473" s="134"/>
      <c r="U473" s="134"/>
      <c r="V473" s="134">
        <f t="shared" si="220"/>
        <v>0</v>
      </c>
      <c r="W473" s="134"/>
      <c r="X473" s="175"/>
      <c r="Y473" s="83"/>
    </row>
    <row r="474" spans="1:25" ht="24.6" hidden="1" customHeight="1">
      <c r="A474" s="540" t="s">
        <v>117</v>
      </c>
      <c r="B474" s="175" t="s">
        <v>91</v>
      </c>
      <c r="C474" s="175">
        <v>176</v>
      </c>
      <c r="D474" s="175" t="s">
        <v>16</v>
      </c>
      <c r="E474" s="175">
        <v>6100404</v>
      </c>
      <c r="F474" s="175">
        <v>243</v>
      </c>
      <c r="G474" s="75">
        <v>0</v>
      </c>
      <c r="H474" s="75">
        <v>0</v>
      </c>
      <c r="I474" s="75">
        <v>0</v>
      </c>
      <c r="J474" s="75">
        <v>0</v>
      </c>
      <c r="K474" s="75">
        <v>0</v>
      </c>
      <c r="L474" s="135">
        <v>1</v>
      </c>
      <c r="M474" s="135">
        <v>1</v>
      </c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75"/>
      <c r="Y474" s="541" t="s">
        <v>36</v>
      </c>
    </row>
    <row r="475" spans="1:25" ht="21.6" hidden="1" customHeight="1">
      <c r="A475" s="540"/>
      <c r="B475" s="175" t="s">
        <v>299</v>
      </c>
      <c r="C475" s="175"/>
      <c r="D475" s="175"/>
      <c r="E475" s="175"/>
      <c r="F475" s="175"/>
      <c r="G475" s="75"/>
      <c r="H475" s="75"/>
      <c r="I475" s="75"/>
      <c r="J475" s="75"/>
      <c r="K475" s="75"/>
      <c r="L475" s="135">
        <f>20565.9-942.9</f>
        <v>19623</v>
      </c>
      <c r="M475" s="135">
        <v>19623</v>
      </c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75"/>
      <c r="Y475" s="541"/>
    </row>
    <row r="476" spans="1:25" ht="24.6" hidden="1" customHeight="1">
      <c r="A476" s="181" t="s">
        <v>119</v>
      </c>
      <c r="B476" s="175" t="s">
        <v>91</v>
      </c>
      <c r="C476" s="175">
        <v>176</v>
      </c>
      <c r="D476" s="175" t="s">
        <v>16</v>
      </c>
      <c r="E476" s="175">
        <v>6100404</v>
      </c>
      <c r="F476" s="175">
        <v>243</v>
      </c>
      <c r="G476" s="75">
        <v>0</v>
      </c>
      <c r="H476" s="75">
        <v>0</v>
      </c>
      <c r="I476" s="75">
        <v>0</v>
      </c>
      <c r="J476" s="75">
        <v>0</v>
      </c>
      <c r="K476" s="75">
        <v>0</v>
      </c>
      <c r="L476" s="135">
        <v>0</v>
      </c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75"/>
      <c r="Y476" s="175" t="s">
        <v>36</v>
      </c>
    </row>
    <row r="477" spans="1:25" ht="24.6" hidden="1" customHeight="1">
      <c r="A477" s="181"/>
      <c r="B477" s="175" t="s">
        <v>299</v>
      </c>
      <c r="C477" s="175"/>
      <c r="D477" s="175"/>
      <c r="E477" s="175"/>
      <c r="F477" s="175"/>
      <c r="G477" s="75"/>
      <c r="H477" s="75"/>
      <c r="I477" s="75"/>
      <c r="J477" s="75"/>
      <c r="K477" s="7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75"/>
      <c r="Y477" s="175"/>
    </row>
    <row r="478" spans="1:25" ht="24.6" hidden="1" customHeight="1">
      <c r="A478" s="181" t="s">
        <v>118</v>
      </c>
      <c r="B478" s="175" t="s">
        <v>91</v>
      </c>
      <c r="C478" s="175">
        <v>176</v>
      </c>
      <c r="D478" s="175" t="s">
        <v>16</v>
      </c>
      <c r="E478" s="175">
        <v>6100404</v>
      </c>
      <c r="F478" s="175">
        <v>243</v>
      </c>
      <c r="G478" s="75">
        <f>SUM(H478:K478)</f>
        <v>1.65</v>
      </c>
      <c r="H478" s="75"/>
      <c r="I478" s="75"/>
      <c r="J478" s="75"/>
      <c r="K478" s="75">
        <v>1.65</v>
      </c>
      <c r="L478" s="135">
        <v>0</v>
      </c>
      <c r="M478" s="135"/>
      <c r="N478" s="135"/>
      <c r="O478" s="135"/>
      <c r="P478" s="135"/>
      <c r="Q478" s="135">
        <v>0</v>
      </c>
      <c r="R478" s="135"/>
      <c r="S478" s="135"/>
      <c r="T478" s="135"/>
      <c r="U478" s="135"/>
      <c r="V478" s="135"/>
      <c r="W478" s="135"/>
      <c r="X478" s="175"/>
      <c r="Y478" s="541" t="s">
        <v>278</v>
      </c>
    </row>
    <row r="479" spans="1:25" s="56" customFormat="1" ht="24.6" hidden="1" customHeight="1">
      <c r="A479" s="181"/>
      <c r="B479" s="175" t="s">
        <v>299</v>
      </c>
      <c r="C479" s="175"/>
      <c r="D479" s="175"/>
      <c r="E479" s="175"/>
      <c r="F479" s="175"/>
      <c r="G479" s="75">
        <f>SUM(H479:K479)</f>
        <v>23381.899999999998</v>
      </c>
      <c r="H479" s="75">
        <v>0</v>
      </c>
      <c r="I479" s="75">
        <v>4477.5</v>
      </c>
      <c r="J479" s="75">
        <f>19889.1-984.7</f>
        <v>18904.399999999998</v>
      </c>
      <c r="K479" s="7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75"/>
      <c r="Y479" s="541"/>
    </row>
    <row r="480" spans="1:25" s="56" customFormat="1" ht="24.6" hidden="1" customHeight="1">
      <c r="A480" s="185" t="s">
        <v>115</v>
      </c>
      <c r="B480" s="175" t="s">
        <v>91</v>
      </c>
      <c r="C480" s="175">
        <v>176</v>
      </c>
      <c r="D480" s="175" t="s">
        <v>16</v>
      </c>
      <c r="E480" s="175">
        <v>6100404</v>
      </c>
      <c r="F480" s="175">
        <v>243</v>
      </c>
      <c r="G480" s="75">
        <v>0</v>
      </c>
      <c r="H480" s="75">
        <v>0</v>
      </c>
      <c r="I480" s="75">
        <v>0</v>
      </c>
      <c r="J480" s="75">
        <v>0</v>
      </c>
      <c r="K480" s="75">
        <v>0</v>
      </c>
      <c r="L480" s="135">
        <v>0</v>
      </c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75"/>
      <c r="Y480" s="175" t="s">
        <v>32</v>
      </c>
    </row>
    <row r="481" spans="1:25" ht="24.6" hidden="1" customHeight="1">
      <c r="A481" s="185"/>
      <c r="B481" s="175" t="s">
        <v>299</v>
      </c>
      <c r="C481" s="175"/>
      <c r="D481" s="175"/>
      <c r="E481" s="175"/>
      <c r="F481" s="175"/>
      <c r="G481" s="75"/>
      <c r="H481" s="75"/>
      <c r="I481" s="75"/>
      <c r="J481" s="75"/>
      <c r="K481" s="7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75"/>
      <c r="Y481" s="175"/>
    </row>
    <row r="482" spans="1:25" ht="31.95" customHeight="1">
      <c r="A482" s="566" t="s">
        <v>102</v>
      </c>
      <c r="B482" s="83" t="s">
        <v>91</v>
      </c>
      <c r="C482" s="83"/>
      <c r="D482" s="83"/>
      <c r="E482" s="83"/>
      <c r="F482" s="83"/>
      <c r="G482" s="81">
        <f>G484</f>
        <v>0</v>
      </c>
      <c r="H482" s="81">
        <f t="shared" ref="H482:Q483" si="222">H484</f>
        <v>0</v>
      </c>
      <c r="I482" s="81">
        <f t="shared" si="222"/>
        <v>0</v>
      </c>
      <c r="J482" s="81">
        <f t="shared" si="222"/>
        <v>0</v>
      </c>
      <c r="K482" s="81">
        <f t="shared" si="222"/>
        <v>0</v>
      </c>
      <c r="L482" s="134">
        <f t="shared" si="222"/>
        <v>0</v>
      </c>
      <c r="M482" s="134"/>
      <c r="N482" s="134"/>
      <c r="O482" s="134"/>
      <c r="P482" s="134"/>
      <c r="Q482" s="134">
        <f t="shared" si="222"/>
        <v>0</v>
      </c>
      <c r="R482" s="134"/>
      <c r="S482" s="134"/>
      <c r="T482" s="134"/>
      <c r="U482" s="134"/>
      <c r="V482" s="134">
        <f>V486</f>
        <v>0</v>
      </c>
      <c r="W482" s="134">
        <f t="shared" ref="W482:X482" si="223">W486</f>
        <v>2.5680000000000001</v>
      </c>
      <c r="X482" s="134">
        <f t="shared" si="223"/>
        <v>0</v>
      </c>
      <c r="Y482" s="83"/>
    </row>
    <row r="483" spans="1:25" ht="26.4" customHeight="1">
      <c r="A483" s="566"/>
      <c r="B483" s="83" t="s">
        <v>299</v>
      </c>
      <c r="C483" s="83"/>
      <c r="D483" s="83"/>
      <c r="E483" s="83"/>
      <c r="F483" s="83"/>
      <c r="G483" s="81">
        <f>G485</f>
        <v>0</v>
      </c>
      <c r="H483" s="81">
        <f t="shared" si="222"/>
        <v>0</v>
      </c>
      <c r="I483" s="81">
        <f t="shared" si="222"/>
        <v>0</v>
      </c>
      <c r="J483" s="81">
        <f t="shared" si="222"/>
        <v>0</v>
      </c>
      <c r="K483" s="81">
        <f t="shared" si="222"/>
        <v>0</v>
      </c>
      <c r="L483" s="134">
        <f t="shared" si="222"/>
        <v>0</v>
      </c>
      <c r="M483" s="134"/>
      <c r="N483" s="134"/>
      <c r="O483" s="134"/>
      <c r="P483" s="134"/>
      <c r="Q483" s="134">
        <f t="shared" si="222"/>
        <v>0</v>
      </c>
      <c r="R483" s="134"/>
      <c r="S483" s="134"/>
      <c r="T483" s="134"/>
      <c r="U483" s="134"/>
      <c r="V483" s="134">
        <f>V487</f>
        <v>0</v>
      </c>
      <c r="W483" s="134">
        <f t="shared" ref="W483:X483" si="224">W487</f>
        <v>35962.199999999997</v>
      </c>
      <c r="X483" s="134">
        <f t="shared" si="224"/>
        <v>0</v>
      </c>
      <c r="Y483" s="83"/>
    </row>
    <row r="484" spans="1:25" ht="28.2" hidden="1" customHeight="1">
      <c r="A484" s="540" t="s">
        <v>303</v>
      </c>
      <c r="B484" s="175" t="s">
        <v>91</v>
      </c>
      <c r="C484" s="175">
        <v>176</v>
      </c>
      <c r="D484" s="175" t="s">
        <v>16</v>
      </c>
      <c r="E484" s="175">
        <v>6100404</v>
      </c>
      <c r="F484" s="175">
        <v>243</v>
      </c>
      <c r="G484" s="75">
        <v>0</v>
      </c>
      <c r="H484" s="75">
        <v>0</v>
      </c>
      <c r="I484" s="75">
        <v>0</v>
      </c>
      <c r="J484" s="75">
        <v>0</v>
      </c>
      <c r="K484" s="75">
        <v>0</v>
      </c>
      <c r="L484" s="135">
        <v>0</v>
      </c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75"/>
      <c r="Y484" s="541" t="s">
        <v>36</v>
      </c>
    </row>
    <row r="485" spans="1:25" s="56" customFormat="1" ht="28.2" hidden="1" customHeight="1">
      <c r="A485" s="540"/>
      <c r="B485" s="175" t="s">
        <v>299</v>
      </c>
      <c r="C485" s="175"/>
      <c r="D485" s="175"/>
      <c r="E485" s="175"/>
      <c r="F485" s="175"/>
      <c r="G485" s="75"/>
      <c r="H485" s="75"/>
      <c r="I485" s="75"/>
      <c r="J485" s="75"/>
      <c r="K485" s="7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>
        <f>18324.4-18324.4</f>
        <v>0</v>
      </c>
      <c r="W485" s="135"/>
      <c r="X485" s="175"/>
      <c r="Y485" s="541"/>
    </row>
    <row r="486" spans="1:25" s="56" customFormat="1" ht="28.2" customHeight="1">
      <c r="A486" s="540" t="s">
        <v>445</v>
      </c>
      <c r="B486" s="175" t="s">
        <v>91</v>
      </c>
      <c r="C486" s="175">
        <v>176</v>
      </c>
      <c r="D486" s="175" t="s">
        <v>16</v>
      </c>
      <c r="E486" s="175">
        <v>6100404</v>
      </c>
      <c r="F486" s="175">
        <v>243</v>
      </c>
      <c r="G486" s="75">
        <v>0</v>
      </c>
      <c r="H486" s="75">
        <v>0</v>
      </c>
      <c r="I486" s="75">
        <v>0</v>
      </c>
      <c r="J486" s="75">
        <v>0</v>
      </c>
      <c r="K486" s="75">
        <v>0</v>
      </c>
      <c r="L486" s="135"/>
      <c r="M486" s="135"/>
      <c r="N486" s="135"/>
      <c r="O486" s="135"/>
      <c r="P486" s="135"/>
      <c r="Q486" s="135">
        <v>0</v>
      </c>
      <c r="R486" s="135"/>
      <c r="S486" s="135"/>
      <c r="T486" s="135"/>
      <c r="U486" s="135"/>
      <c r="V486" s="135"/>
      <c r="W486" s="135">
        <v>2.5680000000000001</v>
      </c>
      <c r="X486" s="175"/>
      <c r="Y486" s="533" t="s">
        <v>632</v>
      </c>
    </row>
    <row r="487" spans="1:25" ht="24" customHeight="1">
      <c r="A487" s="540"/>
      <c r="B487" s="175" t="s">
        <v>299</v>
      </c>
      <c r="C487" s="175"/>
      <c r="D487" s="175"/>
      <c r="E487" s="175"/>
      <c r="F487" s="175"/>
      <c r="G487" s="75"/>
      <c r="H487" s="75"/>
      <c r="I487" s="75"/>
      <c r="J487" s="75"/>
      <c r="K487" s="7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>
        <v>35962.199999999997</v>
      </c>
      <c r="X487" s="175"/>
      <c r="Y487" s="535"/>
    </row>
    <row r="488" spans="1:25" ht="24.9" customHeight="1">
      <c r="A488" s="539" t="s">
        <v>121</v>
      </c>
      <c r="B488" s="83" t="s">
        <v>91</v>
      </c>
      <c r="C488" s="83"/>
      <c r="D488" s="83"/>
      <c r="E488" s="83"/>
      <c r="F488" s="83"/>
      <c r="G488" s="81">
        <f>G490+G492+G494</f>
        <v>0</v>
      </c>
      <c r="H488" s="81">
        <f t="shared" ref="H488:W489" si="225">H490+H492+H494</f>
        <v>0</v>
      </c>
      <c r="I488" s="81">
        <f t="shared" si="225"/>
        <v>0</v>
      </c>
      <c r="J488" s="81">
        <f t="shared" si="225"/>
        <v>0</v>
      </c>
      <c r="K488" s="81">
        <f t="shared" si="225"/>
        <v>0</v>
      </c>
      <c r="L488" s="134">
        <f t="shared" si="225"/>
        <v>0</v>
      </c>
      <c r="M488" s="134"/>
      <c r="N488" s="134"/>
      <c r="O488" s="134"/>
      <c r="P488" s="134"/>
      <c r="Q488" s="134">
        <f t="shared" si="225"/>
        <v>0</v>
      </c>
      <c r="R488" s="134"/>
      <c r="S488" s="134"/>
      <c r="T488" s="134"/>
      <c r="U488" s="134"/>
      <c r="V488" s="134">
        <f t="shared" si="225"/>
        <v>0</v>
      </c>
      <c r="W488" s="134">
        <f t="shared" si="225"/>
        <v>4.16</v>
      </c>
      <c r="X488" s="175"/>
      <c r="Y488" s="83"/>
    </row>
    <row r="489" spans="1:25" ht="37.5" customHeight="1">
      <c r="A489" s="539"/>
      <c r="B489" s="83" t="s">
        <v>299</v>
      </c>
      <c r="C489" s="83"/>
      <c r="D489" s="83"/>
      <c r="E489" s="83"/>
      <c r="F489" s="83"/>
      <c r="G489" s="81">
        <f>G491+G493+G495</f>
        <v>19579.5</v>
      </c>
      <c r="H489" s="81">
        <f t="shared" si="225"/>
        <v>19579.5</v>
      </c>
      <c r="I489" s="81">
        <f t="shared" si="225"/>
        <v>0</v>
      </c>
      <c r="J489" s="81">
        <f t="shared" si="225"/>
        <v>0</v>
      </c>
      <c r="K489" s="81">
        <f t="shared" si="225"/>
        <v>0</v>
      </c>
      <c r="L489" s="134">
        <f t="shared" si="225"/>
        <v>3956.3</v>
      </c>
      <c r="M489" s="134">
        <f t="shared" si="225"/>
        <v>3956.3</v>
      </c>
      <c r="N489" s="134"/>
      <c r="O489" s="134"/>
      <c r="P489" s="134"/>
      <c r="Q489" s="134">
        <f t="shared" si="225"/>
        <v>11811.6</v>
      </c>
      <c r="R489" s="134">
        <f t="shared" si="225"/>
        <v>0</v>
      </c>
      <c r="S489" s="134">
        <f t="shared" si="225"/>
        <v>0</v>
      </c>
      <c r="T489" s="134">
        <f t="shared" si="225"/>
        <v>11811.6</v>
      </c>
      <c r="U489" s="134">
        <f t="shared" si="225"/>
        <v>0</v>
      </c>
      <c r="V489" s="134">
        <f t="shared" si="225"/>
        <v>7326.6</v>
      </c>
      <c r="W489" s="134">
        <f t="shared" si="225"/>
        <v>85491</v>
      </c>
      <c r="X489" s="175"/>
      <c r="Y489" s="83"/>
    </row>
    <row r="490" spans="1:25" ht="24.9" customHeight="1">
      <c r="A490" s="540" t="s">
        <v>445</v>
      </c>
      <c r="B490" s="175" t="s">
        <v>91</v>
      </c>
      <c r="C490" s="175">
        <v>176</v>
      </c>
      <c r="D490" s="175" t="s">
        <v>16</v>
      </c>
      <c r="E490" s="175">
        <v>6100404</v>
      </c>
      <c r="F490" s="175">
        <v>243</v>
      </c>
      <c r="G490" s="75"/>
      <c r="H490" s="75"/>
      <c r="I490" s="75"/>
      <c r="J490" s="75">
        <v>0</v>
      </c>
      <c r="K490" s="75"/>
      <c r="L490" s="135">
        <v>0</v>
      </c>
      <c r="M490" s="135"/>
      <c r="N490" s="135"/>
      <c r="O490" s="135"/>
      <c r="P490" s="135"/>
      <c r="Q490" s="135">
        <v>0</v>
      </c>
      <c r="R490" s="135"/>
      <c r="S490" s="135"/>
      <c r="T490" s="135"/>
      <c r="U490" s="135"/>
      <c r="V490" s="135"/>
      <c r="W490" s="135">
        <v>4.16</v>
      </c>
      <c r="X490" s="175"/>
      <c r="Y490" s="541" t="s">
        <v>633</v>
      </c>
    </row>
    <row r="491" spans="1:25" ht="25.5" customHeight="1">
      <c r="A491" s="540"/>
      <c r="B491" s="175" t="s">
        <v>299</v>
      </c>
      <c r="C491" s="175"/>
      <c r="D491" s="175"/>
      <c r="E491" s="175"/>
      <c r="F491" s="175"/>
      <c r="G491" s="75">
        <f>SUM(H491:K491)</f>
        <v>19579.5</v>
      </c>
      <c r="H491" s="75">
        <v>19579.5</v>
      </c>
      <c r="I491" s="75"/>
      <c r="J491" s="75"/>
      <c r="K491" s="7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>
        <v>85491</v>
      </c>
      <c r="X491" s="175"/>
      <c r="Y491" s="541"/>
    </row>
    <row r="492" spans="1:25" ht="20.25" customHeight="1">
      <c r="A492" s="565" t="s">
        <v>115</v>
      </c>
      <c r="B492" s="175" t="s">
        <v>91</v>
      </c>
      <c r="C492" s="175">
        <v>176</v>
      </c>
      <c r="D492" s="175" t="s">
        <v>16</v>
      </c>
      <c r="E492" s="175">
        <v>6100404</v>
      </c>
      <c r="F492" s="175">
        <v>243</v>
      </c>
      <c r="G492" s="75"/>
      <c r="H492" s="75">
        <v>0</v>
      </c>
      <c r="I492" s="75">
        <v>0</v>
      </c>
      <c r="J492" s="75"/>
      <c r="K492" s="7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75"/>
      <c r="Y492" s="541" t="s">
        <v>366</v>
      </c>
    </row>
    <row r="493" spans="1:25" s="56" customFormat="1" ht="22.95" customHeight="1">
      <c r="A493" s="565"/>
      <c r="B493" s="175" t="s">
        <v>299</v>
      </c>
      <c r="C493" s="175"/>
      <c r="D493" s="175"/>
      <c r="E493" s="175"/>
      <c r="F493" s="175"/>
      <c r="G493" s="75"/>
      <c r="H493" s="75"/>
      <c r="I493" s="75"/>
      <c r="J493" s="75"/>
      <c r="K493" s="75"/>
      <c r="L493" s="135">
        <f>4017.4-61.1</f>
        <v>3956.3</v>
      </c>
      <c r="M493" s="135">
        <v>3956.3</v>
      </c>
      <c r="N493" s="135"/>
      <c r="O493" s="135"/>
      <c r="P493" s="135"/>
      <c r="Q493" s="135">
        <f>T493</f>
        <v>11811.6</v>
      </c>
      <c r="R493" s="135"/>
      <c r="S493" s="135"/>
      <c r="T493" s="135">
        <f>11947-135.4</f>
        <v>11811.6</v>
      </c>
      <c r="U493" s="135"/>
      <c r="V493" s="135">
        <v>7326.6</v>
      </c>
      <c r="W493" s="135"/>
      <c r="X493" s="175"/>
      <c r="Y493" s="541"/>
    </row>
    <row r="494" spans="1:25" s="56" customFormat="1" ht="23.4" hidden="1" customHeight="1">
      <c r="A494" s="536" t="s">
        <v>402</v>
      </c>
      <c r="B494" s="175" t="s">
        <v>91</v>
      </c>
      <c r="C494" s="175">
        <v>176</v>
      </c>
      <c r="D494" s="175" t="s">
        <v>16</v>
      </c>
      <c r="E494" s="175">
        <v>6100404</v>
      </c>
      <c r="F494" s="175">
        <v>243</v>
      </c>
      <c r="G494" s="75">
        <v>0</v>
      </c>
      <c r="H494" s="75">
        <v>0</v>
      </c>
      <c r="I494" s="75">
        <v>0</v>
      </c>
      <c r="J494" s="75">
        <v>0</v>
      </c>
      <c r="K494" s="75">
        <v>0</v>
      </c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75"/>
      <c r="Y494" s="533" t="s">
        <v>419</v>
      </c>
    </row>
    <row r="495" spans="1:25" ht="23.4" hidden="1" customHeight="1">
      <c r="A495" s="538"/>
      <c r="B495" s="175" t="s">
        <v>299</v>
      </c>
      <c r="C495" s="175"/>
      <c r="D495" s="175"/>
      <c r="E495" s="175"/>
      <c r="F495" s="175"/>
      <c r="G495" s="75"/>
      <c r="H495" s="75"/>
      <c r="I495" s="75"/>
      <c r="J495" s="75"/>
      <c r="K495" s="7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75"/>
      <c r="Y495" s="535"/>
    </row>
    <row r="496" spans="1:25" ht="24.9" customHeight="1">
      <c r="A496" s="539" t="s">
        <v>103</v>
      </c>
      <c r="B496" s="83" t="s">
        <v>91</v>
      </c>
      <c r="C496" s="83"/>
      <c r="D496" s="83"/>
      <c r="E496" s="83"/>
      <c r="F496" s="83"/>
      <c r="G496" s="81">
        <f t="shared" ref="G496:L497" si="226">G498+G502</f>
        <v>0</v>
      </c>
      <c r="H496" s="81">
        <f t="shared" si="226"/>
        <v>0</v>
      </c>
      <c r="I496" s="81">
        <f t="shared" si="226"/>
        <v>0</v>
      </c>
      <c r="J496" s="81">
        <f t="shared" si="226"/>
        <v>0</v>
      </c>
      <c r="K496" s="81">
        <f t="shared" si="226"/>
        <v>0</v>
      </c>
      <c r="L496" s="134">
        <f t="shared" si="226"/>
        <v>0</v>
      </c>
      <c r="M496" s="134"/>
      <c r="N496" s="134"/>
      <c r="O496" s="134"/>
      <c r="P496" s="134"/>
      <c r="Q496" s="134">
        <f>Q498+Q500+Q502</f>
        <v>0.875</v>
      </c>
      <c r="R496" s="134">
        <f t="shared" ref="R496:U496" si="227">R498+R500+R502</f>
        <v>0</v>
      </c>
      <c r="S496" s="134">
        <f t="shared" si="227"/>
        <v>0</v>
      </c>
      <c r="T496" s="134">
        <f t="shared" si="227"/>
        <v>0</v>
      </c>
      <c r="U496" s="134">
        <f t="shared" si="227"/>
        <v>0.875</v>
      </c>
      <c r="V496" s="134">
        <f t="shared" ref="V496:W496" si="228">V498+V500+V502</f>
        <v>0</v>
      </c>
      <c r="W496" s="134">
        <f t="shared" si="228"/>
        <v>0</v>
      </c>
      <c r="X496" s="175"/>
      <c r="Y496" s="83"/>
    </row>
    <row r="497" spans="1:32" ht="24.9" customHeight="1">
      <c r="A497" s="539"/>
      <c r="B497" s="83" t="s">
        <v>299</v>
      </c>
      <c r="C497" s="83"/>
      <c r="D497" s="83"/>
      <c r="E497" s="83"/>
      <c r="F497" s="83"/>
      <c r="G497" s="81">
        <f t="shared" si="226"/>
        <v>0</v>
      </c>
      <c r="H497" s="81">
        <f t="shared" si="226"/>
        <v>0</v>
      </c>
      <c r="I497" s="81">
        <f t="shared" si="226"/>
        <v>0</v>
      </c>
      <c r="J497" s="81">
        <f t="shared" si="226"/>
        <v>0</v>
      </c>
      <c r="K497" s="81">
        <f t="shared" si="226"/>
        <v>0</v>
      </c>
      <c r="L497" s="134">
        <f t="shared" si="226"/>
        <v>0</v>
      </c>
      <c r="M497" s="134"/>
      <c r="N497" s="134"/>
      <c r="O497" s="134"/>
      <c r="P497" s="134"/>
      <c r="Q497" s="134">
        <f>Q501+Q503</f>
        <v>42978.9</v>
      </c>
      <c r="R497" s="134">
        <f t="shared" ref="R497:U497" si="229">R501+R503</f>
        <v>0</v>
      </c>
      <c r="S497" s="134">
        <f t="shared" si="229"/>
        <v>0</v>
      </c>
      <c r="T497" s="134">
        <f t="shared" si="229"/>
        <v>800</v>
      </c>
      <c r="U497" s="134">
        <f t="shared" si="229"/>
        <v>42178.9</v>
      </c>
      <c r="V497" s="134">
        <f>V499+V503</f>
        <v>67056.600000000006</v>
      </c>
      <c r="W497" s="134">
        <f>W499+W503</f>
        <v>29148.5</v>
      </c>
      <c r="X497" s="175"/>
      <c r="Y497" s="83"/>
      <c r="AF497" s="55">
        <v>121.8</v>
      </c>
    </row>
    <row r="498" spans="1:32" ht="24" customHeight="1">
      <c r="A498" s="540" t="s">
        <v>122</v>
      </c>
      <c r="B498" s="175" t="s">
        <v>91</v>
      </c>
      <c r="C498" s="175">
        <v>176</v>
      </c>
      <c r="D498" s="175" t="s">
        <v>16</v>
      </c>
      <c r="E498" s="175">
        <v>6100404</v>
      </c>
      <c r="F498" s="175">
        <v>243</v>
      </c>
      <c r="G498" s="75">
        <v>0</v>
      </c>
      <c r="H498" s="75">
        <v>0</v>
      </c>
      <c r="I498" s="75">
        <v>0</v>
      </c>
      <c r="J498" s="75">
        <v>0</v>
      </c>
      <c r="K498" s="75">
        <v>0</v>
      </c>
      <c r="L498" s="135">
        <v>0</v>
      </c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75"/>
      <c r="Y498" s="541" t="s">
        <v>403</v>
      </c>
    </row>
    <row r="499" spans="1:32" ht="24.6" customHeight="1">
      <c r="A499" s="540"/>
      <c r="B499" s="175" t="s">
        <v>299</v>
      </c>
      <c r="C499" s="175"/>
      <c r="D499" s="175"/>
      <c r="E499" s="175"/>
      <c r="F499" s="175"/>
      <c r="G499" s="75"/>
      <c r="H499" s="75"/>
      <c r="I499" s="75"/>
      <c r="J499" s="75"/>
      <c r="K499" s="7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>
        <v>29148.5</v>
      </c>
      <c r="X499" s="175"/>
      <c r="Y499" s="541"/>
    </row>
    <row r="500" spans="1:32" ht="24.6" customHeight="1">
      <c r="A500" s="536" t="s">
        <v>404</v>
      </c>
      <c r="B500" s="175" t="s">
        <v>91</v>
      </c>
      <c r="C500" s="175"/>
      <c r="D500" s="175"/>
      <c r="E500" s="175"/>
      <c r="F500" s="175"/>
      <c r="G500" s="75"/>
      <c r="H500" s="75"/>
      <c r="I500" s="75"/>
      <c r="J500" s="75"/>
      <c r="K500" s="75"/>
      <c r="L500" s="135"/>
      <c r="M500" s="135"/>
      <c r="N500" s="135"/>
      <c r="O500" s="135"/>
      <c r="P500" s="135"/>
      <c r="Q500" s="135">
        <f>U500</f>
        <v>0.875</v>
      </c>
      <c r="R500" s="135"/>
      <c r="S500" s="135"/>
      <c r="T500" s="135"/>
      <c r="U500" s="135">
        <v>0.875</v>
      </c>
      <c r="V500" s="135"/>
      <c r="W500" s="135"/>
      <c r="X500" s="175"/>
      <c r="Y500" s="533" t="s">
        <v>405</v>
      </c>
    </row>
    <row r="501" spans="1:32" ht="24.6" customHeight="1">
      <c r="A501" s="538"/>
      <c r="B501" s="175" t="s">
        <v>299</v>
      </c>
      <c r="C501" s="175"/>
      <c r="D501" s="175"/>
      <c r="E501" s="175"/>
      <c r="F501" s="175"/>
      <c r="G501" s="75"/>
      <c r="H501" s="75"/>
      <c r="I501" s="75"/>
      <c r="J501" s="75"/>
      <c r="K501" s="75"/>
      <c r="L501" s="135"/>
      <c r="M501" s="135"/>
      <c r="N501" s="135"/>
      <c r="O501" s="135"/>
      <c r="P501" s="135"/>
      <c r="Q501" s="135">
        <v>31637.8</v>
      </c>
      <c r="R501" s="135"/>
      <c r="S501" s="135"/>
      <c r="T501" s="135"/>
      <c r="U501" s="135">
        <v>31637.8</v>
      </c>
      <c r="V501" s="135"/>
      <c r="W501" s="135"/>
      <c r="X501" s="175"/>
      <c r="Y501" s="535"/>
    </row>
    <row r="502" spans="1:32" ht="24.6" customHeight="1">
      <c r="A502" s="540" t="s">
        <v>202</v>
      </c>
      <c r="B502" s="175" t="s">
        <v>91</v>
      </c>
      <c r="C502" s="175">
        <v>176</v>
      </c>
      <c r="D502" s="175" t="s">
        <v>16</v>
      </c>
      <c r="E502" s="175">
        <v>6100404</v>
      </c>
      <c r="F502" s="175">
        <v>243</v>
      </c>
      <c r="G502" s="75">
        <v>0</v>
      </c>
      <c r="H502" s="75">
        <v>0</v>
      </c>
      <c r="I502" s="75">
        <v>0</v>
      </c>
      <c r="J502" s="75">
        <v>0</v>
      </c>
      <c r="K502" s="75">
        <v>0</v>
      </c>
      <c r="L502" s="135">
        <v>0</v>
      </c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75"/>
      <c r="Y502" s="541" t="s">
        <v>685</v>
      </c>
    </row>
    <row r="503" spans="1:32" s="56" customFormat="1" ht="24" customHeight="1">
      <c r="A503" s="540"/>
      <c r="B503" s="175" t="s">
        <v>299</v>
      </c>
      <c r="C503" s="175"/>
      <c r="D503" s="175"/>
      <c r="E503" s="175"/>
      <c r="F503" s="175"/>
      <c r="G503" s="75"/>
      <c r="H503" s="75"/>
      <c r="I503" s="75"/>
      <c r="J503" s="75"/>
      <c r="K503" s="75"/>
      <c r="L503" s="135"/>
      <c r="M503" s="135"/>
      <c r="N503" s="135"/>
      <c r="O503" s="135"/>
      <c r="P503" s="135"/>
      <c r="Q503" s="135">
        <f>T503+U503</f>
        <v>11341.1</v>
      </c>
      <c r="R503" s="135"/>
      <c r="S503" s="135"/>
      <c r="T503" s="135">
        <v>800</v>
      </c>
      <c r="U503" s="135">
        <f>10541.1</f>
        <v>10541.1</v>
      </c>
      <c r="V503" s="135">
        <v>67056.600000000006</v>
      </c>
      <c r="W503" s="135"/>
      <c r="X503" s="175"/>
      <c r="Y503" s="541"/>
    </row>
    <row r="504" spans="1:32" s="56" customFormat="1" ht="24.6" hidden="1" customHeight="1">
      <c r="A504" s="181" t="s">
        <v>115</v>
      </c>
      <c r="B504" s="175" t="s">
        <v>91</v>
      </c>
      <c r="C504" s="175">
        <v>176</v>
      </c>
      <c r="D504" s="175" t="s">
        <v>16</v>
      </c>
      <c r="E504" s="175">
        <v>6100404</v>
      </c>
      <c r="F504" s="175">
        <v>243</v>
      </c>
      <c r="G504" s="75">
        <f>SUM(H504:K504)</f>
        <v>0</v>
      </c>
      <c r="H504" s="75">
        <v>0</v>
      </c>
      <c r="I504" s="75">
        <v>0</v>
      </c>
      <c r="J504" s="75">
        <v>0</v>
      </c>
      <c r="K504" s="75">
        <v>0</v>
      </c>
      <c r="L504" s="135">
        <v>0</v>
      </c>
      <c r="M504" s="135"/>
      <c r="N504" s="135"/>
      <c r="O504" s="135"/>
      <c r="P504" s="135"/>
      <c r="Q504" s="135">
        <v>0</v>
      </c>
      <c r="R504" s="135"/>
      <c r="S504" s="135"/>
      <c r="T504" s="135"/>
      <c r="U504" s="135"/>
      <c r="V504" s="135"/>
      <c r="W504" s="135"/>
      <c r="X504" s="175"/>
      <c r="Y504" s="175" t="s">
        <v>32</v>
      </c>
    </row>
    <row r="505" spans="1:32" s="56" customFormat="1" ht="24.6" hidden="1" customHeight="1">
      <c r="A505" s="181"/>
      <c r="B505" s="175" t="s">
        <v>299</v>
      </c>
      <c r="C505" s="175"/>
      <c r="D505" s="175"/>
      <c r="E505" s="175"/>
      <c r="F505" s="175"/>
      <c r="G505" s="75"/>
      <c r="H505" s="75"/>
      <c r="I505" s="75"/>
      <c r="J505" s="75"/>
      <c r="K505" s="7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75"/>
      <c r="Y505" s="175"/>
    </row>
    <row r="506" spans="1:32" s="56" customFormat="1" ht="22.2" customHeight="1">
      <c r="A506" s="564" t="s">
        <v>124</v>
      </c>
      <c r="B506" s="83" t="s">
        <v>91</v>
      </c>
      <c r="C506" s="83"/>
      <c r="D506" s="83"/>
      <c r="E506" s="83"/>
      <c r="F506" s="83"/>
      <c r="G506" s="81">
        <f>G510+G518</f>
        <v>2.5</v>
      </c>
      <c r="H506" s="81">
        <f t="shared" ref="H506:V506" si="230">H510+H518</f>
        <v>0</v>
      </c>
      <c r="I506" s="81">
        <f t="shared" si="230"/>
        <v>0</v>
      </c>
      <c r="J506" s="81">
        <f t="shared" si="230"/>
        <v>0</v>
      </c>
      <c r="K506" s="81">
        <f t="shared" si="230"/>
        <v>2.5</v>
      </c>
      <c r="L506" s="134">
        <f t="shared" si="230"/>
        <v>0</v>
      </c>
      <c r="M506" s="134"/>
      <c r="N506" s="134"/>
      <c r="O506" s="134"/>
      <c r="P506" s="134"/>
      <c r="Q506" s="134">
        <f>Q510+Q518+Q516</f>
        <v>0</v>
      </c>
      <c r="R506" s="134"/>
      <c r="S506" s="134"/>
      <c r="T506" s="134"/>
      <c r="U506" s="134"/>
      <c r="V506" s="134">
        <f t="shared" si="230"/>
        <v>0</v>
      </c>
      <c r="W506" s="134"/>
      <c r="X506" s="175"/>
      <c r="Y506" s="83"/>
    </row>
    <row r="507" spans="1:32" ht="24.6" customHeight="1">
      <c r="A507" s="564"/>
      <c r="B507" s="83" t="s">
        <v>299</v>
      </c>
      <c r="C507" s="83"/>
      <c r="D507" s="83"/>
      <c r="E507" s="83"/>
      <c r="F507" s="83"/>
      <c r="G507" s="81">
        <f>G508+G509</f>
        <v>72197.8</v>
      </c>
      <c r="H507" s="81">
        <f t="shared" ref="H507:V507" si="231">H508+H509</f>
        <v>0</v>
      </c>
      <c r="I507" s="81">
        <f t="shared" si="231"/>
        <v>6000</v>
      </c>
      <c r="J507" s="81">
        <f t="shared" si="231"/>
        <v>64438.600000000006</v>
      </c>
      <c r="K507" s="81">
        <f t="shared" si="231"/>
        <v>1759.2</v>
      </c>
      <c r="L507" s="134">
        <f t="shared" si="231"/>
        <v>0</v>
      </c>
      <c r="M507" s="134"/>
      <c r="N507" s="134"/>
      <c r="O507" s="134"/>
      <c r="P507" s="134"/>
      <c r="Q507" s="134">
        <f t="shared" si="231"/>
        <v>0</v>
      </c>
      <c r="R507" s="134"/>
      <c r="S507" s="134"/>
      <c r="T507" s="134"/>
      <c r="U507" s="134"/>
      <c r="V507" s="134">
        <f t="shared" si="231"/>
        <v>4077</v>
      </c>
      <c r="W507" s="134"/>
      <c r="X507" s="175"/>
      <c r="Y507" s="83"/>
    </row>
    <row r="508" spans="1:32" ht="24.6" hidden="1" customHeight="1">
      <c r="A508" s="564"/>
      <c r="B508" s="83" t="s">
        <v>300</v>
      </c>
      <c r="C508" s="83"/>
      <c r="D508" s="83"/>
      <c r="E508" s="83"/>
      <c r="F508" s="83"/>
      <c r="G508" s="81">
        <f>G512+G519</f>
        <v>41884</v>
      </c>
      <c r="H508" s="81">
        <f t="shared" ref="H508:V508" si="232">H512+H519</f>
        <v>0</v>
      </c>
      <c r="I508" s="81">
        <f t="shared" si="232"/>
        <v>0</v>
      </c>
      <c r="J508" s="81">
        <f t="shared" si="232"/>
        <v>40124.800000000003</v>
      </c>
      <c r="K508" s="81">
        <f t="shared" si="232"/>
        <v>1759.2</v>
      </c>
      <c r="L508" s="134">
        <f t="shared" si="232"/>
        <v>0</v>
      </c>
      <c r="M508" s="134"/>
      <c r="N508" s="134"/>
      <c r="O508" s="134"/>
      <c r="P508" s="134"/>
      <c r="Q508" s="134">
        <f>Q512+Q519+Q517</f>
        <v>0</v>
      </c>
      <c r="R508" s="134"/>
      <c r="S508" s="134"/>
      <c r="T508" s="134"/>
      <c r="U508" s="134"/>
      <c r="V508" s="134">
        <f t="shared" si="232"/>
        <v>4077</v>
      </c>
      <c r="W508" s="134"/>
      <c r="X508" s="175"/>
      <c r="Y508" s="83"/>
    </row>
    <row r="509" spans="1:32" ht="24" hidden="1" customHeight="1">
      <c r="A509" s="564"/>
      <c r="B509" s="83" t="s">
        <v>301</v>
      </c>
      <c r="C509" s="83"/>
      <c r="D509" s="83"/>
      <c r="E509" s="83"/>
      <c r="F509" s="83"/>
      <c r="G509" s="81">
        <f>G513</f>
        <v>30313.8</v>
      </c>
      <c r="H509" s="81">
        <f t="shared" ref="H509:V509" si="233">H513</f>
        <v>0</v>
      </c>
      <c r="I509" s="81">
        <f t="shared" si="233"/>
        <v>6000</v>
      </c>
      <c r="J509" s="81">
        <f t="shared" si="233"/>
        <v>24313.8</v>
      </c>
      <c r="K509" s="81">
        <f t="shared" si="233"/>
        <v>0</v>
      </c>
      <c r="L509" s="134">
        <f t="shared" si="233"/>
        <v>0</v>
      </c>
      <c r="M509" s="134"/>
      <c r="N509" s="134"/>
      <c r="O509" s="134"/>
      <c r="P509" s="134"/>
      <c r="Q509" s="134">
        <f t="shared" si="233"/>
        <v>0</v>
      </c>
      <c r="R509" s="134"/>
      <c r="S509" s="134"/>
      <c r="T509" s="134"/>
      <c r="U509" s="134"/>
      <c r="V509" s="134">
        <f t="shared" si="233"/>
        <v>0</v>
      </c>
      <c r="W509" s="134"/>
      <c r="X509" s="175"/>
      <c r="Y509" s="83"/>
    </row>
    <row r="510" spans="1:32" ht="24.6" hidden="1" customHeight="1">
      <c r="A510" s="540" t="s">
        <v>123</v>
      </c>
      <c r="B510" s="175" t="s">
        <v>91</v>
      </c>
      <c r="C510" s="175">
        <v>176</v>
      </c>
      <c r="D510" s="175" t="s">
        <v>16</v>
      </c>
      <c r="E510" s="175">
        <v>6100404</v>
      </c>
      <c r="F510" s="175">
        <v>243</v>
      </c>
      <c r="G510" s="75">
        <f>SUM(H510:K510)</f>
        <v>2.5</v>
      </c>
      <c r="H510" s="75"/>
      <c r="I510" s="75"/>
      <c r="J510" s="75"/>
      <c r="K510" s="75">
        <v>2.5</v>
      </c>
      <c r="L510" s="135">
        <v>0</v>
      </c>
      <c r="M510" s="135"/>
      <c r="N510" s="135"/>
      <c r="O510" s="135"/>
      <c r="P510" s="135"/>
      <c r="Q510" s="135">
        <v>0</v>
      </c>
      <c r="R510" s="135"/>
      <c r="S510" s="135"/>
      <c r="T510" s="135"/>
      <c r="U510" s="135"/>
      <c r="V510" s="135"/>
      <c r="W510" s="135"/>
      <c r="X510" s="175"/>
      <c r="Y510" s="541" t="s">
        <v>37</v>
      </c>
    </row>
    <row r="511" spans="1:32" ht="24.6" hidden="1" customHeight="1">
      <c r="A511" s="540"/>
      <c r="B511" s="175" t="s">
        <v>287</v>
      </c>
      <c r="C511" s="175"/>
      <c r="D511" s="175"/>
      <c r="E511" s="175"/>
      <c r="F511" s="175"/>
      <c r="G511" s="75">
        <f>G512+G513</f>
        <v>72197.8</v>
      </c>
      <c r="H511" s="75">
        <f t="shared" ref="H511:V511" si="234">H512+H513</f>
        <v>0</v>
      </c>
      <c r="I511" s="75">
        <f t="shared" si="234"/>
        <v>6000</v>
      </c>
      <c r="J511" s="75">
        <f t="shared" si="234"/>
        <v>64438.600000000006</v>
      </c>
      <c r="K511" s="75">
        <f t="shared" si="234"/>
        <v>1759.2</v>
      </c>
      <c r="L511" s="135">
        <f t="shared" si="234"/>
        <v>0</v>
      </c>
      <c r="M511" s="135"/>
      <c r="N511" s="135"/>
      <c r="O511" s="135"/>
      <c r="P511" s="135"/>
      <c r="Q511" s="135">
        <f t="shared" si="234"/>
        <v>0</v>
      </c>
      <c r="R511" s="135"/>
      <c r="S511" s="135"/>
      <c r="T511" s="135"/>
      <c r="U511" s="135"/>
      <c r="V511" s="135">
        <f t="shared" si="234"/>
        <v>0</v>
      </c>
      <c r="W511" s="135"/>
      <c r="X511" s="175"/>
      <c r="Y511" s="541"/>
    </row>
    <row r="512" spans="1:32" ht="24.6" hidden="1" customHeight="1">
      <c r="A512" s="540"/>
      <c r="B512" s="175" t="s">
        <v>300</v>
      </c>
      <c r="C512" s="175"/>
      <c r="D512" s="175"/>
      <c r="E512" s="175"/>
      <c r="F512" s="175"/>
      <c r="G512" s="75">
        <f>SUM(H512:K512)</f>
        <v>41884</v>
      </c>
      <c r="H512" s="75"/>
      <c r="I512" s="75"/>
      <c r="J512" s="75">
        <v>40124.800000000003</v>
      </c>
      <c r="K512" s="75">
        <f>3584.5-1825.3</f>
        <v>1759.2</v>
      </c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75"/>
      <c r="Y512" s="541"/>
    </row>
    <row r="513" spans="1:25" ht="24" hidden="1" customHeight="1">
      <c r="A513" s="540"/>
      <c r="B513" s="175" t="s">
        <v>301</v>
      </c>
      <c r="C513" s="175"/>
      <c r="D513" s="175"/>
      <c r="E513" s="175"/>
      <c r="F513" s="175"/>
      <c r="G513" s="75">
        <f>SUM(H513:K513)</f>
        <v>30313.8</v>
      </c>
      <c r="H513" s="75"/>
      <c r="I513" s="75">
        <v>6000</v>
      </c>
      <c r="J513" s="75">
        <v>24313.8</v>
      </c>
      <c r="K513" s="7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75"/>
      <c r="Y513" s="541"/>
    </row>
    <row r="514" spans="1:25" ht="24.6" hidden="1" customHeight="1">
      <c r="A514" s="560" t="s">
        <v>125</v>
      </c>
      <c r="B514" s="175" t="s">
        <v>91</v>
      </c>
      <c r="C514" s="175">
        <v>176</v>
      </c>
      <c r="D514" s="175" t="s">
        <v>16</v>
      </c>
      <c r="E514" s="175">
        <v>6100404</v>
      </c>
      <c r="F514" s="175">
        <v>243</v>
      </c>
      <c r="G514" s="75">
        <v>0</v>
      </c>
      <c r="H514" s="75">
        <v>0</v>
      </c>
      <c r="I514" s="75">
        <v>0</v>
      </c>
      <c r="J514" s="75">
        <v>0</v>
      </c>
      <c r="K514" s="75">
        <v>0</v>
      </c>
      <c r="L514" s="135">
        <v>0</v>
      </c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75"/>
      <c r="Y514" s="541" t="s">
        <v>38</v>
      </c>
    </row>
    <row r="515" spans="1:25" ht="24.6" hidden="1" customHeight="1">
      <c r="A515" s="560"/>
      <c r="B515" s="175" t="s">
        <v>299</v>
      </c>
      <c r="C515" s="175"/>
      <c r="D515" s="175"/>
      <c r="E515" s="175"/>
      <c r="F515" s="175"/>
      <c r="G515" s="75"/>
      <c r="H515" s="75"/>
      <c r="I515" s="75"/>
      <c r="J515" s="75"/>
      <c r="K515" s="7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75"/>
      <c r="Y515" s="541"/>
    </row>
    <row r="516" spans="1:25" ht="23.4" hidden="1" customHeight="1">
      <c r="A516" s="560" t="s">
        <v>434</v>
      </c>
      <c r="B516" s="175" t="s">
        <v>91</v>
      </c>
      <c r="C516" s="175">
        <v>176</v>
      </c>
      <c r="D516" s="175" t="s">
        <v>16</v>
      </c>
      <c r="E516" s="175">
        <v>6100404</v>
      </c>
      <c r="F516" s="175">
        <v>243</v>
      </c>
      <c r="G516" s="75">
        <v>0</v>
      </c>
      <c r="H516" s="75">
        <v>0</v>
      </c>
      <c r="I516" s="75">
        <v>0</v>
      </c>
      <c r="J516" s="75">
        <v>0</v>
      </c>
      <c r="K516" s="75">
        <v>0</v>
      </c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75"/>
      <c r="Y516" s="541" t="s">
        <v>352</v>
      </c>
    </row>
    <row r="517" spans="1:25" s="56" customFormat="1" ht="24.6" hidden="1" customHeight="1">
      <c r="A517" s="560"/>
      <c r="B517" s="175" t="s">
        <v>299</v>
      </c>
      <c r="C517" s="175"/>
      <c r="D517" s="175"/>
      <c r="E517" s="175"/>
      <c r="F517" s="175"/>
      <c r="G517" s="75"/>
      <c r="H517" s="75"/>
      <c r="I517" s="75"/>
      <c r="J517" s="75"/>
      <c r="K517" s="7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75"/>
      <c r="Y517" s="541"/>
    </row>
    <row r="518" spans="1:25" s="56" customFormat="1" ht="24.6" customHeight="1">
      <c r="A518" s="560" t="s">
        <v>115</v>
      </c>
      <c r="B518" s="175" t="s">
        <v>91</v>
      </c>
      <c r="C518" s="175">
        <v>176</v>
      </c>
      <c r="D518" s="175" t="s">
        <v>16</v>
      </c>
      <c r="E518" s="175">
        <v>6100404</v>
      </c>
      <c r="F518" s="175">
        <v>243</v>
      </c>
      <c r="G518" s="75">
        <v>0</v>
      </c>
      <c r="H518" s="75">
        <v>0</v>
      </c>
      <c r="I518" s="75">
        <v>0</v>
      </c>
      <c r="J518" s="75">
        <v>0</v>
      </c>
      <c r="K518" s="75">
        <v>0</v>
      </c>
      <c r="L518" s="135">
        <v>0</v>
      </c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75"/>
      <c r="Y518" s="541" t="s">
        <v>115</v>
      </c>
    </row>
    <row r="519" spans="1:25" ht="24.6" customHeight="1">
      <c r="A519" s="560"/>
      <c r="B519" s="175" t="s">
        <v>299</v>
      </c>
      <c r="C519" s="175"/>
      <c r="D519" s="175"/>
      <c r="E519" s="175"/>
      <c r="F519" s="175"/>
      <c r="G519" s="75"/>
      <c r="H519" s="75"/>
      <c r="I519" s="75"/>
      <c r="J519" s="75"/>
      <c r="K519" s="7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>
        <v>4077</v>
      </c>
      <c r="W519" s="135"/>
      <c r="X519" s="175"/>
      <c r="Y519" s="541"/>
    </row>
    <row r="520" spans="1:25" ht="24.6" customHeight="1">
      <c r="A520" s="539" t="s">
        <v>129</v>
      </c>
      <c r="B520" s="83" t="s">
        <v>91</v>
      </c>
      <c r="C520" s="83"/>
      <c r="D520" s="83"/>
      <c r="E520" s="83"/>
      <c r="F520" s="83"/>
      <c r="G520" s="81">
        <f>G522+G528</f>
        <v>4.91</v>
      </c>
      <c r="H520" s="81">
        <f t="shared" ref="H520:L521" si="235">H522+H528</f>
        <v>0</v>
      </c>
      <c r="I520" s="81">
        <f t="shared" si="235"/>
        <v>0</v>
      </c>
      <c r="J520" s="81">
        <f t="shared" si="235"/>
        <v>0</v>
      </c>
      <c r="K520" s="81">
        <f t="shared" si="235"/>
        <v>4.91</v>
      </c>
      <c r="L520" s="134">
        <f t="shared" si="235"/>
        <v>0</v>
      </c>
      <c r="M520" s="134"/>
      <c r="N520" s="134"/>
      <c r="O520" s="134"/>
      <c r="P520" s="134"/>
      <c r="Q520" s="134">
        <f>Q522+Q524</f>
        <v>1.59</v>
      </c>
      <c r="R520" s="134">
        <f t="shared" ref="R520:U520" si="236">R522+R524</f>
        <v>0</v>
      </c>
      <c r="S520" s="134">
        <f t="shared" si="236"/>
        <v>0</v>
      </c>
      <c r="T520" s="134">
        <f t="shared" si="236"/>
        <v>1.59</v>
      </c>
      <c r="U520" s="134">
        <f t="shared" si="236"/>
        <v>0</v>
      </c>
      <c r="V520" s="134">
        <f t="shared" ref="V520:W520" si="237">V522+V524</f>
        <v>1.4239999999999999</v>
      </c>
      <c r="W520" s="134">
        <f t="shared" si="237"/>
        <v>0</v>
      </c>
      <c r="X520" s="175"/>
      <c r="Y520" s="83"/>
    </row>
    <row r="521" spans="1:25" ht="24.6" customHeight="1">
      <c r="A521" s="539"/>
      <c r="B521" s="83" t="s">
        <v>299</v>
      </c>
      <c r="C521" s="83"/>
      <c r="D521" s="83"/>
      <c r="E521" s="83"/>
      <c r="F521" s="83"/>
      <c r="G521" s="81">
        <f>G523+G529</f>
        <v>24060.2</v>
      </c>
      <c r="H521" s="81">
        <f t="shared" si="235"/>
        <v>0</v>
      </c>
      <c r="I521" s="81">
        <f t="shared" si="235"/>
        <v>20037.2</v>
      </c>
      <c r="J521" s="81">
        <f t="shared" si="235"/>
        <v>4023</v>
      </c>
      <c r="K521" s="81">
        <f t="shared" si="235"/>
        <v>0</v>
      </c>
      <c r="L521" s="134">
        <f t="shared" si="235"/>
        <v>0</v>
      </c>
      <c r="M521" s="134"/>
      <c r="N521" s="134"/>
      <c r="O521" s="134"/>
      <c r="P521" s="134"/>
      <c r="Q521" s="134">
        <f>Q523+Q529+Q525</f>
        <v>67748.600000000006</v>
      </c>
      <c r="R521" s="134">
        <f t="shared" ref="R521:U521" si="238">R523+R529+R525</f>
        <v>0</v>
      </c>
      <c r="S521" s="134">
        <f t="shared" si="238"/>
        <v>0</v>
      </c>
      <c r="T521" s="134">
        <f t="shared" si="238"/>
        <v>60932.9</v>
      </c>
      <c r="U521" s="134">
        <f t="shared" si="238"/>
        <v>6815.7000000000007</v>
      </c>
      <c r="V521" s="134">
        <f t="shared" ref="V521:W521" si="239">V523+V529+V525</f>
        <v>10704.1</v>
      </c>
      <c r="W521" s="134">
        <f t="shared" si="239"/>
        <v>0</v>
      </c>
      <c r="X521" s="175"/>
      <c r="Y521" s="83"/>
    </row>
    <row r="522" spans="1:25" ht="22.95" customHeight="1">
      <c r="A522" s="540" t="s">
        <v>115</v>
      </c>
      <c r="B522" s="175" t="s">
        <v>91</v>
      </c>
      <c r="C522" s="175">
        <v>176</v>
      </c>
      <c r="D522" s="175" t="s">
        <v>16</v>
      </c>
      <c r="E522" s="175">
        <v>6100404</v>
      </c>
      <c r="F522" s="175">
        <v>243</v>
      </c>
      <c r="G522" s="75">
        <v>0</v>
      </c>
      <c r="H522" s="75">
        <v>0</v>
      </c>
      <c r="I522" s="75">
        <v>0</v>
      </c>
      <c r="J522" s="75">
        <v>0</v>
      </c>
      <c r="K522" s="75">
        <v>0</v>
      </c>
      <c r="L522" s="135">
        <v>0</v>
      </c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75"/>
      <c r="Y522" s="541" t="s">
        <v>115</v>
      </c>
    </row>
    <row r="523" spans="1:25" ht="24.6" customHeight="1">
      <c r="A523" s="540"/>
      <c r="B523" s="175" t="s">
        <v>299</v>
      </c>
      <c r="C523" s="175"/>
      <c r="D523" s="175"/>
      <c r="E523" s="175"/>
      <c r="F523" s="175"/>
      <c r="G523" s="75"/>
      <c r="H523" s="75"/>
      <c r="I523" s="75"/>
      <c r="J523" s="75"/>
      <c r="K523" s="75"/>
      <c r="L523" s="135"/>
      <c r="M523" s="135"/>
      <c r="N523" s="135"/>
      <c r="O523" s="135"/>
      <c r="P523" s="135"/>
      <c r="Q523" s="135">
        <f>U523</f>
        <v>6815.7000000000007</v>
      </c>
      <c r="R523" s="135"/>
      <c r="S523" s="135"/>
      <c r="T523" s="135"/>
      <c r="U523" s="135">
        <f>8796.2-1980.5</f>
        <v>6815.7000000000007</v>
      </c>
      <c r="V523" s="135">
        <v>8000</v>
      </c>
      <c r="W523" s="135"/>
      <c r="X523" s="175"/>
      <c r="Y523" s="541"/>
    </row>
    <row r="524" spans="1:25" ht="24.6" customHeight="1">
      <c r="A524" s="536" t="s">
        <v>203</v>
      </c>
      <c r="B524" s="175" t="s">
        <v>91</v>
      </c>
      <c r="C524" s="175">
        <v>176</v>
      </c>
      <c r="D524" s="175" t="s">
        <v>16</v>
      </c>
      <c r="E524" s="175">
        <v>6100404</v>
      </c>
      <c r="F524" s="175">
        <v>243</v>
      </c>
      <c r="G524" s="75">
        <v>0</v>
      </c>
      <c r="H524" s="75">
        <v>0</v>
      </c>
      <c r="I524" s="75">
        <v>0</v>
      </c>
      <c r="J524" s="75">
        <v>0</v>
      </c>
      <c r="K524" s="75">
        <v>0</v>
      </c>
      <c r="L524" s="135"/>
      <c r="M524" s="135"/>
      <c r="N524" s="135"/>
      <c r="O524" s="135"/>
      <c r="P524" s="135"/>
      <c r="Q524" s="135">
        <v>1.59</v>
      </c>
      <c r="R524" s="135"/>
      <c r="S524" s="135"/>
      <c r="T524" s="135">
        <v>1.59</v>
      </c>
      <c r="U524" s="135"/>
      <c r="V524" s="419">
        <v>1.4239999999999999</v>
      </c>
      <c r="W524" s="168"/>
      <c r="X524" s="175"/>
      <c r="Y524" s="533" t="s">
        <v>420</v>
      </c>
    </row>
    <row r="525" spans="1:25" ht="23.4" customHeight="1">
      <c r="A525" s="538"/>
      <c r="B525" s="175" t="s">
        <v>299</v>
      </c>
      <c r="C525" s="175"/>
      <c r="D525" s="175"/>
      <c r="E525" s="175"/>
      <c r="F525" s="175"/>
      <c r="G525" s="75"/>
      <c r="H525" s="75"/>
      <c r="I525" s="75"/>
      <c r="J525" s="75"/>
      <c r="K525" s="75"/>
      <c r="L525" s="135"/>
      <c r="M525" s="135"/>
      <c r="N525" s="135"/>
      <c r="O525" s="135"/>
      <c r="P525" s="135"/>
      <c r="Q525" s="135">
        <f>T525</f>
        <v>60932.9</v>
      </c>
      <c r="R525" s="135"/>
      <c r="S525" s="135"/>
      <c r="T525" s="135">
        <f>61253.1-320.2</f>
        <v>60932.9</v>
      </c>
      <c r="U525" s="135"/>
      <c r="V525" s="135">
        <v>2704.1</v>
      </c>
      <c r="W525" s="135"/>
      <c r="X525" s="175"/>
      <c r="Y525" s="535"/>
    </row>
    <row r="526" spans="1:25" ht="24.6" hidden="1" customHeight="1">
      <c r="A526" s="181" t="s">
        <v>204</v>
      </c>
      <c r="B526" s="175" t="s">
        <v>91</v>
      </c>
      <c r="C526" s="175">
        <v>176</v>
      </c>
      <c r="D526" s="175" t="s">
        <v>16</v>
      </c>
      <c r="E526" s="175">
        <v>6100404</v>
      </c>
      <c r="F526" s="175">
        <v>243</v>
      </c>
      <c r="G526" s="75">
        <v>0</v>
      </c>
      <c r="H526" s="75">
        <v>0</v>
      </c>
      <c r="I526" s="75">
        <v>0</v>
      </c>
      <c r="J526" s="75">
        <v>0</v>
      </c>
      <c r="K526" s="75">
        <v>0</v>
      </c>
      <c r="L526" s="135">
        <v>0</v>
      </c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75"/>
      <c r="Y526" s="175" t="s">
        <v>36</v>
      </c>
    </row>
    <row r="527" spans="1:25" ht="24.6" hidden="1" customHeight="1">
      <c r="A527" s="181"/>
      <c r="B527" s="175" t="s">
        <v>299</v>
      </c>
      <c r="C527" s="175"/>
      <c r="D527" s="175"/>
      <c r="E527" s="175"/>
      <c r="F527" s="175"/>
      <c r="G527" s="75"/>
      <c r="H527" s="75"/>
      <c r="I527" s="75"/>
      <c r="J527" s="75"/>
      <c r="K527" s="7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75"/>
      <c r="Y527" s="175"/>
    </row>
    <row r="528" spans="1:25" ht="0.6" hidden="1" customHeight="1">
      <c r="A528" s="181" t="s">
        <v>210</v>
      </c>
      <c r="B528" s="175" t="s">
        <v>91</v>
      </c>
      <c r="C528" s="175">
        <v>176</v>
      </c>
      <c r="D528" s="175" t="s">
        <v>16</v>
      </c>
      <c r="E528" s="175">
        <v>6100404</v>
      </c>
      <c r="F528" s="175">
        <v>243</v>
      </c>
      <c r="G528" s="75">
        <f>SUM(H528:K528)</f>
        <v>4.91</v>
      </c>
      <c r="H528" s="75"/>
      <c r="I528" s="75"/>
      <c r="J528" s="75"/>
      <c r="K528" s="75">
        <v>4.91</v>
      </c>
      <c r="L528" s="135">
        <v>0</v>
      </c>
      <c r="M528" s="135"/>
      <c r="N528" s="135"/>
      <c r="O528" s="135"/>
      <c r="P528" s="135"/>
      <c r="Q528" s="135">
        <v>0</v>
      </c>
      <c r="R528" s="135"/>
      <c r="S528" s="135"/>
      <c r="T528" s="135"/>
      <c r="U528" s="135"/>
      <c r="V528" s="135"/>
      <c r="W528" s="135"/>
      <c r="X528" s="175"/>
      <c r="Y528" s="541" t="s">
        <v>279</v>
      </c>
    </row>
    <row r="529" spans="1:32" s="56" customFormat="1" ht="24.6" hidden="1" customHeight="1">
      <c r="A529" s="181"/>
      <c r="B529" s="175" t="s">
        <v>299</v>
      </c>
      <c r="C529" s="175"/>
      <c r="D529" s="175"/>
      <c r="E529" s="175"/>
      <c r="F529" s="175"/>
      <c r="G529" s="75">
        <f>SUM(H529:K529)</f>
        <v>24060.2</v>
      </c>
      <c r="H529" s="75"/>
      <c r="I529" s="75">
        <v>20037.2</v>
      </c>
      <c r="J529" s="75">
        <f>24060.2-I529</f>
        <v>4023</v>
      </c>
      <c r="K529" s="7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75"/>
      <c r="Y529" s="541"/>
    </row>
    <row r="530" spans="1:32" s="56" customFormat="1" ht="24.6" hidden="1" customHeight="1">
      <c r="A530" s="181" t="s">
        <v>205</v>
      </c>
      <c r="B530" s="175" t="s">
        <v>91</v>
      </c>
      <c r="C530" s="175">
        <v>176</v>
      </c>
      <c r="D530" s="175" t="s">
        <v>16</v>
      </c>
      <c r="E530" s="175">
        <v>6100404</v>
      </c>
      <c r="F530" s="175">
        <v>243</v>
      </c>
      <c r="G530" s="75"/>
      <c r="H530" s="75"/>
      <c r="I530" s="75">
        <v>0</v>
      </c>
      <c r="J530" s="75">
        <v>0</v>
      </c>
      <c r="K530" s="75">
        <v>0</v>
      </c>
      <c r="L530" s="135">
        <v>0</v>
      </c>
      <c r="M530" s="135"/>
      <c r="N530" s="135"/>
      <c r="O530" s="135"/>
      <c r="P530" s="135"/>
      <c r="Q530" s="135">
        <v>0</v>
      </c>
      <c r="R530" s="135"/>
      <c r="S530" s="135"/>
      <c r="T530" s="135"/>
      <c r="U530" s="135"/>
      <c r="V530" s="135"/>
      <c r="W530" s="135"/>
      <c r="X530" s="175"/>
      <c r="Y530" s="175" t="s">
        <v>32</v>
      </c>
    </row>
    <row r="531" spans="1:32" ht="24.6" hidden="1" customHeight="1">
      <c r="A531" s="181"/>
      <c r="B531" s="175" t="s">
        <v>299</v>
      </c>
      <c r="C531" s="175"/>
      <c r="D531" s="175"/>
      <c r="E531" s="175"/>
      <c r="F531" s="175"/>
      <c r="G531" s="75"/>
      <c r="H531" s="75"/>
      <c r="I531" s="75"/>
      <c r="J531" s="75"/>
      <c r="K531" s="7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75"/>
      <c r="Y531" s="175"/>
      <c r="AF531" s="55">
        <v>34.700000000000003</v>
      </c>
    </row>
    <row r="532" spans="1:32" ht="24.9" customHeight="1">
      <c r="A532" s="539" t="s">
        <v>127</v>
      </c>
      <c r="B532" s="83" t="s">
        <v>91</v>
      </c>
      <c r="C532" s="83"/>
      <c r="D532" s="83"/>
      <c r="E532" s="83"/>
      <c r="F532" s="83"/>
      <c r="G532" s="81">
        <f t="shared" ref="G532:L533" si="240">G534+G536+G540+G544</f>
        <v>0</v>
      </c>
      <c r="H532" s="81">
        <f t="shared" si="240"/>
        <v>0</v>
      </c>
      <c r="I532" s="81">
        <f t="shared" si="240"/>
        <v>0</v>
      </c>
      <c r="J532" s="81">
        <f t="shared" si="240"/>
        <v>0</v>
      </c>
      <c r="K532" s="81">
        <f t="shared" si="240"/>
        <v>0</v>
      </c>
      <c r="L532" s="134">
        <f t="shared" si="240"/>
        <v>0</v>
      </c>
      <c r="M532" s="134"/>
      <c r="N532" s="134"/>
      <c r="O532" s="134"/>
      <c r="P532" s="134"/>
      <c r="Q532" s="200">
        <f>Q534+Q536+Q540+Q542+Q544</f>
        <v>4.8000000000000001E-2</v>
      </c>
      <c r="R532" s="200">
        <f t="shared" ref="R532:U532" si="241">R534+R536+R540+R542+R544</f>
        <v>0</v>
      </c>
      <c r="S532" s="200">
        <f t="shared" si="241"/>
        <v>0</v>
      </c>
      <c r="T532" s="200">
        <f t="shared" si="241"/>
        <v>0</v>
      </c>
      <c r="U532" s="200">
        <f t="shared" si="241"/>
        <v>4.8000000000000001E-2</v>
      </c>
      <c r="V532" s="200">
        <f t="shared" ref="V532" si="242">V534+V536+V540+V542+V544</f>
        <v>4</v>
      </c>
      <c r="W532" s="196">
        <v>0</v>
      </c>
      <c r="X532" s="175"/>
      <c r="Y532" s="83"/>
    </row>
    <row r="533" spans="1:32" ht="41.25" customHeight="1">
      <c r="A533" s="539"/>
      <c r="B533" s="83" t="s">
        <v>299</v>
      </c>
      <c r="C533" s="83"/>
      <c r="D533" s="83"/>
      <c r="E533" s="83"/>
      <c r="F533" s="83"/>
      <c r="G533" s="81">
        <f t="shared" si="240"/>
        <v>0</v>
      </c>
      <c r="H533" s="81">
        <f t="shared" si="240"/>
        <v>0</v>
      </c>
      <c r="I533" s="81">
        <f t="shared" si="240"/>
        <v>0</v>
      </c>
      <c r="J533" s="81">
        <f t="shared" si="240"/>
        <v>0</v>
      </c>
      <c r="K533" s="81">
        <f t="shared" si="240"/>
        <v>0</v>
      </c>
      <c r="L533" s="134">
        <f t="shared" si="240"/>
        <v>0</v>
      </c>
      <c r="M533" s="134"/>
      <c r="N533" s="134"/>
      <c r="O533" s="134"/>
      <c r="P533" s="134"/>
      <c r="Q533" s="134">
        <f>Q535+Q537+Q541+Q543+Q545</f>
        <v>44592</v>
      </c>
      <c r="R533" s="134">
        <f t="shared" ref="R533:U533" si="243">R535+R537+R541+R543+R545</f>
        <v>0</v>
      </c>
      <c r="S533" s="134">
        <f t="shared" si="243"/>
        <v>4275</v>
      </c>
      <c r="T533" s="134">
        <f t="shared" si="243"/>
        <v>29653.1</v>
      </c>
      <c r="U533" s="134">
        <f t="shared" si="243"/>
        <v>10663.9</v>
      </c>
      <c r="V533" s="134">
        <f t="shared" ref="V533:W533" si="244">V535+V537+V541+V543+V545</f>
        <v>104130.3</v>
      </c>
      <c r="W533" s="134">
        <f t="shared" si="244"/>
        <v>38152.199999999997</v>
      </c>
      <c r="X533" s="175"/>
      <c r="Y533" s="83"/>
      <c r="AF533" s="55">
        <v>37</v>
      </c>
    </row>
    <row r="534" spans="1:32" ht="23.4" customHeight="1">
      <c r="A534" s="540" t="s">
        <v>126</v>
      </c>
      <c r="B534" s="175" t="s">
        <v>91</v>
      </c>
      <c r="C534" s="175">
        <v>176</v>
      </c>
      <c r="D534" s="175" t="s">
        <v>16</v>
      </c>
      <c r="E534" s="175">
        <v>6100404</v>
      </c>
      <c r="F534" s="175">
        <v>243</v>
      </c>
      <c r="G534" s="75"/>
      <c r="H534" s="75">
        <v>0</v>
      </c>
      <c r="I534" s="75">
        <v>0</v>
      </c>
      <c r="J534" s="75"/>
      <c r="K534" s="75"/>
      <c r="L534" s="135">
        <v>0</v>
      </c>
      <c r="M534" s="135"/>
      <c r="N534" s="135"/>
      <c r="O534" s="135"/>
      <c r="P534" s="135"/>
      <c r="Q534" s="135">
        <v>4.8000000000000001E-2</v>
      </c>
      <c r="R534" s="135"/>
      <c r="S534" s="135"/>
      <c r="T534" s="135"/>
      <c r="U534" s="135">
        <v>4.8000000000000001E-2</v>
      </c>
      <c r="V534" s="135"/>
      <c r="W534" s="135"/>
      <c r="X534" s="175"/>
      <c r="Y534" s="541" t="s">
        <v>662</v>
      </c>
    </row>
    <row r="535" spans="1:32" ht="24.6" customHeight="1">
      <c r="A535" s="540"/>
      <c r="B535" s="175" t="s">
        <v>299</v>
      </c>
      <c r="C535" s="175"/>
      <c r="D535" s="175"/>
      <c r="E535" s="175"/>
      <c r="F535" s="175"/>
      <c r="G535" s="75"/>
      <c r="H535" s="75"/>
      <c r="I535" s="75"/>
      <c r="J535" s="75"/>
      <c r="K535" s="75"/>
      <c r="L535" s="135"/>
      <c r="M535" s="135"/>
      <c r="N535" s="135"/>
      <c r="O535" s="135"/>
      <c r="P535" s="135"/>
      <c r="Q535" s="135">
        <f>S535+T535+U535</f>
        <v>23488.9</v>
      </c>
      <c r="R535" s="135"/>
      <c r="S535" s="135">
        <v>4275</v>
      </c>
      <c r="T535" s="135">
        <v>8550</v>
      </c>
      <c r="U535" s="135">
        <f>10687.5-23.6</f>
        <v>10663.9</v>
      </c>
      <c r="V535" s="135"/>
      <c r="W535" s="135"/>
      <c r="X535" s="175"/>
      <c r="Y535" s="541"/>
    </row>
    <row r="536" spans="1:32" ht="24.6" customHeight="1">
      <c r="A536" s="540" t="s">
        <v>197</v>
      </c>
      <c r="B536" s="175" t="s">
        <v>91</v>
      </c>
      <c r="C536" s="175">
        <v>176</v>
      </c>
      <c r="D536" s="175" t="s">
        <v>16</v>
      </c>
      <c r="E536" s="175">
        <v>6100404</v>
      </c>
      <c r="F536" s="175">
        <v>243</v>
      </c>
      <c r="G536" s="75"/>
      <c r="H536" s="75">
        <v>0</v>
      </c>
      <c r="I536" s="75">
        <v>0</v>
      </c>
      <c r="J536" s="75"/>
      <c r="K536" s="75"/>
      <c r="L536" s="135">
        <v>0</v>
      </c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75"/>
      <c r="Y536" s="541" t="s">
        <v>663</v>
      </c>
    </row>
    <row r="537" spans="1:32" ht="24" customHeight="1">
      <c r="A537" s="540"/>
      <c r="B537" s="175" t="s">
        <v>299</v>
      </c>
      <c r="C537" s="175"/>
      <c r="D537" s="175"/>
      <c r="E537" s="175"/>
      <c r="F537" s="175"/>
      <c r="G537" s="75"/>
      <c r="H537" s="75"/>
      <c r="I537" s="75"/>
      <c r="J537" s="75"/>
      <c r="K537" s="75"/>
      <c r="L537" s="135"/>
      <c r="M537" s="135"/>
      <c r="N537" s="135"/>
      <c r="O537" s="135"/>
      <c r="P537" s="135"/>
      <c r="Q537" s="135">
        <f>T537</f>
        <v>10945</v>
      </c>
      <c r="R537" s="135"/>
      <c r="S537" s="135"/>
      <c r="T537" s="135">
        <f>11000-55</f>
        <v>10945</v>
      </c>
      <c r="U537" s="135"/>
      <c r="V537" s="135">
        <v>23249</v>
      </c>
      <c r="W537" s="135"/>
      <c r="X537" s="175"/>
      <c r="Y537" s="541"/>
    </row>
    <row r="538" spans="1:32" ht="0.6" hidden="1" customHeight="1">
      <c r="A538" s="181" t="s">
        <v>198</v>
      </c>
      <c r="B538" s="175" t="s">
        <v>91</v>
      </c>
      <c r="C538" s="175">
        <v>176</v>
      </c>
      <c r="D538" s="175" t="s">
        <v>16</v>
      </c>
      <c r="E538" s="175">
        <v>6100404</v>
      </c>
      <c r="F538" s="175">
        <v>243</v>
      </c>
      <c r="G538" s="75">
        <v>0</v>
      </c>
      <c r="H538" s="75">
        <v>0</v>
      </c>
      <c r="I538" s="75">
        <v>0</v>
      </c>
      <c r="J538" s="75">
        <v>0</v>
      </c>
      <c r="K538" s="75">
        <v>0</v>
      </c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75"/>
      <c r="Y538" s="175" t="s">
        <v>272</v>
      </c>
    </row>
    <row r="539" spans="1:32" ht="24.6" hidden="1" customHeight="1">
      <c r="A539" s="181"/>
      <c r="B539" s="175" t="s">
        <v>299</v>
      </c>
      <c r="C539" s="175"/>
      <c r="D539" s="175"/>
      <c r="E539" s="175"/>
      <c r="F539" s="175"/>
      <c r="G539" s="75"/>
      <c r="H539" s="75"/>
      <c r="I539" s="75"/>
      <c r="J539" s="75"/>
      <c r="K539" s="7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75"/>
      <c r="Y539" s="175"/>
    </row>
    <row r="540" spans="1:32" ht="24.9" customHeight="1">
      <c r="A540" s="540" t="s">
        <v>199</v>
      </c>
      <c r="B540" s="175" t="s">
        <v>91</v>
      </c>
      <c r="C540" s="175">
        <v>176</v>
      </c>
      <c r="D540" s="175" t="s">
        <v>16</v>
      </c>
      <c r="E540" s="175">
        <v>6100404</v>
      </c>
      <c r="F540" s="175">
        <v>243</v>
      </c>
      <c r="G540" s="75">
        <v>0</v>
      </c>
      <c r="H540" s="75">
        <v>0</v>
      </c>
      <c r="I540" s="75">
        <v>0</v>
      </c>
      <c r="J540" s="75">
        <v>0</v>
      </c>
      <c r="K540" s="75">
        <v>0</v>
      </c>
      <c r="L540" s="135">
        <v>0</v>
      </c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75"/>
      <c r="Y540" s="541" t="s">
        <v>663</v>
      </c>
    </row>
    <row r="541" spans="1:32" s="56" customFormat="1" ht="24.6" customHeight="1">
      <c r="A541" s="540"/>
      <c r="B541" s="175" t="s">
        <v>299</v>
      </c>
      <c r="C541" s="175"/>
      <c r="D541" s="175"/>
      <c r="E541" s="175"/>
      <c r="F541" s="175"/>
      <c r="G541" s="75"/>
      <c r="H541" s="75"/>
      <c r="I541" s="75"/>
      <c r="J541" s="75"/>
      <c r="K541" s="7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>
        <f>30163-27000</f>
        <v>3163</v>
      </c>
      <c r="W541" s="135"/>
      <c r="X541" s="175"/>
      <c r="Y541" s="541"/>
    </row>
    <row r="542" spans="1:32" s="56" customFormat="1" ht="24.6" customHeight="1">
      <c r="A542" s="536" t="s">
        <v>406</v>
      </c>
      <c r="B542" s="175" t="s">
        <v>91</v>
      </c>
      <c r="C542" s="175"/>
      <c r="D542" s="175"/>
      <c r="E542" s="175"/>
      <c r="F542" s="175"/>
      <c r="G542" s="75"/>
      <c r="H542" s="75"/>
      <c r="I542" s="75"/>
      <c r="J542" s="75"/>
      <c r="K542" s="7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>
        <v>4</v>
      </c>
      <c r="W542" s="135"/>
      <c r="X542" s="175"/>
      <c r="Y542" s="533" t="s">
        <v>407</v>
      </c>
    </row>
    <row r="543" spans="1:32" s="56" customFormat="1" ht="24.6" customHeight="1">
      <c r="A543" s="538"/>
      <c r="B543" s="175" t="s">
        <v>299</v>
      </c>
      <c r="C543" s="175"/>
      <c r="D543" s="175"/>
      <c r="E543" s="175"/>
      <c r="F543" s="175"/>
      <c r="G543" s="75"/>
      <c r="H543" s="75"/>
      <c r="I543" s="75"/>
      <c r="J543" s="75"/>
      <c r="K543" s="7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>
        <v>77718.3</v>
      </c>
      <c r="W543" s="135">
        <v>38152.199999999997</v>
      </c>
      <c r="X543" s="175"/>
      <c r="Y543" s="535"/>
    </row>
    <row r="544" spans="1:32" s="56" customFormat="1" ht="24.9" customHeight="1">
      <c r="A544" s="540" t="s">
        <v>115</v>
      </c>
      <c r="B544" s="175" t="s">
        <v>91</v>
      </c>
      <c r="C544" s="175">
        <v>176</v>
      </c>
      <c r="D544" s="175" t="s">
        <v>16</v>
      </c>
      <c r="E544" s="175">
        <v>6100404</v>
      </c>
      <c r="F544" s="175">
        <v>243</v>
      </c>
      <c r="G544" s="75"/>
      <c r="H544" s="75"/>
      <c r="I544" s="75">
        <v>0</v>
      </c>
      <c r="J544" s="75"/>
      <c r="K544" s="75">
        <v>0</v>
      </c>
      <c r="L544" s="135">
        <v>0</v>
      </c>
      <c r="M544" s="135"/>
      <c r="N544" s="135"/>
      <c r="O544" s="135"/>
      <c r="P544" s="135"/>
      <c r="Q544" s="135">
        <v>0</v>
      </c>
      <c r="R544" s="135"/>
      <c r="S544" s="135"/>
      <c r="T544" s="135"/>
      <c r="U544" s="135"/>
      <c r="V544" s="135"/>
      <c r="W544" s="135"/>
      <c r="X544" s="175"/>
      <c r="Y544" s="541" t="s">
        <v>408</v>
      </c>
    </row>
    <row r="545" spans="1:25" ht="24.9" customHeight="1">
      <c r="A545" s="540"/>
      <c r="B545" s="175" t="s">
        <v>299</v>
      </c>
      <c r="C545" s="175"/>
      <c r="D545" s="175"/>
      <c r="E545" s="175"/>
      <c r="F545" s="175"/>
      <c r="G545" s="75"/>
      <c r="H545" s="75"/>
      <c r="I545" s="75"/>
      <c r="J545" s="75"/>
      <c r="K545" s="75"/>
      <c r="L545" s="135"/>
      <c r="M545" s="135"/>
      <c r="N545" s="135"/>
      <c r="O545" s="135"/>
      <c r="P545" s="135"/>
      <c r="Q545" s="135">
        <f>T545</f>
        <v>10158.1</v>
      </c>
      <c r="R545" s="135"/>
      <c r="S545" s="135"/>
      <c r="T545" s="135">
        <f>12578-2201.1-218.8</f>
        <v>10158.1</v>
      </c>
      <c r="U545" s="135"/>
      <c r="V545" s="135"/>
      <c r="W545" s="135"/>
      <c r="X545" s="175"/>
      <c r="Y545" s="541"/>
    </row>
    <row r="546" spans="1:25" ht="24.9" customHeight="1">
      <c r="A546" s="539" t="s">
        <v>104</v>
      </c>
      <c r="B546" s="83" t="s">
        <v>91</v>
      </c>
      <c r="C546" s="83"/>
      <c r="D546" s="83"/>
      <c r="E546" s="83"/>
      <c r="F546" s="83"/>
      <c r="G546" s="81">
        <f>G548</f>
        <v>0</v>
      </c>
      <c r="H546" s="81">
        <f t="shared" ref="H546:W547" si="245">H548</f>
        <v>0</v>
      </c>
      <c r="I546" s="81">
        <f t="shared" si="245"/>
        <v>0</v>
      </c>
      <c r="J546" s="81">
        <f t="shared" si="245"/>
        <v>0</v>
      </c>
      <c r="K546" s="81">
        <f t="shared" si="245"/>
        <v>0</v>
      </c>
      <c r="L546" s="134">
        <f t="shared" si="245"/>
        <v>0</v>
      </c>
      <c r="M546" s="134"/>
      <c r="N546" s="134"/>
      <c r="O546" s="134"/>
      <c r="P546" s="134"/>
      <c r="Q546" s="134">
        <f t="shared" si="245"/>
        <v>0</v>
      </c>
      <c r="R546" s="134"/>
      <c r="S546" s="134"/>
      <c r="T546" s="134"/>
      <c r="U546" s="134"/>
      <c r="V546" s="134">
        <f t="shared" si="245"/>
        <v>0</v>
      </c>
      <c r="W546" s="134">
        <f t="shared" si="245"/>
        <v>0</v>
      </c>
      <c r="X546" s="175"/>
      <c r="Y546" s="83"/>
    </row>
    <row r="547" spans="1:25" ht="24.9" customHeight="1">
      <c r="A547" s="539"/>
      <c r="B547" s="83" t="s">
        <v>299</v>
      </c>
      <c r="C547" s="83"/>
      <c r="D547" s="83"/>
      <c r="E547" s="83"/>
      <c r="F547" s="83"/>
      <c r="G547" s="81">
        <f>G549</f>
        <v>0</v>
      </c>
      <c r="H547" s="81">
        <f t="shared" si="245"/>
        <v>0</v>
      </c>
      <c r="I547" s="81">
        <f t="shared" si="245"/>
        <v>0</v>
      </c>
      <c r="J547" s="81">
        <f t="shared" si="245"/>
        <v>0</v>
      </c>
      <c r="K547" s="81">
        <f t="shared" si="245"/>
        <v>0</v>
      </c>
      <c r="L547" s="134">
        <f t="shared" si="245"/>
        <v>0</v>
      </c>
      <c r="M547" s="134"/>
      <c r="N547" s="134"/>
      <c r="O547" s="134"/>
      <c r="P547" s="134"/>
      <c r="Q547" s="134">
        <f t="shared" si="245"/>
        <v>0</v>
      </c>
      <c r="R547" s="134"/>
      <c r="S547" s="134"/>
      <c r="T547" s="134"/>
      <c r="U547" s="134"/>
      <c r="V547" s="134">
        <f t="shared" si="245"/>
        <v>3237.3</v>
      </c>
      <c r="W547" s="134">
        <f t="shared" si="245"/>
        <v>0</v>
      </c>
      <c r="X547" s="175"/>
      <c r="Y547" s="83"/>
    </row>
    <row r="548" spans="1:25" ht="24.9" customHeight="1">
      <c r="A548" s="536" t="s">
        <v>113</v>
      </c>
      <c r="B548" s="175" t="s">
        <v>91</v>
      </c>
      <c r="C548" s="175">
        <v>176</v>
      </c>
      <c r="D548" s="175" t="s">
        <v>16</v>
      </c>
      <c r="E548" s="175">
        <v>6100404</v>
      </c>
      <c r="F548" s="175">
        <v>243</v>
      </c>
      <c r="G548" s="75">
        <v>0</v>
      </c>
      <c r="H548" s="75">
        <v>0</v>
      </c>
      <c r="I548" s="75">
        <v>0</v>
      </c>
      <c r="J548" s="75">
        <v>0</v>
      </c>
      <c r="K548" s="75">
        <v>0</v>
      </c>
      <c r="L548" s="135">
        <v>0</v>
      </c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75"/>
      <c r="Y548" s="541" t="s">
        <v>408</v>
      </c>
    </row>
    <row r="549" spans="1:25" ht="24.9" customHeight="1">
      <c r="A549" s="538"/>
      <c r="B549" s="175" t="s">
        <v>299</v>
      </c>
      <c r="C549" s="175"/>
      <c r="D549" s="175"/>
      <c r="E549" s="175"/>
      <c r="F549" s="175"/>
      <c r="G549" s="75"/>
      <c r="H549" s="75"/>
      <c r="I549" s="75"/>
      <c r="J549" s="75"/>
      <c r="K549" s="7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>
        <v>3237.3</v>
      </c>
      <c r="W549" s="135"/>
      <c r="X549" s="175"/>
      <c r="Y549" s="541"/>
    </row>
    <row r="550" spans="1:25" ht="24.9" customHeight="1">
      <c r="A550" s="539" t="s">
        <v>172</v>
      </c>
      <c r="B550" s="83" t="s">
        <v>91</v>
      </c>
      <c r="C550" s="175"/>
      <c r="D550" s="175"/>
      <c r="E550" s="175"/>
      <c r="F550" s="175"/>
      <c r="G550" s="75">
        <f>G554</f>
        <v>0</v>
      </c>
      <c r="H550" s="75">
        <f t="shared" ref="H550:L551" si="246">H554</f>
        <v>0</v>
      </c>
      <c r="I550" s="75">
        <f t="shared" si="246"/>
        <v>0</v>
      </c>
      <c r="J550" s="75">
        <f t="shared" si="246"/>
        <v>0</v>
      </c>
      <c r="K550" s="75">
        <f t="shared" si="246"/>
        <v>0</v>
      </c>
      <c r="L550" s="135">
        <f t="shared" si="246"/>
        <v>0</v>
      </c>
      <c r="M550" s="135"/>
      <c r="N550" s="135"/>
      <c r="O550" s="135"/>
      <c r="P550" s="135"/>
      <c r="Q550" s="134">
        <f>Q552+Q554</f>
        <v>0.09</v>
      </c>
      <c r="R550" s="134">
        <f t="shared" ref="R550:S550" si="247">R552+R554</f>
        <v>0</v>
      </c>
      <c r="S550" s="134">
        <f t="shared" si="247"/>
        <v>0</v>
      </c>
      <c r="T550" s="134"/>
      <c r="U550" s="134">
        <v>0.09</v>
      </c>
      <c r="V550" s="134">
        <f t="shared" ref="V550:W550" si="248">V552+V554</f>
        <v>0</v>
      </c>
      <c r="W550" s="134">
        <f t="shared" si="248"/>
        <v>0</v>
      </c>
      <c r="X550" s="175"/>
      <c r="Y550" s="175"/>
    </row>
    <row r="551" spans="1:25" s="56" customFormat="1" ht="24.9" customHeight="1">
      <c r="A551" s="539"/>
      <c r="B551" s="83" t="s">
        <v>299</v>
      </c>
      <c r="C551" s="175"/>
      <c r="D551" s="175"/>
      <c r="E551" s="175"/>
      <c r="F551" s="175"/>
      <c r="G551" s="75">
        <f>G555</f>
        <v>0</v>
      </c>
      <c r="H551" s="75">
        <f t="shared" si="246"/>
        <v>0</v>
      </c>
      <c r="I551" s="75">
        <f t="shared" si="246"/>
        <v>0</v>
      </c>
      <c r="J551" s="75">
        <f t="shared" si="246"/>
        <v>0</v>
      </c>
      <c r="K551" s="75">
        <f t="shared" si="246"/>
        <v>0</v>
      </c>
      <c r="L551" s="135">
        <f t="shared" si="246"/>
        <v>0</v>
      </c>
      <c r="M551" s="135"/>
      <c r="N551" s="135"/>
      <c r="O551" s="135"/>
      <c r="P551" s="135"/>
      <c r="Q551" s="134">
        <f>Q553+Q555</f>
        <v>49253.599999999999</v>
      </c>
      <c r="R551" s="134">
        <f t="shared" ref="R551:U551" si="249">R553+R555</f>
        <v>19324.2</v>
      </c>
      <c r="S551" s="134">
        <f t="shared" si="249"/>
        <v>15325.8</v>
      </c>
      <c r="T551" s="134">
        <f t="shared" si="249"/>
        <v>10350</v>
      </c>
      <c r="U551" s="134">
        <f t="shared" si="249"/>
        <v>4253.6000000000004</v>
      </c>
      <c r="V551" s="134">
        <f t="shared" ref="V551:W551" si="250">V553+V555</f>
        <v>5329.3</v>
      </c>
      <c r="W551" s="134">
        <f t="shared" si="250"/>
        <v>16000</v>
      </c>
      <c r="X551" s="175"/>
      <c r="Y551" s="175"/>
    </row>
    <row r="552" spans="1:25" s="56" customFormat="1" ht="24.9" customHeight="1">
      <c r="A552" s="536" t="s">
        <v>113</v>
      </c>
      <c r="B552" s="175" t="s">
        <v>91</v>
      </c>
      <c r="C552" s="175"/>
      <c r="D552" s="175"/>
      <c r="E552" s="175"/>
      <c r="F552" s="175"/>
      <c r="G552" s="75"/>
      <c r="H552" s="75"/>
      <c r="I552" s="75"/>
      <c r="J552" s="75"/>
      <c r="K552" s="7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4"/>
      <c r="W552" s="135">
        <v>0</v>
      </c>
      <c r="X552" s="175"/>
      <c r="Y552" s="533" t="s">
        <v>408</v>
      </c>
    </row>
    <row r="553" spans="1:25" s="56" customFormat="1" ht="24.9" customHeight="1">
      <c r="A553" s="538"/>
      <c r="B553" s="175" t="s">
        <v>299</v>
      </c>
      <c r="C553" s="175"/>
      <c r="D553" s="175"/>
      <c r="E553" s="175"/>
      <c r="F553" s="175"/>
      <c r="G553" s="75"/>
      <c r="H553" s="75"/>
      <c r="I553" s="75"/>
      <c r="J553" s="75"/>
      <c r="K553" s="7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4"/>
      <c r="W553" s="135">
        <v>16000</v>
      </c>
      <c r="X553" s="175"/>
      <c r="Y553" s="535"/>
    </row>
    <row r="554" spans="1:25" s="56" customFormat="1" ht="24.9" customHeight="1">
      <c r="A554" s="540" t="s">
        <v>306</v>
      </c>
      <c r="B554" s="175" t="s">
        <v>91</v>
      </c>
      <c r="C554" s="175"/>
      <c r="D554" s="175"/>
      <c r="E554" s="175"/>
      <c r="F554" s="175"/>
      <c r="G554" s="75"/>
      <c r="H554" s="75"/>
      <c r="I554" s="75"/>
      <c r="J554" s="75"/>
      <c r="K554" s="75"/>
      <c r="L554" s="135"/>
      <c r="M554" s="135"/>
      <c r="N554" s="135"/>
      <c r="O554" s="135"/>
      <c r="P554" s="135"/>
      <c r="Q554" s="135">
        <v>0.09</v>
      </c>
      <c r="R554" s="135"/>
      <c r="S554" s="135"/>
      <c r="T554" s="135">
        <v>0.09</v>
      </c>
      <c r="U554" s="135"/>
      <c r="V554" s="135"/>
      <c r="W554" s="135"/>
      <c r="X554" s="175"/>
      <c r="Y554" s="541" t="s">
        <v>691</v>
      </c>
    </row>
    <row r="555" spans="1:25" ht="24.9" customHeight="1">
      <c r="A555" s="540"/>
      <c r="B555" s="175" t="s">
        <v>299</v>
      </c>
      <c r="C555" s="175"/>
      <c r="D555" s="175"/>
      <c r="E555" s="175"/>
      <c r="F555" s="175"/>
      <c r="G555" s="75"/>
      <c r="H555" s="75"/>
      <c r="I555" s="75"/>
      <c r="J555" s="75"/>
      <c r="K555" s="75"/>
      <c r="L555" s="135"/>
      <c r="M555" s="135"/>
      <c r="N555" s="135"/>
      <c r="O555" s="135"/>
      <c r="P555" s="135"/>
      <c r="Q555" s="135">
        <f>R555+S555+T555+U555</f>
        <v>49253.599999999999</v>
      </c>
      <c r="R555" s="135">
        <v>19324.2</v>
      </c>
      <c r="S555" s="135">
        <v>15325.8</v>
      </c>
      <c r="T555" s="135">
        <v>10350</v>
      </c>
      <c r="U555" s="135">
        <f>5329.3-1075.7</f>
        <v>4253.6000000000004</v>
      </c>
      <c r="V555" s="135">
        <v>5329.3</v>
      </c>
      <c r="W555" s="135"/>
      <c r="X555" s="175"/>
      <c r="Y555" s="541"/>
    </row>
    <row r="556" spans="1:25" ht="24.9" customHeight="1">
      <c r="A556" s="539" t="s">
        <v>130</v>
      </c>
      <c r="B556" s="83" t="s">
        <v>91</v>
      </c>
      <c r="C556" s="83"/>
      <c r="D556" s="83"/>
      <c r="E556" s="83"/>
      <c r="F556" s="83"/>
      <c r="G556" s="81">
        <f>G560</f>
        <v>0</v>
      </c>
      <c r="H556" s="81">
        <f t="shared" ref="H556:V557" si="251">H560</f>
        <v>0</v>
      </c>
      <c r="I556" s="81">
        <f t="shared" si="251"/>
        <v>0</v>
      </c>
      <c r="J556" s="81">
        <f t="shared" si="251"/>
        <v>0</v>
      </c>
      <c r="K556" s="81">
        <f t="shared" si="251"/>
        <v>0</v>
      </c>
      <c r="L556" s="134">
        <f t="shared" si="251"/>
        <v>0</v>
      </c>
      <c r="M556" s="134"/>
      <c r="N556" s="134"/>
      <c r="O556" s="134"/>
      <c r="P556" s="134"/>
      <c r="Q556" s="134">
        <f t="shared" si="251"/>
        <v>0</v>
      </c>
      <c r="R556" s="134"/>
      <c r="S556" s="134"/>
      <c r="T556" s="134"/>
      <c r="U556" s="134"/>
      <c r="V556" s="134">
        <f t="shared" si="251"/>
        <v>0</v>
      </c>
      <c r="W556" s="134">
        <f>W558</f>
        <v>0</v>
      </c>
      <c r="X556" s="175"/>
      <c r="Y556" s="83"/>
    </row>
    <row r="557" spans="1:25" s="56" customFormat="1" ht="24.9" customHeight="1">
      <c r="A557" s="539"/>
      <c r="B557" s="83" t="s">
        <v>299</v>
      </c>
      <c r="C557" s="83"/>
      <c r="D557" s="83"/>
      <c r="E557" s="83"/>
      <c r="F557" s="83"/>
      <c r="G557" s="81">
        <f>G561</f>
        <v>0</v>
      </c>
      <c r="H557" s="81">
        <f t="shared" si="251"/>
        <v>0</v>
      </c>
      <c r="I557" s="81">
        <f t="shared" si="251"/>
        <v>0</v>
      </c>
      <c r="J557" s="81">
        <f t="shared" si="251"/>
        <v>0</v>
      </c>
      <c r="K557" s="81">
        <f t="shared" si="251"/>
        <v>0</v>
      </c>
      <c r="L557" s="134">
        <f t="shared" si="251"/>
        <v>5366</v>
      </c>
      <c r="M557" s="134">
        <f t="shared" si="251"/>
        <v>0</v>
      </c>
      <c r="N557" s="134">
        <f t="shared" si="251"/>
        <v>0</v>
      </c>
      <c r="O557" s="134">
        <f t="shared" si="251"/>
        <v>0</v>
      </c>
      <c r="P557" s="134">
        <f t="shared" si="251"/>
        <v>5366</v>
      </c>
      <c r="Q557" s="134">
        <f t="shared" si="251"/>
        <v>12262.900000000001</v>
      </c>
      <c r="R557" s="134">
        <f t="shared" si="251"/>
        <v>0</v>
      </c>
      <c r="S557" s="134">
        <f t="shared" si="251"/>
        <v>0</v>
      </c>
      <c r="T557" s="134">
        <f t="shared" si="251"/>
        <v>7366.8</v>
      </c>
      <c r="U557" s="134">
        <f t="shared" si="251"/>
        <v>4896.1000000000004</v>
      </c>
      <c r="V557" s="134">
        <f t="shared" si="251"/>
        <v>0</v>
      </c>
      <c r="W557" s="134">
        <f>W559</f>
        <v>0</v>
      </c>
      <c r="X557" s="175"/>
      <c r="Y557" s="83"/>
    </row>
    <row r="558" spans="1:25" s="56" customFormat="1" ht="24.6" hidden="1" customHeight="1">
      <c r="A558" s="536" t="s">
        <v>466</v>
      </c>
      <c r="B558" s="175" t="s">
        <v>91</v>
      </c>
      <c r="C558" s="83"/>
      <c r="D558" s="83"/>
      <c r="E558" s="83"/>
      <c r="F558" s="83"/>
      <c r="G558" s="81"/>
      <c r="H558" s="81"/>
      <c r="I558" s="81"/>
      <c r="J558" s="81"/>
      <c r="K558" s="81"/>
      <c r="L558" s="134"/>
      <c r="M558" s="134"/>
      <c r="N558" s="134"/>
      <c r="O558" s="134"/>
      <c r="P558" s="134"/>
      <c r="Q558" s="134"/>
      <c r="R558" s="134"/>
      <c r="S558" s="134"/>
      <c r="T558" s="134"/>
      <c r="U558" s="134"/>
      <c r="V558" s="134"/>
      <c r="W558" s="135"/>
      <c r="X558" s="175"/>
      <c r="Y558" s="533" t="s">
        <v>368</v>
      </c>
    </row>
    <row r="559" spans="1:25" s="56" customFormat="1" ht="24.6" hidden="1" customHeight="1">
      <c r="A559" s="538"/>
      <c r="B559" s="175" t="s">
        <v>299</v>
      </c>
      <c r="C559" s="83"/>
      <c r="D559" s="83"/>
      <c r="E559" s="83"/>
      <c r="F559" s="83"/>
      <c r="G559" s="81"/>
      <c r="H559" s="81"/>
      <c r="I559" s="81"/>
      <c r="J559" s="81"/>
      <c r="K559" s="81"/>
      <c r="L559" s="134"/>
      <c r="M559" s="134"/>
      <c r="N559" s="134"/>
      <c r="O559" s="134"/>
      <c r="P559" s="134"/>
      <c r="Q559" s="134"/>
      <c r="R559" s="134"/>
      <c r="S559" s="134"/>
      <c r="T559" s="134"/>
      <c r="U559" s="134"/>
      <c r="V559" s="134"/>
      <c r="W559" s="135"/>
      <c r="X559" s="175"/>
      <c r="Y559" s="535"/>
    </row>
    <row r="560" spans="1:25" s="56" customFormat="1" ht="23.4" customHeight="1">
      <c r="A560" s="540" t="s">
        <v>113</v>
      </c>
      <c r="B560" s="175" t="s">
        <v>91</v>
      </c>
      <c r="C560" s="175">
        <v>176</v>
      </c>
      <c r="D560" s="175" t="s">
        <v>16</v>
      </c>
      <c r="E560" s="175">
        <v>6100404</v>
      </c>
      <c r="F560" s="175">
        <v>243</v>
      </c>
      <c r="G560" s="75">
        <v>0</v>
      </c>
      <c r="H560" s="75">
        <v>0</v>
      </c>
      <c r="I560" s="75">
        <v>0</v>
      </c>
      <c r="J560" s="75">
        <v>0</v>
      </c>
      <c r="K560" s="75">
        <v>0</v>
      </c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75"/>
      <c r="Y560" s="541" t="s">
        <v>366</v>
      </c>
    </row>
    <row r="561" spans="1:32" ht="24.6" customHeight="1">
      <c r="A561" s="540"/>
      <c r="B561" s="175" t="s">
        <v>299</v>
      </c>
      <c r="C561" s="175"/>
      <c r="D561" s="175"/>
      <c r="E561" s="175"/>
      <c r="F561" s="175"/>
      <c r="G561" s="75"/>
      <c r="H561" s="75"/>
      <c r="I561" s="75"/>
      <c r="J561" s="75"/>
      <c r="K561" s="75"/>
      <c r="L561" s="135">
        <v>5366</v>
      </c>
      <c r="M561" s="135"/>
      <c r="N561" s="135"/>
      <c r="O561" s="135"/>
      <c r="P561" s="135">
        <v>5366</v>
      </c>
      <c r="Q561" s="135">
        <f>T561+U561</f>
        <v>12262.900000000001</v>
      </c>
      <c r="R561" s="135"/>
      <c r="S561" s="135"/>
      <c r="T561" s="135">
        <f>14000-6633.2</f>
        <v>7366.8</v>
      </c>
      <c r="U561" s="135">
        <f>7624-2727.9</f>
        <v>4896.1000000000004</v>
      </c>
      <c r="V561" s="135">
        <v>0</v>
      </c>
      <c r="W561" s="135"/>
      <c r="X561" s="175"/>
      <c r="Y561" s="541"/>
    </row>
    <row r="562" spans="1:32" ht="24.6" customHeight="1">
      <c r="A562" s="539" t="s">
        <v>132</v>
      </c>
      <c r="B562" s="83" t="s">
        <v>91</v>
      </c>
      <c r="C562" s="83"/>
      <c r="D562" s="83"/>
      <c r="E562" s="83"/>
      <c r="F562" s="83"/>
      <c r="G562" s="81">
        <f>G564+G570</f>
        <v>2.5</v>
      </c>
      <c r="H562" s="81">
        <f t="shared" ref="H562:W563" si="252">H564+H570</f>
        <v>0</v>
      </c>
      <c r="I562" s="81">
        <f t="shared" si="252"/>
        <v>0</v>
      </c>
      <c r="J562" s="81">
        <f t="shared" si="252"/>
        <v>0</v>
      </c>
      <c r="K562" s="81">
        <f t="shared" si="252"/>
        <v>2.4849999999999999</v>
      </c>
      <c r="L562" s="134">
        <f t="shared" si="252"/>
        <v>0</v>
      </c>
      <c r="M562" s="134"/>
      <c r="N562" s="134"/>
      <c r="O562" s="134"/>
      <c r="P562" s="134"/>
      <c r="Q562" s="134">
        <f t="shared" si="252"/>
        <v>0</v>
      </c>
      <c r="R562" s="134"/>
      <c r="S562" s="134"/>
      <c r="T562" s="134"/>
      <c r="U562" s="134"/>
      <c r="V562" s="134">
        <f t="shared" si="252"/>
        <v>0</v>
      </c>
      <c r="W562" s="134">
        <f t="shared" si="252"/>
        <v>0</v>
      </c>
      <c r="X562" s="175"/>
      <c r="Y562" s="83"/>
    </row>
    <row r="563" spans="1:32" ht="22.2" customHeight="1">
      <c r="A563" s="539"/>
      <c r="B563" s="83" t="s">
        <v>299</v>
      </c>
      <c r="C563" s="83"/>
      <c r="D563" s="83"/>
      <c r="E563" s="83"/>
      <c r="F563" s="83"/>
      <c r="G563" s="81">
        <f>G565+G571</f>
        <v>18300.8</v>
      </c>
      <c r="H563" s="81">
        <f t="shared" si="252"/>
        <v>2060.6</v>
      </c>
      <c r="I563" s="81">
        <f t="shared" si="252"/>
        <v>16240.2</v>
      </c>
      <c r="J563" s="81">
        <f t="shared" si="252"/>
        <v>0</v>
      </c>
      <c r="K563" s="81">
        <f t="shared" si="252"/>
        <v>0</v>
      </c>
      <c r="L563" s="134">
        <f t="shared" si="252"/>
        <v>2368.4</v>
      </c>
      <c r="M563" s="134">
        <f t="shared" si="252"/>
        <v>2368.4</v>
      </c>
      <c r="N563" s="134">
        <f t="shared" si="252"/>
        <v>0</v>
      </c>
      <c r="O563" s="134">
        <f t="shared" si="252"/>
        <v>0</v>
      </c>
      <c r="P563" s="134">
        <f t="shared" si="252"/>
        <v>0</v>
      </c>
      <c r="Q563" s="134">
        <f t="shared" si="252"/>
        <v>6629.2</v>
      </c>
      <c r="R563" s="134">
        <f t="shared" si="252"/>
        <v>0</v>
      </c>
      <c r="S563" s="134">
        <f t="shared" si="252"/>
        <v>0</v>
      </c>
      <c r="T563" s="134">
        <f t="shared" si="252"/>
        <v>6629.2</v>
      </c>
      <c r="U563" s="134">
        <f t="shared" si="252"/>
        <v>0</v>
      </c>
      <c r="V563" s="134">
        <f t="shared" si="252"/>
        <v>0</v>
      </c>
      <c r="W563" s="134">
        <f t="shared" si="252"/>
        <v>0</v>
      </c>
      <c r="X563" s="175"/>
      <c r="Y563" s="83"/>
    </row>
    <row r="564" spans="1:32" ht="27" hidden="1" customHeight="1">
      <c r="A564" s="540" t="s">
        <v>131</v>
      </c>
      <c r="B564" s="175" t="s">
        <v>91</v>
      </c>
      <c r="C564" s="175">
        <v>176</v>
      </c>
      <c r="D564" s="175" t="s">
        <v>16</v>
      </c>
      <c r="E564" s="175">
        <v>6100404</v>
      </c>
      <c r="F564" s="175">
        <v>243</v>
      </c>
      <c r="G564" s="75">
        <v>2.5</v>
      </c>
      <c r="H564" s="75"/>
      <c r="I564" s="75"/>
      <c r="J564" s="75"/>
      <c r="K564" s="75">
        <v>2.4849999999999999</v>
      </c>
      <c r="L564" s="135"/>
      <c r="M564" s="135"/>
      <c r="N564" s="135"/>
      <c r="O564" s="135"/>
      <c r="P564" s="135"/>
      <c r="Q564" s="135">
        <v>0</v>
      </c>
      <c r="R564" s="135"/>
      <c r="S564" s="135"/>
      <c r="T564" s="135"/>
      <c r="U564" s="135"/>
      <c r="V564" s="135"/>
      <c r="W564" s="135"/>
      <c r="X564" s="175"/>
      <c r="Y564" s="541" t="s">
        <v>39</v>
      </c>
    </row>
    <row r="565" spans="1:32" ht="27.75" hidden="1" customHeight="1">
      <c r="A565" s="540"/>
      <c r="B565" s="175" t="s">
        <v>299</v>
      </c>
      <c r="C565" s="175"/>
      <c r="D565" s="175"/>
      <c r="E565" s="175"/>
      <c r="F565" s="175"/>
      <c r="G565" s="75">
        <f>SUM(H565:K565)</f>
        <v>18300.8</v>
      </c>
      <c r="H565" s="75">
        <v>2060.6</v>
      </c>
      <c r="I565" s="75">
        <f>16356.6-116.4</f>
        <v>16240.2</v>
      </c>
      <c r="J565" s="75"/>
      <c r="K565" s="7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75"/>
      <c r="Y565" s="541"/>
      <c r="AF565" s="55">
        <v>123.1</v>
      </c>
    </row>
    <row r="566" spans="1:32" ht="23.25" hidden="1" customHeight="1">
      <c r="A566" s="181" t="s">
        <v>200</v>
      </c>
      <c r="B566" s="175" t="s">
        <v>91</v>
      </c>
      <c r="C566" s="175">
        <v>176</v>
      </c>
      <c r="D566" s="175" t="s">
        <v>16</v>
      </c>
      <c r="E566" s="175">
        <v>6100404</v>
      </c>
      <c r="F566" s="175">
        <v>243</v>
      </c>
      <c r="G566" s="75">
        <v>0</v>
      </c>
      <c r="H566" s="75">
        <v>0</v>
      </c>
      <c r="I566" s="75">
        <v>0</v>
      </c>
      <c r="J566" s="75">
        <v>0</v>
      </c>
      <c r="K566" s="75">
        <v>0</v>
      </c>
      <c r="L566" s="135">
        <v>0</v>
      </c>
      <c r="M566" s="135"/>
      <c r="N566" s="135"/>
      <c r="O566" s="135"/>
      <c r="P566" s="135"/>
      <c r="Q566" s="135">
        <v>0</v>
      </c>
      <c r="R566" s="135"/>
      <c r="S566" s="135"/>
      <c r="T566" s="135"/>
      <c r="U566" s="135"/>
      <c r="V566" s="135"/>
      <c r="W566" s="135"/>
      <c r="X566" s="175"/>
      <c r="Y566" s="175"/>
    </row>
    <row r="567" spans="1:32" ht="23.25" hidden="1" customHeight="1">
      <c r="A567" s="181"/>
      <c r="B567" s="175" t="s">
        <v>299</v>
      </c>
      <c r="C567" s="175"/>
      <c r="D567" s="175"/>
      <c r="E567" s="175"/>
      <c r="F567" s="175"/>
      <c r="G567" s="75"/>
      <c r="H567" s="75"/>
      <c r="I567" s="75"/>
      <c r="J567" s="75"/>
      <c r="K567" s="7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75"/>
      <c r="Y567" s="175"/>
    </row>
    <row r="568" spans="1:32" ht="24" hidden="1" customHeight="1">
      <c r="A568" s="181" t="s">
        <v>201</v>
      </c>
      <c r="B568" s="175" t="s">
        <v>91</v>
      </c>
      <c r="C568" s="175">
        <v>176</v>
      </c>
      <c r="D568" s="175" t="s">
        <v>16</v>
      </c>
      <c r="E568" s="175">
        <v>6100404</v>
      </c>
      <c r="F568" s="175">
        <v>243</v>
      </c>
      <c r="G568" s="75">
        <v>0</v>
      </c>
      <c r="H568" s="75">
        <v>0</v>
      </c>
      <c r="I568" s="75">
        <v>0</v>
      </c>
      <c r="J568" s="75">
        <v>0</v>
      </c>
      <c r="K568" s="75">
        <v>0</v>
      </c>
      <c r="L568" s="135">
        <v>0</v>
      </c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75"/>
      <c r="Y568" s="175" t="s">
        <v>96</v>
      </c>
    </row>
    <row r="569" spans="1:32" s="56" customFormat="1" ht="24.9" hidden="1" customHeight="1">
      <c r="A569" s="181"/>
      <c r="B569" s="175" t="s">
        <v>299</v>
      </c>
      <c r="C569" s="175"/>
      <c r="D569" s="175"/>
      <c r="E569" s="175"/>
      <c r="F569" s="175"/>
      <c r="G569" s="75"/>
      <c r="H569" s="75"/>
      <c r="I569" s="75"/>
      <c r="J569" s="75"/>
      <c r="K569" s="7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75"/>
      <c r="Y569" s="175"/>
    </row>
    <row r="570" spans="1:32" s="56" customFormat="1" ht="23.4" customHeight="1">
      <c r="A570" s="540" t="s">
        <v>113</v>
      </c>
      <c r="B570" s="175" t="s">
        <v>91</v>
      </c>
      <c r="C570" s="175">
        <v>176</v>
      </c>
      <c r="D570" s="175" t="s">
        <v>16</v>
      </c>
      <c r="E570" s="175">
        <v>6100404</v>
      </c>
      <c r="F570" s="175">
        <v>243</v>
      </c>
      <c r="G570" s="75"/>
      <c r="H570" s="75"/>
      <c r="I570" s="75">
        <v>0</v>
      </c>
      <c r="J570" s="75">
        <v>0</v>
      </c>
      <c r="K570" s="75">
        <v>0</v>
      </c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75"/>
      <c r="Y570" s="541" t="s">
        <v>366</v>
      </c>
    </row>
    <row r="571" spans="1:32" ht="24.6" customHeight="1">
      <c r="A571" s="540"/>
      <c r="B571" s="175" t="s">
        <v>299</v>
      </c>
      <c r="C571" s="175"/>
      <c r="D571" s="175"/>
      <c r="E571" s="175"/>
      <c r="F571" s="175"/>
      <c r="G571" s="75"/>
      <c r="H571" s="75"/>
      <c r="I571" s="75"/>
      <c r="J571" s="75"/>
      <c r="K571" s="75"/>
      <c r="L571" s="135">
        <f>2515.8-147.4</f>
        <v>2368.4</v>
      </c>
      <c r="M571" s="135">
        <v>2368.4</v>
      </c>
      <c r="N571" s="135"/>
      <c r="O571" s="135"/>
      <c r="P571" s="135"/>
      <c r="Q571" s="135">
        <v>6629.2</v>
      </c>
      <c r="R571" s="135"/>
      <c r="S571" s="135"/>
      <c r="T571" s="135">
        <v>6629.2</v>
      </c>
      <c r="U571" s="135"/>
      <c r="V571" s="135"/>
      <c r="W571" s="135"/>
      <c r="X571" s="175"/>
      <c r="Y571" s="541"/>
    </row>
    <row r="572" spans="1:32" ht="24.6" customHeight="1">
      <c r="A572" s="539" t="s">
        <v>134</v>
      </c>
      <c r="B572" s="83" t="s">
        <v>91</v>
      </c>
      <c r="C572" s="83"/>
      <c r="D572" s="83"/>
      <c r="E572" s="83"/>
      <c r="F572" s="83"/>
      <c r="G572" s="81">
        <f>G574+G576</f>
        <v>1.53</v>
      </c>
      <c r="H572" s="81">
        <f t="shared" ref="H572:V573" si="253">H574+H576</f>
        <v>0</v>
      </c>
      <c r="I572" s="81">
        <f t="shared" si="253"/>
        <v>0</v>
      </c>
      <c r="J572" s="81">
        <f t="shared" si="253"/>
        <v>0</v>
      </c>
      <c r="K572" s="81">
        <f t="shared" si="253"/>
        <v>1.53</v>
      </c>
      <c r="L572" s="134">
        <f t="shared" si="253"/>
        <v>0</v>
      </c>
      <c r="M572" s="134"/>
      <c r="N572" s="134"/>
      <c r="O572" s="134"/>
      <c r="P572" s="134"/>
      <c r="Q572" s="134">
        <f t="shared" si="253"/>
        <v>1.72</v>
      </c>
      <c r="R572" s="134">
        <f t="shared" si="253"/>
        <v>0</v>
      </c>
      <c r="S572" s="134">
        <f t="shared" si="253"/>
        <v>0</v>
      </c>
      <c r="T572" s="134">
        <f t="shared" si="253"/>
        <v>0</v>
      </c>
      <c r="U572" s="134">
        <f t="shared" si="253"/>
        <v>1.72</v>
      </c>
      <c r="V572" s="134">
        <f t="shared" si="253"/>
        <v>0</v>
      </c>
      <c r="W572" s="134"/>
      <c r="X572" s="175"/>
      <c r="Y572" s="83"/>
    </row>
    <row r="573" spans="1:32" ht="24.6" customHeight="1">
      <c r="A573" s="539"/>
      <c r="B573" s="83" t="s">
        <v>299</v>
      </c>
      <c r="C573" s="83"/>
      <c r="D573" s="83"/>
      <c r="E573" s="83"/>
      <c r="F573" s="83"/>
      <c r="G573" s="81">
        <f>G575+G577</f>
        <v>15392.1</v>
      </c>
      <c r="H573" s="81">
        <f t="shared" si="253"/>
        <v>0</v>
      </c>
      <c r="I573" s="81">
        <f t="shared" si="253"/>
        <v>0</v>
      </c>
      <c r="J573" s="81">
        <f t="shared" si="253"/>
        <v>15392.1</v>
      </c>
      <c r="K573" s="81">
        <f t="shared" si="253"/>
        <v>0</v>
      </c>
      <c r="L573" s="134">
        <f t="shared" si="253"/>
        <v>3936.2000000000003</v>
      </c>
      <c r="M573" s="134">
        <f t="shared" si="253"/>
        <v>3936.2000000000003</v>
      </c>
      <c r="N573" s="134"/>
      <c r="O573" s="134"/>
      <c r="P573" s="134"/>
      <c r="Q573" s="134">
        <f t="shared" si="253"/>
        <v>29242.799999999999</v>
      </c>
      <c r="R573" s="134">
        <f t="shared" si="253"/>
        <v>0</v>
      </c>
      <c r="S573" s="134">
        <f t="shared" si="253"/>
        <v>0</v>
      </c>
      <c r="T573" s="134">
        <f t="shared" si="253"/>
        <v>0</v>
      </c>
      <c r="U573" s="134">
        <f t="shared" si="253"/>
        <v>29242.799999999999</v>
      </c>
      <c r="V573" s="134">
        <f t="shared" si="253"/>
        <v>0</v>
      </c>
      <c r="W573" s="134"/>
      <c r="X573" s="175"/>
      <c r="Y573" s="83"/>
    </row>
    <row r="574" spans="1:32" ht="22.2" customHeight="1">
      <c r="A574" s="540" t="s">
        <v>133</v>
      </c>
      <c r="B574" s="175" t="s">
        <v>91</v>
      </c>
      <c r="C574" s="175">
        <v>176</v>
      </c>
      <c r="D574" s="175" t="s">
        <v>16</v>
      </c>
      <c r="E574" s="175">
        <v>6100404</v>
      </c>
      <c r="F574" s="175">
        <v>243</v>
      </c>
      <c r="G574" s="75">
        <f>SUM(H574:K574)</f>
        <v>1.53</v>
      </c>
      <c r="H574" s="75">
        <v>0</v>
      </c>
      <c r="I574" s="75"/>
      <c r="J574" s="75"/>
      <c r="K574" s="75">
        <v>1.53</v>
      </c>
      <c r="L574" s="135">
        <v>0</v>
      </c>
      <c r="M574" s="135"/>
      <c r="N574" s="135"/>
      <c r="O574" s="135"/>
      <c r="P574" s="135"/>
      <c r="Q574" s="135">
        <v>1.72</v>
      </c>
      <c r="R574" s="135"/>
      <c r="S574" s="135"/>
      <c r="T574" s="135"/>
      <c r="U574" s="135">
        <v>1.72</v>
      </c>
      <c r="V574" s="135"/>
      <c r="W574" s="135"/>
      <c r="X574" s="175"/>
      <c r="Y574" s="541" t="s">
        <v>446</v>
      </c>
    </row>
    <row r="575" spans="1:32" s="56" customFormat="1" ht="23.4" customHeight="1">
      <c r="A575" s="540"/>
      <c r="B575" s="175" t="s">
        <v>299</v>
      </c>
      <c r="C575" s="175"/>
      <c r="D575" s="175"/>
      <c r="E575" s="175"/>
      <c r="F575" s="175"/>
      <c r="G575" s="75">
        <f>SUM(H575:K575)</f>
        <v>15392.1</v>
      </c>
      <c r="H575" s="75"/>
      <c r="I575" s="75"/>
      <c r="J575" s="75">
        <f>16437.5-1045.4</f>
        <v>15392.1</v>
      </c>
      <c r="K575" s="75"/>
      <c r="L575" s="135"/>
      <c r="M575" s="135"/>
      <c r="N575" s="135"/>
      <c r="O575" s="135"/>
      <c r="P575" s="135"/>
      <c r="Q575" s="135">
        <f>U575</f>
        <v>29242.799999999999</v>
      </c>
      <c r="R575" s="135"/>
      <c r="S575" s="135"/>
      <c r="T575" s="135"/>
      <c r="U575" s="135">
        <f>30854.4-154.2-1457.4</f>
        <v>29242.799999999999</v>
      </c>
      <c r="V575" s="135"/>
      <c r="W575" s="135"/>
      <c r="X575" s="175"/>
      <c r="Y575" s="541"/>
    </row>
    <row r="576" spans="1:32" s="56" customFormat="1" ht="24" hidden="1" customHeight="1">
      <c r="A576" s="540" t="s">
        <v>113</v>
      </c>
      <c r="B576" s="175" t="s">
        <v>91</v>
      </c>
      <c r="C576" s="175">
        <v>176</v>
      </c>
      <c r="D576" s="175" t="s">
        <v>16</v>
      </c>
      <c r="E576" s="175">
        <v>6100404</v>
      </c>
      <c r="F576" s="175">
        <v>243</v>
      </c>
      <c r="G576" s="75">
        <v>0</v>
      </c>
      <c r="H576" s="75">
        <v>0</v>
      </c>
      <c r="I576" s="75">
        <v>0</v>
      </c>
      <c r="J576" s="75">
        <v>0</v>
      </c>
      <c r="K576" s="75">
        <v>0</v>
      </c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75"/>
      <c r="Y576" s="541" t="s">
        <v>366</v>
      </c>
    </row>
    <row r="577" spans="1:25" ht="24.6" hidden="1" customHeight="1">
      <c r="A577" s="540"/>
      <c r="B577" s="175" t="s">
        <v>299</v>
      </c>
      <c r="C577" s="175"/>
      <c r="D577" s="175"/>
      <c r="E577" s="175"/>
      <c r="F577" s="175"/>
      <c r="G577" s="75"/>
      <c r="H577" s="75"/>
      <c r="I577" s="75"/>
      <c r="J577" s="75"/>
      <c r="K577" s="75"/>
      <c r="L577" s="135">
        <f>4048.9-112.7</f>
        <v>3936.2000000000003</v>
      </c>
      <c r="M577" s="135">
        <v>3936.2000000000003</v>
      </c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75"/>
      <c r="Y577" s="541"/>
    </row>
    <row r="578" spans="1:25" ht="24.6" customHeight="1">
      <c r="A578" s="539" t="s">
        <v>105</v>
      </c>
      <c r="B578" s="83" t="s">
        <v>91</v>
      </c>
      <c r="C578" s="83"/>
      <c r="D578" s="83"/>
      <c r="E578" s="83"/>
      <c r="F578" s="83"/>
      <c r="G578" s="81">
        <f>G580+G584</f>
        <v>0</v>
      </c>
      <c r="H578" s="81">
        <f t="shared" ref="H578:V579" si="254">H580+H584</f>
        <v>0</v>
      </c>
      <c r="I578" s="81">
        <f t="shared" si="254"/>
        <v>0</v>
      </c>
      <c r="J578" s="81">
        <f t="shared" si="254"/>
        <v>0</v>
      </c>
      <c r="K578" s="81">
        <f t="shared" si="254"/>
        <v>0</v>
      </c>
      <c r="L578" s="134">
        <f t="shared" si="254"/>
        <v>0</v>
      </c>
      <c r="M578" s="134"/>
      <c r="N578" s="134"/>
      <c r="O578" s="134"/>
      <c r="P578" s="134"/>
      <c r="Q578" s="134">
        <f t="shared" si="254"/>
        <v>0</v>
      </c>
      <c r="R578" s="134"/>
      <c r="S578" s="134"/>
      <c r="T578" s="134"/>
      <c r="U578" s="134"/>
      <c r="V578" s="134">
        <f t="shared" si="254"/>
        <v>0</v>
      </c>
      <c r="W578" s="134"/>
      <c r="X578" s="175"/>
      <c r="Y578" s="83"/>
    </row>
    <row r="579" spans="1:25" ht="23.4" customHeight="1">
      <c r="A579" s="539"/>
      <c r="B579" s="83" t="s">
        <v>299</v>
      </c>
      <c r="C579" s="83"/>
      <c r="D579" s="83"/>
      <c r="E579" s="83"/>
      <c r="F579" s="83"/>
      <c r="G579" s="81">
        <f>G581+G585</f>
        <v>3803.6</v>
      </c>
      <c r="H579" s="81">
        <f t="shared" si="254"/>
        <v>3803.6</v>
      </c>
      <c r="I579" s="81">
        <f t="shared" si="254"/>
        <v>0</v>
      </c>
      <c r="J579" s="81">
        <f t="shared" si="254"/>
        <v>0</v>
      </c>
      <c r="K579" s="81">
        <f t="shared" si="254"/>
        <v>0</v>
      </c>
      <c r="L579" s="134">
        <f t="shared" si="254"/>
        <v>6197.1</v>
      </c>
      <c r="M579" s="134">
        <f t="shared" si="254"/>
        <v>5079.1000000000004</v>
      </c>
      <c r="N579" s="134">
        <f t="shared" si="254"/>
        <v>0</v>
      </c>
      <c r="O579" s="134">
        <f t="shared" si="254"/>
        <v>0</v>
      </c>
      <c r="P579" s="134">
        <f t="shared" si="254"/>
        <v>1118</v>
      </c>
      <c r="Q579" s="134">
        <f t="shared" si="254"/>
        <v>7488.5</v>
      </c>
      <c r="R579" s="134">
        <f t="shared" si="254"/>
        <v>0</v>
      </c>
      <c r="S579" s="134">
        <f t="shared" si="254"/>
        <v>0</v>
      </c>
      <c r="T579" s="134">
        <f t="shared" si="254"/>
        <v>7488.5</v>
      </c>
      <c r="U579" s="134">
        <f t="shared" si="254"/>
        <v>0</v>
      </c>
      <c r="V579" s="134">
        <f t="shared" si="254"/>
        <v>9586.4</v>
      </c>
      <c r="W579" s="134"/>
      <c r="X579" s="175"/>
      <c r="Y579" s="83"/>
    </row>
    <row r="580" spans="1:25" ht="24.6" hidden="1" customHeight="1">
      <c r="A580" s="540" t="s">
        <v>135</v>
      </c>
      <c r="B580" s="175" t="s">
        <v>91</v>
      </c>
      <c r="C580" s="175">
        <v>176</v>
      </c>
      <c r="D580" s="175" t="s">
        <v>16</v>
      </c>
      <c r="E580" s="175">
        <v>6100404</v>
      </c>
      <c r="F580" s="175">
        <v>243</v>
      </c>
      <c r="G580" s="75"/>
      <c r="H580" s="75"/>
      <c r="I580" s="75"/>
      <c r="J580" s="75">
        <v>0</v>
      </c>
      <c r="K580" s="75">
        <v>0</v>
      </c>
      <c r="L580" s="135"/>
      <c r="M580" s="135"/>
      <c r="N580" s="135"/>
      <c r="O580" s="135"/>
      <c r="P580" s="135"/>
      <c r="Q580" s="135">
        <v>0</v>
      </c>
      <c r="R580" s="135"/>
      <c r="S580" s="135"/>
      <c r="T580" s="135"/>
      <c r="U580" s="135"/>
      <c r="V580" s="135"/>
      <c r="W580" s="135"/>
      <c r="X580" s="175"/>
      <c r="Y580" s="541" t="s">
        <v>257</v>
      </c>
    </row>
    <row r="581" spans="1:25" ht="24.6" hidden="1" customHeight="1">
      <c r="A581" s="540"/>
      <c r="B581" s="175" t="s">
        <v>299</v>
      </c>
      <c r="C581" s="175"/>
      <c r="D581" s="175"/>
      <c r="E581" s="175"/>
      <c r="F581" s="175"/>
      <c r="G581" s="75">
        <f>SUM(H581:K581)</f>
        <v>3803.6</v>
      </c>
      <c r="H581" s="75">
        <v>3803.6</v>
      </c>
      <c r="I581" s="75"/>
      <c r="J581" s="75"/>
      <c r="K581" s="7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75"/>
      <c r="Y581" s="541"/>
    </row>
    <row r="582" spans="1:25" ht="24.6" hidden="1" customHeight="1">
      <c r="A582" s="540" t="s">
        <v>119</v>
      </c>
      <c r="B582" s="175" t="s">
        <v>91</v>
      </c>
      <c r="C582" s="175">
        <v>176</v>
      </c>
      <c r="D582" s="175" t="s">
        <v>16</v>
      </c>
      <c r="E582" s="175">
        <v>6100404</v>
      </c>
      <c r="F582" s="175">
        <v>243</v>
      </c>
      <c r="G582" s="75">
        <v>0</v>
      </c>
      <c r="H582" s="75">
        <v>0</v>
      </c>
      <c r="I582" s="75">
        <v>0</v>
      </c>
      <c r="J582" s="75">
        <v>0</v>
      </c>
      <c r="K582" s="75">
        <v>0</v>
      </c>
      <c r="L582" s="135">
        <v>0</v>
      </c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75"/>
      <c r="Y582" s="541" t="s">
        <v>36</v>
      </c>
    </row>
    <row r="583" spans="1:25" s="56" customFormat="1" ht="24.6" hidden="1" customHeight="1">
      <c r="A583" s="540"/>
      <c r="B583" s="175" t="s">
        <v>299</v>
      </c>
      <c r="C583" s="175"/>
      <c r="D583" s="175"/>
      <c r="E583" s="175"/>
      <c r="F583" s="175"/>
      <c r="G583" s="75"/>
      <c r="H583" s="75"/>
      <c r="I583" s="75"/>
      <c r="J583" s="75"/>
      <c r="K583" s="7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75"/>
      <c r="Y583" s="541"/>
    </row>
    <row r="584" spans="1:25" s="56" customFormat="1" ht="24.9" customHeight="1">
      <c r="A584" s="540" t="s">
        <v>113</v>
      </c>
      <c r="B584" s="175" t="s">
        <v>91</v>
      </c>
      <c r="C584" s="175">
        <v>176</v>
      </c>
      <c r="D584" s="175" t="s">
        <v>16</v>
      </c>
      <c r="E584" s="175">
        <v>6100404</v>
      </c>
      <c r="F584" s="175">
        <v>243</v>
      </c>
      <c r="G584" s="75">
        <v>0</v>
      </c>
      <c r="H584" s="75">
        <v>0</v>
      </c>
      <c r="I584" s="75">
        <v>0</v>
      </c>
      <c r="J584" s="75">
        <v>0</v>
      </c>
      <c r="K584" s="75">
        <v>0</v>
      </c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75"/>
      <c r="Y584" s="541" t="s">
        <v>366</v>
      </c>
    </row>
    <row r="585" spans="1:25" s="56" customFormat="1" ht="24.9" customHeight="1">
      <c r="A585" s="540"/>
      <c r="B585" s="175" t="s">
        <v>299</v>
      </c>
      <c r="C585" s="175"/>
      <c r="D585" s="175"/>
      <c r="E585" s="175"/>
      <c r="F585" s="175"/>
      <c r="G585" s="75"/>
      <c r="H585" s="75"/>
      <c r="I585" s="75"/>
      <c r="J585" s="75"/>
      <c r="K585" s="75"/>
      <c r="L585" s="135">
        <v>6197.1</v>
      </c>
      <c r="M585" s="135">
        <f>L585-P585</f>
        <v>5079.1000000000004</v>
      </c>
      <c r="N585" s="135"/>
      <c r="O585" s="135"/>
      <c r="P585" s="135">
        <v>1118</v>
      </c>
      <c r="Q585" s="135">
        <f>T585</f>
        <v>7488.5</v>
      </c>
      <c r="R585" s="135"/>
      <c r="S585" s="135"/>
      <c r="T585" s="135">
        <f>8542.1-1053.6</f>
        <v>7488.5</v>
      </c>
      <c r="U585" s="135"/>
      <c r="V585" s="135">
        <v>9586.4</v>
      </c>
      <c r="W585" s="135"/>
      <c r="X585" s="175"/>
      <c r="Y585" s="541"/>
    </row>
    <row r="586" spans="1:25" s="56" customFormat="1" ht="24.9" customHeight="1">
      <c r="A586" s="503" t="s">
        <v>137</v>
      </c>
      <c r="B586" s="83" t="s">
        <v>91</v>
      </c>
      <c r="C586" s="83"/>
      <c r="D586" s="83"/>
      <c r="E586" s="83"/>
      <c r="F586" s="83"/>
      <c r="G586" s="81">
        <f>G592+G594+G596</f>
        <v>1.52</v>
      </c>
      <c r="H586" s="81">
        <f t="shared" ref="H586:L586" si="255">H592+H594+H596</f>
        <v>0</v>
      </c>
      <c r="I586" s="81">
        <f t="shared" si="255"/>
        <v>0</v>
      </c>
      <c r="J586" s="81">
        <f t="shared" si="255"/>
        <v>0</v>
      </c>
      <c r="K586" s="81">
        <f t="shared" si="255"/>
        <v>1.52</v>
      </c>
      <c r="L586" s="134">
        <f t="shared" si="255"/>
        <v>0</v>
      </c>
      <c r="M586" s="134"/>
      <c r="N586" s="134"/>
      <c r="O586" s="134"/>
      <c r="P586" s="134"/>
      <c r="Q586" s="134">
        <f>Q590+Q592</f>
        <v>0</v>
      </c>
      <c r="R586" s="134"/>
      <c r="S586" s="134"/>
      <c r="T586" s="134"/>
      <c r="U586" s="134"/>
      <c r="V586" s="134">
        <f t="shared" ref="V586:W586" si="256">V590+V592</f>
        <v>0</v>
      </c>
      <c r="W586" s="134">
        <f t="shared" si="256"/>
        <v>1.4</v>
      </c>
      <c r="X586" s="175"/>
      <c r="Y586" s="83"/>
    </row>
    <row r="587" spans="1:25" ht="24.9" customHeight="1">
      <c r="A587" s="504"/>
      <c r="B587" s="83" t="s">
        <v>287</v>
      </c>
      <c r="C587" s="83"/>
      <c r="D587" s="83"/>
      <c r="E587" s="83"/>
      <c r="F587" s="83"/>
      <c r="G587" s="81">
        <f>G588+G589</f>
        <v>87138.599999999991</v>
      </c>
      <c r="H587" s="81">
        <f t="shared" ref="H587:W587" si="257">H588+H589</f>
        <v>41339.5</v>
      </c>
      <c r="I587" s="81">
        <f t="shared" si="257"/>
        <v>23941.85</v>
      </c>
      <c r="J587" s="81">
        <f t="shared" si="257"/>
        <v>21857.25</v>
      </c>
      <c r="K587" s="81">
        <f t="shared" si="257"/>
        <v>0</v>
      </c>
      <c r="L587" s="134">
        <f t="shared" si="257"/>
        <v>0</v>
      </c>
      <c r="M587" s="134"/>
      <c r="N587" s="134"/>
      <c r="O587" s="134"/>
      <c r="P587" s="134"/>
      <c r="Q587" s="134">
        <f t="shared" si="257"/>
        <v>0</v>
      </c>
      <c r="R587" s="134"/>
      <c r="S587" s="134"/>
      <c r="T587" s="134"/>
      <c r="U587" s="134"/>
      <c r="V587" s="134">
        <f t="shared" si="257"/>
        <v>28000</v>
      </c>
      <c r="W587" s="134">
        <f t="shared" si="257"/>
        <v>54096</v>
      </c>
      <c r="X587" s="175"/>
      <c r="Y587" s="83"/>
    </row>
    <row r="588" spans="1:25" ht="23.4" customHeight="1">
      <c r="A588" s="504"/>
      <c r="B588" s="83" t="s">
        <v>300</v>
      </c>
      <c r="C588" s="83"/>
      <c r="D588" s="83"/>
      <c r="E588" s="83"/>
      <c r="F588" s="83"/>
      <c r="G588" s="81">
        <f>G595+G593+G598</f>
        <v>71715.899999999994</v>
      </c>
      <c r="H588" s="81">
        <f t="shared" ref="H588:L588" si="258">H595+H593+H598</f>
        <v>41339.5</v>
      </c>
      <c r="I588" s="81">
        <f t="shared" si="258"/>
        <v>8519.15</v>
      </c>
      <c r="J588" s="81">
        <f t="shared" si="258"/>
        <v>21857.25</v>
      </c>
      <c r="K588" s="81">
        <f t="shared" si="258"/>
        <v>0</v>
      </c>
      <c r="L588" s="134">
        <f t="shared" si="258"/>
        <v>0</v>
      </c>
      <c r="M588" s="134"/>
      <c r="N588" s="134"/>
      <c r="O588" s="134"/>
      <c r="P588" s="134"/>
      <c r="Q588" s="134">
        <f>Q591+Q593</f>
        <v>0</v>
      </c>
      <c r="R588" s="134"/>
      <c r="S588" s="134"/>
      <c r="T588" s="134"/>
      <c r="U588" s="134"/>
      <c r="V588" s="134">
        <f t="shared" ref="V588:W588" si="259">V591+V593</f>
        <v>28000</v>
      </c>
      <c r="W588" s="134">
        <f t="shared" si="259"/>
        <v>54096</v>
      </c>
      <c r="X588" s="175"/>
      <c r="Y588" s="83"/>
    </row>
    <row r="589" spans="1:25" ht="24.6" hidden="1" customHeight="1">
      <c r="A589" s="174"/>
      <c r="B589" s="83" t="s">
        <v>301</v>
      </c>
      <c r="C589" s="83"/>
      <c r="D589" s="83"/>
      <c r="E589" s="83"/>
      <c r="F589" s="83"/>
      <c r="G589" s="81">
        <f>G599</f>
        <v>15422.7</v>
      </c>
      <c r="H589" s="81">
        <f t="shared" ref="H589:V589" si="260">H599</f>
        <v>0</v>
      </c>
      <c r="I589" s="81">
        <f t="shared" si="260"/>
        <v>15422.7</v>
      </c>
      <c r="J589" s="81">
        <f t="shared" si="260"/>
        <v>0</v>
      </c>
      <c r="K589" s="81">
        <f t="shared" si="260"/>
        <v>0</v>
      </c>
      <c r="L589" s="134">
        <f t="shared" si="260"/>
        <v>0</v>
      </c>
      <c r="M589" s="134"/>
      <c r="N589" s="134"/>
      <c r="O589" s="134"/>
      <c r="P589" s="134"/>
      <c r="Q589" s="134">
        <f t="shared" si="260"/>
        <v>0</v>
      </c>
      <c r="R589" s="134"/>
      <c r="S589" s="134"/>
      <c r="T589" s="134"/>
      <c r="U589" s="134"/>
      <c r="V589" s="134">
        <f t="shared" si="260"/>
        <v>0</v>
      </c>
      <c r="W589" s="134"/>
      <c r="X589" s="175"/>
      <c r="Y589" s="83"/>
    </row>
    <row r="590" spans="1:25" ht="0.6" customHeight="1">
      <c r="A590" s="536" t="s">
        <v>409</v>
      </c>
      <c r="B590" s="175" t="s">
        <v>91</v>
      </c>
      <c r="C590" s="83"/>
      <c r="D590" s="83"/>
      <c r="E590" s="83"/>
      <c r="F590" s="83"/>
      <c r="G590" s="81"/>
      <c r="H590" s="81"/>
      <c r="I590" s="81"/>
      <c r="J590" s="81"/>
      <c r="K590" s="81"/>
      <c r="L590" s="134"/>
      <c r="M590" s="134"/>
      <c r="N590" s="134"/>
      <c r="O590" s="134"/>
      <c r="P590" s="134"/>
      <c r="Q590" s="134"/>
      <c r="R590" s="134"/>
      <c r="S590" s="134"/>
      <c r="T590" s="134"/>
      <c r="U590" s="134"/>
      <c r="V590" s="134"/>
      <c r="W590" s="157"/>
      <c r="X590" s="175"/>
      <c r="Y590" s="533" t="s">
        <v>420</v>
      </c>
    </row>
    <row r="591" spans="1:25" ht="24.6" hidden="1" customHeight="1">
      <c r="A591" s="538"/>
      <c r="B591" s="175" t="s">
        <v>299</v>
      </c>
      <c r="C591" s="83"/>
      <c r="D591" s="83"/>
      <c r="E591" s="83"/>
      <c r="F591" s="83"/>
      <c r="G591" s="81"/>
      <c r="H591" s="81"/>
      <c r="I591" s="81"/>
      <c r="J591" s="81"/>
      <c r="K591" s="81"/>
      <c r="L591" s="134"/>
      <c r="M591" s="134"/>
      <c r="N591" s="134"/>
      <c r="O591" s="134"/>
      <c r="P591" s="134"/>
      <c r="Q591" s="134"/>
      <c r="R591" s="134"/>
      <c r="S591" s="134"/>
      <c r="T591" s="134"/>
      <c r="U591" s="134"/>
      <c r="V591" s="134"/>
      <c r="W591" s="135"/>
      <c r="X591" s="175"/>
      <c r="Y591" s="535"/>
    </row>
    <row r="592" spans="1:25" ht="24.6" customHeight="1">
      <c r="A592" s="540" t="s">
        <v>136</v>
      </c>
      <c r="B592" s="175" t="s">
        <v>91</v>
      </c>
      <c r="C592" s="175">
        <v>176</v>
      </c>
      <c r="D592" s="175" t="s">
        <v>16</v>
      </c>
      <c r="E592" s="175">
        <v>6100404</v>
      </c>
      <c r="F592" s="175">
        <v>243</v>
      </c>
      <c r="G592" s="75">
        <f>SUM(H592:K592)</f>
        <v>1.52</v>
      </c>
      <c r="H592" s="75"/>
      <c r="I592" s="75"/>
      <c r="J592" s="75"/>
      <c r="K592" s="75">
        <v>1.52</v>
      </c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>
        <v>1.4</v>
      </c>
      <c r="X592" s="175"/>
      <c r="Y592" s="541" t="s">
        <v>634</v>
      </c>
    </row>
    <row r="593" spans="1:25" ht="23.4" customHeight="1">
      <c r="A593" s="540"/>
      <c r="B593" s="175" t="s">
        <v>299</v>
      </c>
      <c r="C593" s="175"/>
      <c r="D593" s="175"/>
      <c r="E593" s="175"/>
      <c r="F593" s="175"/>
      <c r="G593" s="75">
        <f>SUM(H593:K593)</f>
        <v>49866.1</v>
      </c>
      <c r="H593" s="75">
        <v>19489.7</v>
      </c>
      <c r="I593" s="75">
        <v>8519.15</v>
      </c>
      <c r="J593" s="75">
        <f>24009.35-2152.1</f>
        <v>21857.25</v>
      </c>
      <c r="K593" s="75"/>
      <c r="L593" s="135"/>
      <c r="M593" s="135"/>
      <c r="N593" s="135"/>
      <c r="O593" s="135"/>
      <c r="P593" s="135"/>
      <c r="Q593" s="135">
        <v>0</v>
      </c>
      <c r="R593" s="135"/>
      <c r="S593" s="135"/>
      <c r="T593" s="135"/>
      <c r="U593" s="135"/>
      <c r="V593" s="135">
        <v>28000</v>
      </c>
      <c r="W593" s="135">
        <v>54096</v>
      </c>
      <c r="X593" s="175"/>
      <c r="Y593" s="541"/>
    </row>
    <row r="594" spans="1:25" ht="24.6" hidden="1" customHeight="1">
      <c r="A594" s="540" t="s">
        <v>194</v>
      </c>
      <c r="B594" s="175" t="s">
        <v>91</v>
      </c>
      <c r="C594" s="175">
        <v>176</v>
      </c>
      <c r="D594" s="175" t="s">
        <v>16</v>
      </c>
      <c r="E594" s="175">
        <v>6100404</v>
      </c>
      <c r="F594" s="175">
        <v>243</v>
      </c>
      <c r="G594" s="75">
        <f>SUM(H594:K594)</f>
        <v>0</v>
      </c>
      <c r="H594" s="75"/>
      <c r="I594" s="75"/>
      <c r="J594" s="75">
        <v>0</v>
      </c>
      <c r="K594" s="75"/>
      <c r="L594" s="135">
        <v>0</v>
      </c>
      <c r="M594" s="135"/>
      <c r="N594" s="135"/>
      <c r="O594" s="135"/>
      <c r="P594" s="135"/>
      <c r="Q594" s="135">
        <v>0</v>
      </c>
      <c r="R594" s="135"/>
      <c r="S594" s="135"/>
      <c r="T594" s="135"/>
      <c r="U594" s="135"/>
      <c r="V594" s="135"/>
      <c r="W594" s="135"/>
      <c r="X594" s="175"/>
      <c r="Y594" s="541" t="s">
        <v>257</v>
      </c>
    </row>
    <row r="595" spans="1:25" ht="24" hidden="1" customHeight="1">
      <c r="A595" s="540"/>
      <c r="B595" s="175" t="s">
        <v>299</v>
      </c>
      <c r="C595" s="175"/>
      <c r="D595" s="175"/>
      <c r="E595" s="175"/>
      <c r="F595" s="175"/>
      <c r="G595" s="75">
        <f>SUM(H595:K595)</f>
        <v>21849.8</v>
      </c>
      <c r="H595" s="75">
        <v>21849.8</v>
      </c>
      <c r="I595" s="75"/>
      <c r="J595" s="75"/>
      <c r="K595" s="7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75"/>
      <c r="Y595" s="541"/>
    </row>
    <row r="596" spans="1:25" ht="24.6" hidden="1" customHeight="1">
      <c r="A596" s="540" t="s">
        <v>113</v>
      </c>
      <c r="B596" s="175" t="s">
        <v>91</v>
      </c>
      <c r="C596" s="175"/>
      <c r="D596" s="175"/>
      <c r="E596" s="175"/>
      <c r="F596" s="175"/>
      <c r="G596" s="75"/>
      <c r="H596" s="75"/>
      <c r="I596" s="75"/>
      <c r="J596" s="75"/>
      <c r="K596" s="7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75"/>
      <c r="Y596" s="541" t="s">
        <v>32</v>
      </c>
    </row>
    <row r="597" spans="1:25" s="56" customFormat="1" ht="24.6" hidden="1" customHeight="1">
      <c r="A597" s="540"/>
      <c r="B597" s="175" t="s">
        <v>287</v>
      </c>
      <c r="C597" s="175">
        <v>176</v>
      </c>
      <c r="D597" s="175" t="s">
        <v>16</v>
      </c>
      <c r="E597" s="175">
        <v>6100404</v>
      </c>
      <c r="F597" s="175">
        <v>243</v>
      </c>
      <c r="G597" s="75">
        <f>G598+G599</f>
        <v>15422.7</v>
      </c>
      <c r="H597" s="75">
        <f t="shared" ref="H597:V597" si="261">H598+H599</f>
        <v>0</v>
      </c>
      <c r="I597" s="75">
        <f t="shared" si="261"/>
        <v>15422.7</v>
      </c>
      <c r="J597" s="75">
        <f t="shared" si="261"/>
        <v>0</v>
      </c>
      <c r="K597" s="75">
        <f t="shared" si="261"/>
        <v>0</v>
      </c>
      <c r="L597" s="135">
        <f t="shared" si="261"/>
        <v>0</v>
      </c>
      <c r="M597" s="135"/>
      <c r="N597" s="135"/>
      <c r="O597" s="135"/>
      <c r="P597" s="135"/>
      <c r="Q597" s="135">
        <f t="shared" si="261"/>
        <v>0</v>
      </c>
      <c r="R597" s="135"/>
      <c r="S597" s="135"/>
      <c r="T597" s="135"/>
      <c r="U597" s="135"/>
      <c r="V597" s="135">
        <f t="shared" si="261"/>
        <v>0</v>
      </c>
      <c r="W597" s="135"/>
      <c r="X597" s="175"/>
      <c r="Y597" s="541"/>
    </row>
    <row r="598" spans="1:25" s="56" customFormat="1" ht="24.6" hidden="1" customHeight="1">
      <c r="A598" s="540"/>
      <c r="B598" s="175" t="s">
        <v>300</v>
      </c>
      <c r="C598" s="175"/>
      <c r="D598" s="175"/>
      <c r="E598" s="175"/>
      <c r="F598" s="175"/>
      <c r="G598" s="75">
        <f>SUM(H598:K598)</f>
        <v>0</v>
      </c>
      <c r="H598" s="75"/>
      <c r="I598" s="75"/>
      <c r="J598" s="75"/>
      <c r="K598" s="7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75"/>
      <c r="Y598" s="175"/>
    </row>
    <row r="599" spans="1:25" ht="24.6" hidden="1" customHeight="1">
      <c r="A599" s="540"/>
      <c r="B599" s="175" t="s">
        <v>301</v>
      </c>
      <c r="C599" s="175"/>
      <c r="D599" s="175"/>
      <c r="E599" s="175"/>
      <c r="F599" s="175"/>
      <c r="G599" s="75">
        <f>SUM(H599:K599)</f>
        <v>15422.7</v>
      </c>
      <c r="H599" s="75"/>
      <c r="I599" s="75">
        <v>15422.7</v>
      </c>
      <c r="J599" s="75"/>
      <c r="K599" s="7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75"/>
      <c r="Y599" s="175"/>
    </row>
    <row r="600" spans="1:25" ht="24.9" customHeight="1">
      <c r="A600" s="539" t="s">
        <v>138</v>
      </c>
      <c r="B600" s="83" t="s">
        <v>91</v>
      </c>
      <c r="C600" s="83"/>
      <c r="D600" s="83"/>
      <c r="E600" s="83"/>
      <c r="F600" s="83"/>
      <c r="G600" s="81">
        <f>G602+G604</f>
        <v>0</v>
      </c>
      <c r="H600" s="81">
        <f t="shared" ref="H600:P601" si="262">H602+H604</f>
        <v>0</v>
      </c>
      <c r="I600" s="81">
        <f t="shared" si="262"/>
        <v>0</v>
      </c>
      <c r="J600" s="81">
        <f t="shared" si="262"/>
        <v>0</v>
      </c>
      <c r="K600" s="81">
        <f t="shared" si="262"/>
        <v>0</v>
      </c>
      <c r="L600" s="134">
        <f t="shared" si="262"/>
        <v>2.8</v>
      </c>
      <c r="M600" s="134">
        <f t="shared" si="262"/>
        <v>2.8</v>
      </c>
      <c r="N600" s="134">
        <f t="shared" si="262"/>
        <v>0</v>
      </c>
      <c r="O600" s="134">
        <f t="shared" si="262"/>
        <v>0</v>
      </c>
      <c r="P600" s="134">
        <f t="shared" si="262"/>
        <v>0</v>
      </c>
      <c r="Q600" s="134">
        <f>Q602+Q604</f>
        <v>0</v>
      </c>
      <c r="R600" s="134"/>
      <c r="S600" s="134"/>
      <c r="T600" s="134"/>
      <c r="U600" s="134"/>
      <c r="V600" s="134">
        <f t="shared" ref="V600:W600" si="263">V602+V604</f>
        <v>0</v>
      </c>
      <c r="W600" s="134">
        <f t="shared" si="263"/>
        <v>0</v>
      </c>
      <c r="X600" s="175"/>
      <c r="Y600" s="83"/>
    </row>
    <row r="601" spans="1:25" ht="24.9" customHeight="1">
      <c r="A601" s="539"/>
      <c r="B601" s="83" t="s">
        <v>299</v>
      </c>
      <c r="C601" s="83"/>
      <c r="D601" s="83"/>
      <c r="E601" s="83"/>
      <c r="F601" s="83"/>
      <c r="G601" s="81">
        <f>G603+G605</f>
        <v>0</v>
      </c>
      <c r="H601" s="81">
        <f t="shared" si="262"/>
        <v>0</v>
      </c>
      <c r="I601" s="81">
        <f t="shared" si="262"/>
        <v>0</v>
      </c>
      <c r="J601" s="81">
        <f t="shared" si="262"/>
        <v>0</v>
      </c>
      <c r="K601" s="81">
        <f t="shared" si="262"/>
        <v>0</v>
      </c>
      <c r="L601" s="134">
        <f t="shared" si="262"/>
        <v>18951.599999999999</v>
      </c>
      <c r="M601" s="134">
        <f t="shared" si="262"/>
        <v>18951.599999999999</v>
      </c>
      <c r="N601" s="134">
        <f t="shared" si="262"/>
        <v>0</v>
      </c>
      <c r="O601" s="134">
        <f t="shared" si="262"/>
        <v>0</v>
      </c>
      <c r="P601" s="134">
        <f t="shared" si="262"/>
        <v>0</v>
      </c>
      <c r="Q601" s="134">
        <f>Q603+Q605</f>
        <v>0</v>
      </c>
      <c r="R601" s="134"/>
      <c r="S601" s="134"/>
      <c r="T601" s="134"/>
      <c r="U601" s="134"/>
      <c r="V601" s="134">
        <f t="shared" ref="V601:W601" si="264">V603+V605</f>
        <v>5714.6</v>
      </c>
      <c r="W601" s="134">
        <f t="shared" si="264"/>
        <v>0</v>
      </c>
      <c r="X601" s="175"/>
      <c r="Y601" s="83"/>
    </row>
    <row r="602" spans="1:25" ht="0.6" customHeight="1">
      <c r="A602" s="562" t="s">
        <v>410</v>
      </c>
      <c r="B602" s="175" t="s">
        <v>91</v>
      </c>
      <c r="C602" s="175">
        <v>176</v>
      </c>
      <c r="D602" s="175" t="s">
        <v>16</v>
      </c>
      <c r="E602" s="175">
        <v>6100404</v>
      </c>
      <c r="F602" s="175">
        <v>243</v>
      </c>
      <c r="G602" s="75">
        <v>0</v>
      </c>
      <c r="H602" s="75">
        <v>0</v>
      </c>
      <c r="I602" s="75"/>
      <c r="J602" s="75">
        <v>0</v>
      </c>
      <c r="K602" s="75">
        <v>0</v>
      </c>
      <c r="L602" s="135">
        <v>2.8</v>
      </c>
      <c r="M602" s="135">
        <v>2.8</v>
      </c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75"/>
      <c r="Y602" s="541" t="s">
        <v>447</v>
      </c>
    </row>
    <row r="603" spans="1:25" s="56" customFormat="1" ht="24.6" hidden="1" customHeight="1">
      <c r="A603" s="563"/>
      <c r="B603" s="175" t="s">
        <v>299</v>
      </c>
      <c r="C603" s="175"/>
      <c r="D603" s="175"/>
      <c r="E603" s="175"/>
      <c r="F603" s="175"/>
      <c r="G603" s="75"/>
      <c r="H603" s="75"/>
      <c r="I603" s="75"/>
      <c r="J603" s="75"/>
      <c r="K603" s="75"/>
      <c r="L603" s="135">
        <f>19930.8-979.2</f>
        <v>18951.599999999999</v>
      </c>
      <c r="M603" s="135">
        <v>18951.599999999999</v>
      </c>
      <c r="N603" s="135"/>
      <c r="O603" s="135"/>
      <c r="P603" s="135"/>
      <c r="Q603" s="135"/>
      <c r="R603" s="135"/>
      <c r="S603" s="135"/>
      <c r="T603" s="135"/>
      <c r="U603" s="135"/>
      <c r="V603" s="135">
        <f>15000-15000</f>
        <v>0</v>
      </c>
      <c r="W603" s="135"/>
      <c r="X603" s="175"/>
      <c r="Y603" s="541"/>
    </row>
    <row r="604" spans="1:25" s="56" customFormat="1" ht="22.95" customHeight="1">
      <c r="A604" s="536" t="s">
        <v>113</v>
      </c>
      <c r="B604" s="175" t="s">
        <v>91</v>
      </c>
      <c r="C604" s="175">
        <v>176</v>
      </c>
      <c r="D604" s="175" t="s">
        <v>16</v>
      </c>
      <c r="E604" s="175">
        <v>6100404</v>
      </c>
      <c r="F604" s="175">
        <v>243</v>
      </c>
      <c r="G604" s="75">
        <v>0</v>
      </c>
      <c r="H604" s="75">
        <v>0</v>
      </c>
      <c r="I604" s="75">
        <v>0</v>
      </c>
      <c r="J604" s="75">
        <v>0</v>
      </c>
      <c r="K604" s="75">
        <v>0</v>
      </c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75"/>
      <c r="Y604" s="541" t="s">
        <v>366</v>
      </c>
    </row>
    <row r="605" spans="1:25" ht="24.6" customHeight="1">
      <c r="A605" s="538"/>
      <c r="B605" s="175" t="s">
        <v>299</v>
      </c>
      <c r="C605" s="175"/>
      <c r="D605" s="175"/>
      <c r="E605" s="175"/>
      <c r="F605" s="175"/>
      <c r="G605" s="75"/>
      <c r="H605" s="75"/>
      <c r="I605" s="75"/>
      <c r="J605" s="75"/>
      <c r="K605" s="7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>
        <v>5714.6</v>
      </c>
      <c r="W605" s="135"/>
      <c r="X605" s="175"/>
      <c r="Y605" s="541"/>
    </row>
    <row r="606" spans="1:25" ht="24.6" customHeight="1">
      <c r="A606" s="539" t="s">
        <v>106</v>
      </c>
      <c r="B606" s="83" t="s">
        <v>91</v>
      </c>
      <c r="C606" s="83"/>
      <c r="D606" s="83"/>
      <c r="E606" s="83"/>
      <c r="F606" s="83"/>
      <c r="G606" s="81">
        <f t="shared" ref="G606:L606" si="265">G612+G622</f>
        <v>0</v>
      </c>
      <c r="H606" s="81">
        <f t="shared" si="265"/>
        <v>0</v>
      </c>
      <c r="I606" s="81">
        <f t="shared" si="265"/>
        <v>0</v>
      </c>
      <c r="J606" s="81">
        <f t="shared" si="265"/>
        <v>0</v>
      </c>
      <c r="K606" s="81">
        <f t="shared" si="265"/>
        <v>0.91900000000000004</v>
      </c>
      <c r="L606" s="134">
        <f t="shared" si="265"/>
        <v>0</v>
      </c>
      <c r="M606" s="134"/>
      <c r="N606" s="134"/>
      <c r="O606" s="134"/>
      <c r="P606" s="134"/>
      <c r="Q606" s="134">
        <f>Q614+Q618</f>
        <v>0</v>
      </c>
      <c r="R606" s="134"/>
      <c r="S606" s="134"/>
      <c r="T606" s="134"/>
      <c r="U606" s="134"/>
      <c r="V606" s="134">
        <f t="shared" ref="V606:W606" si="266">V614+V618</f>
        <v>5.53</v>
      </c>
      <c r="W606" s="134">
        <f t="shared" si="266"/>
        <v>0</v>
      </c>
      <c r="X606" s="175"/>
      <c r="Y606" s="83"/>
    </row>
    <row r="607" spans="1:25" ht="24.6" customHeight="1">
      <c r="A607" s="539"/>
      <c r="B607" s="83" t="s">
        <v>299</v>
      </c>
      <c r="C607" s="83"/>
      <c r="D607" s="83"/>
      <c r="E607" s="83"/>
      <c r="F607" s="83"/>
      <c r="G607" s="81"/>
      <c r="H607" s="81"/>
      <c r="I607" s="81"/>
      <c r="J607" s="81"/>
      <c r="K607" s="81"/>
      <c r="L607" s="134"/>
      <c r="M607" s="134"/>
      <c r="N607" s="134"/>
      <c r="O607" s="134"/>
      <c r="P607" s="134"/>
      <c r="Q607" s="134">
        <f>Q608+Q609</f>
        <v>0</v>
      </c>
      <c r="R607" s="134"/>
      <c r="S607" s="134"/>
      <c r="T607" s="134"/>
      <c r="U607" s="134"/>
      <c r="V607" s="134">
        <f>V608+V609</f>
        <v>257868.6</v>
      </c>
      <c r="W607" s="134"/>
      <c r="X607" s="175"/>
      <c r="Y607" s="83"/>
    </row>
    <row r="608" spans="1:25" ht="24" customHeight="1">
      <c r="A608" s="539"/>
      <c r="B608" s="83" t="s">
        <v>457</v>
      </c>
      <c r="C608" s="83"/>
      <c r="D608" s="83"/>
      <c r="E608" s="83"/>
      <c r="F608" s="83"/>
      <c r="G608" s="81"/>
      <c r="H608" s="81"/>
      <c r="I608" s="81"/>
      <c r="J608" s="81"/>
      <c r="K608" s="81"/>
      <c r="L608" s="134"/>
      <c r="M608" s="134"/>
      <c r="N608" s="134"/>
      <c r="O608" s="134"/>
      <c r="P608" s="134"/>
      <c r="Q608" s="134">
        <f>Q620</f>
        <v>0</v>
      </c>
      <c r="R608" s="134"/>
      <c r="S608" s="134"/>
      <c r="T608" s="134"/>
      <c r="U608" s="134"/>
      <c r="V608" s="134">
        <f>V616+V620</f>
        <v>136018.6</v>
      </c>
      <c r="W608" s="134"/>
      <c r="X608" s="175"/>
      <c r="Y608" s="83"/>
    </row>
    <row r="609" spans="1:25" ht="24.6" customHeight="1">
      <c r="A609" s="539"/>
      <c r="B609" s="83" t="s">
        <v>627</v>
      </c>
      <c r="C609" s="83"/>
      <c r="D609" s="83"/>
      <c r="E609" s="83"/>
      <c r="F609" s="83"/>
      <c r="G609" s="81">
        <f t="shared" ref="G609:L609" si="267">G613+G623</f>
        <v>6604.5</v>
      </c>
      <c r="H609" s="81">
        <f t="shared" si="267"/>
        <v>5457.8</v>
      </c>
      <c r="I609" s="81">
        <f t="shared" si="267"/>
        <v>0</v>
      </c>
      <c r="J609" s="81">
        <f t="shared" si="267"/>
        <v>1146.6999999999998</v>
      </c>
      <c r="K609" s="81">
        <f t="shared" si="267"/>
        <v>0</v>
      </c>
      <c r="L609" s="134">
        <f t="shared" si="267"/>
        <v>0</v>
      </c>
      <c r="M609" s="134"/>
      <c r="N609" s="134"/>
      <c r="O609" s="134"/>
      <c r="P609" s="134"/>
      <c r="Q609" s="134">
        <f>Q617+Q621</f>
        <v>0</v>
      </c>
      <c r="R609" s="134"/>
      <c r="S609" s="134"/>
      <c r="T609" s="134"/>
      <c r="U609" s="134"/>
      <c r="V609" s="134">
        <f t="shared" ref="V609:W609" si="268">V617+V621</f>
        <v>121850</v>
      </c>
      <c r="W609" s="134">
        <f t="shared" si="268"/>
        <v>0</v>
      </c>
      <c r="X609" s="175"/>
      <c r="Y609" s="83"/>
    </row>
    <row r="610" spans="1:25" ht="24.6" hidden="1" customHeight="1">
      <c r="A610" s="181" t="s">
        <v>139</v>
      </c>
      <c r="B610" s="175" t="s">
        <v>91</v>
      </c>
      <c r="C610" s="175">
        <v>176</v>
      </c>
      <c r="D610" s="175" t="s">
        <v>16</v>
      </c>
      <c r="E610" s="175">
        <v>6100404</v>
      </c>
      <c r="F610" s="175">
        <v>243</v>
      </c>
      <c r="G610" s="75">
        <v>0</v>
      </c>
      <c r="H610" s="75">
        <v>0</v>
      </c>
      <c r="I610" s="75">
        <v>0</v>
      </c>
      <c r="J610" s="75">
        <v>0</v>
      </c>
      <c r="K610" s="75">
        <v>0</v>
      </c>
      <c r="L610" s="135">
        <v>0</v>
      </c>
      <c r="M610" s="135"/>
      <c r="N610" s="135"/>
      <c r="O610" s="135"/>
      <c r="P610" s="135"/>
      <c r="Q610" s="135">
        <v>0</v>
      </c>
      <c r="R610" s="135"/>
      <c r="S610" s="135"/>
      <c r="T610" s="135"/>
      <c r="U610" s="135"/>
      <c r="V610" s="135"/>
      <c r="W610" s="135"/>
      <c r="X610" s="175"/>
      <c r="Y610" s="175"/>
    </row>
    <row r="611" spans="1:25" ht="24.6" hidden="1" customHeight="1">
      <c r="A611" s="181"/>
      <c r="B611" s="175" t="s">
        <v>299</v>
      </c>
      <c r="C611" s="175"/>
      <c r="D611" s="175"/>
      <c r="E611" s="175"/>
      <c r="F611" s="175"/>
      <c r="G611" s="75"/>
      <c r="H611" s="75"/>
      <c r="I611" s="75"/>
      <c r="J611" s="75"/>
      <c r="K611" s="7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75"/>
      <c r="Y611" s="175"/>
    </row>
    <row r="612" spans="1:25" ht="15" hidden="1" customHeight="1">
      <c r="A612" s="540" t="s">
        <v>193</v>
      </c>
      <c r="B612" s="175" t="s">
        <v>91</v>
      </c>
      <c r="C612" s="175">
        <v>176</v>
      </c>
      <c r="D612" s="175" t="s">
        <v>16</v>
      </c>
      <c r="E612" s="175">
        <v>6100404</v>
      </c>
      <c r="F612" s="175">
        <v>243</v>
      </c>
      <c r="G612" s="75"/>
      <c r="H612" s="75"/>
      <c r="I612" s="75"/>
      <c r="J612" s="75"/>
      <c r="K612" s="75">
        <v>0.91900000000000004</v>
      </c>
      <c r="L612" s="135">
        <v>0</v>
      </c>
      <c r="M612" s="135"/>
      <c r="N612" s="135"/>
      <c r="O612" s="135"/>
      <c r="P612" s="135"/>
      <c r="Q612" s="135">
        <v>0</v>
      </c>
      <c r="R612" s="135"/>
      <c r="S612" s="135"/>
      <c r="T612" s="135"/>
      <c r="U612" s="135"/>
      <c r="V612" s="135"/>
      <c r="W612" s="135"/>
      <c r="X612" s="175"/>
      <c r="Y612" s="541" t="s">
        <v>255</v>
      </c>
    </row>
    <row r="613" spans="1:25" ht="20.399999999999999" hidden="1" customHeight="1">
      <c r="A613" s="540"/>
      <c r="B613" s="175" t="s">
        <v>299</v>
      </c>
      <c r="C613" s="175"/>
      <c r="D613" s="175"/>
      <c r="E613" s="175"/>
      <c r="F613" s="175"/>
      <c r="G613" s="75">
        <v>6604.5</v>
      </c>
      <c r="H613" s="75">
        <v>5457.8</v>
      </c>
      <c r="I613" s="75"/>
      <c r="J613" s="75">
        <v>1146.6999999999998</v>
      </c>
      <c r="K613" s="7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75"/>
      <c r="Y613" s="541"/>
    </row>
    <row r="614" spans="1:25" ht="22.95" customHeight="1">
      <c r="A614" s="536" t="s">
        <v>192</v>
      </c>
      <c r="B614" s="175" t="s">
        <v>91</v>
      </c>
      <c r="C614" s="175">
        <v>176</v>
      </c>
      <c r="D614" s="175" t="s">
        <v>16</v>
      </c>
      <c r="E614" s="175">
        <v>6100404</v>
      </c>
      <c r="F614" s="175">
        <v>243</v>
      </c>
      <c r="G614" s="75">
        <v>0</v>
      </c>
      <c r="H614" s="75">
        <v>0</v>
      </c>
      <c r="I614" s="75">
        <v>0</v>
      </c>
      <c r="J614" s="75">
        <v>0</v>
      </c>
      <c r="K614" s="75">
        <v>0</v>
      </c>
      <c r="L614" s="135">
        <v>0</v>
      </c>
      <c r="M614" s="135"/>
      <c r="N614" s="135"/>
      <c r="O614" s="135"/>
      <c r="P614" s="135"/>
      <c r="Q614" s="135"/>
      <c r="R614" s="135"/>
      <c r="S614" s="135"/>
      <c r="T614" s="135"/>
      <c r="U614" s="135"/>
      <c r="V614" s="135">
        <v>5</v>
      </c>
      <c r="W614" s="135"/>
      <c r="X614" s="175"/>
      <c r="Y614" s="533" t="s">
        <v>629</v>
      </c>
    </row>
    <row r="615" spans="1:25" ht="22.95" customHeight="1">
      <c r="A615" s="537"/>
      <c r="B615" s="415" t="s">
        <v>628</v>
      </c>
      <c r="C615" s="415"/>
      <c r="D615" s="415"/>
      <c r="E615" s="415"/>
      <c r="F615" s="415"/>
      <c r="G615" s="75"/>
      <c r="H615" s="75"/>
      <c r="I615" s="75"/>
      <c r="J615" s="75"/>
      <c r="K615" s="7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>
        <f>V616+V617</f>
        <v>212210</v>
      </c>
      <c r="W615" s="135"/>
      <c r="X615" s="415"/>
      <c r="Y615" s="534"/>
    </row>
    <row r="616" spans="1:25" ht="20.399999999999999" customHeight="1">
      <c r="A616" s="537"/>
      <c r="B616" s="415" t="s">
        <v>457</v>
      </c>
      <c r="C616" s="415"/>
      <c r="D616" s="415"/>
      <c r="E616" s="415"/>
      <c r="F616" s="415"/>
      <c r="G616" s="75"/>
      <c r="H616" s="75"/>
      <c r="I616" s="75"/>
      <c r="J616" s="75"/>
      <c r="K616" s="7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>
        <v>109360</v>
      </c>
      <c r="W616" s="135"/>
      <c r="X616" s="415"/>
      <c r="Y616" s="534"/>
    </row>
    <row r="617" spans="1:25" ht="29.4" customHeight="1">
      <c r="A617" s="538"/>
      <c r="B617" s="175" t="s">
        <v>627</v>
      </c>
      <c r="C617" s="175"/>
      <c r="D617" s="175"/>
      <c r="E617" s="175"/>
      <c r="F617" s="175"/>
      <c r="G617" s="75"/>
      <c r="H617" s="75"/>
      <c r="I617" s="75"/>
      <c r="J617" s="75"/>
      <c r="K617" s="7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>
        <v>102850</v>
      </c>
      <c r="W617" s="135"/>
      <c r="X617" s="175"/>
      <c r="Y617" s="535"/>
    </row>
    <row r="618" spans="1:25" ht="23.4" customHeight="1">
      <c r="A618" s="536" t="s">
        <v>411</v>
      </c>
      <c r="B618" s="175" t="s">
        <v>91</v>
      </c>
      <c r="C618" s="175">
        <v>176</v>
      </c>
      <c r="D618" s="175" t="s">
        <v>16</v>
      </c>
      <c r="E618" s="175">
        <v>6100404</v>
      </c>
      <c r="F618" s="175">
        <v>243</v>
      </c>
      <c r="G618" s="75">
        <v>0</v>
      </c>
      <c r="H618" s="75">
        <v>0</v>
      </c>
      <c r="I618" s="75">
        <v>0</v>
      </c>
      <c r="J618" s="75">
        <v>0</v>
      </c>
      <c r="K618" s="75">
        <v>0</v>
      </c>
      <c r="L618" s="135">
        <v>0</v>
      </c>
      <c r="M618" s="135"/>
      <c r="N618" s="135"/>
      <c r="O618" s="135"/>
      <c r="P618" s="135"/>
      <c r="Q618" s="135"/>
      <c r="R618" s="135"/>
      <c r="S618" s="135"/>
      <c r="T618" s="135"/>
      <c r="U618" s="135"/>
      <c r="V618" s="135">
        <v>0.53</v>
      </c>
      <c r="W618" s="135"/>
      <c r="X618" s="175"/>
      <c r="Y618" s="533" t="s">
        <v>448</v>
      </c>
    </row>
    <row r="619" spans="1:25" ht="23.4" customHeight="1">
      <c r="A619" s="537"/>
      <c r="B619" s="175" t="s">
        <v>628</v>
      </c>
      <c r="C619" s="175"/>
      <c r="D619" s="175"/>
      <c r="E619" s="175"/>
      <c r="F619" s="175"/>
      <c r="G619" s="75"/>
      <c r="H619" s="75"/>
      <c r="I619" s="75"/>
      <c r="J619" s="75"/>
      <c r="K619" s="75"/>
      <c r="L619" s="135"/>
      <c r="M619" s="135"/>
      <c r="N619" s="135"/>
      <c r="O619" s="135"/>
      <c r="P619" s="135"/>
      <c r="Q619" s="135">
        <f>Q620+Q621</f>
        <v>0</v>
      </c>
      <c r="R619" s="135"/>
      <c r="S619" s="135"/>
      <c r="T619" s="135"/>
      <c r="U619" s="135"/>
      <c r="V619" s="135">
        <f>V620+V621</f>
        <v>45658.6</v>
      </c>
      <c r="W619" s="135"/>
      <c r="X619" s="175"/>
      <c r="Y619" s="534"/>
    </row>
    <row r="620" spans="1:25" ht="23.4" customHeight="1">
      <c r="A620" s="537"/>
      <c r="B620" s="175" t="s">
        <v>457</v>
      </c>
      <c r="C620" s="175"/>
      <c r="D620" s="175"/>
      <c r="E620" s="175"/>
      <c r="F620" s="175"/>
      <c r="G620" s="75"/>
      <c r="H620" s="75"/>
      <c r="I620" s="75"/>
      <c r="J620" s="75"/>
      <c r="K620" s="7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>
        <v>26658.6</v>
      </c>
      <c r="W620" s="135"/>
      <c r="X620" s="175"/>
      <c r="Y620" s="534"/>
    </row>
    <row r="621" spans="1:25" s="56" customFormat="1" ht="22.95" customHeight="1">
      <c r="A621" s="538"/>
      <c r="B621" s="175" t="s">
        <v>627</v>
      </c>
      <c r="C621" s="175"/>
      <c r="D621" s="175"/>
      <c r="E621" s="175"/>
      <c r="F621" s="175"/>
      <c r="G621" s="75"/>
      <c r="H621" s="75"/>
      <c r="I621" s="75"/>
      <c r="J621" s="75"/>
      <c r="K621" s="75"/>
      <c r="L621" s="135"/>
      <c r="M621" s="135"/>
      <c r="N621" s="135"/>
      <c r="O621" s="135"/>
      <c r="P621" s="135"/>
      <c r="Q621" s="135">
        <v>0</v>
      </c>
      <c r="R621" s="135"/>
      <c r="S621" s="135"/>
      <c r="T621" s="135"/>
      <c r="U621" s="135"/>
      <c r="V621" s="135">
        <v>19000</v>
      </c>
      <c r="W621" s="135"/>
      <c r="X621" s="175"/>
      <c r="Y621" s="535"/>
    </row>
    <row r="622" spans="1:25" s="56" customFormat="1" ht="33" hidden="1" customHeight="1">
      <c r="A622" s="540" t="s">
        <v>113</v>
      </c>
      <c r="B622" s="175" t="s">
        <v>91</v>
      </c>
      <c r="C622" s="175">
        <v>176</v>
      </c>
      <c r="D622" s="175" t="s">
        <v>16</v>
      </c>
      <c r="E622" s="175">
        <v>6100404</v>
      </c>
      <c r="F622" s="175">
        <v>243</v>
      </c>
      <c r="G622" s="75">
        <v>0</v>
      </c>
      <c r="H622" s="75">
        <v>0</v>
      </c>
      <c r="I622" s="75">
        <v>0</v>
      </c>
      <c r="J622" s="75">
        <v>0</v>
      </c>
      <c r="K622" s="75">
        <v>0</v>
      </c>
      <c r="L622" s="135">
        <v>0</v>
      </c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75"/>
      <c r="Y622" s="541" t="s">
        <v>32</v>
      </c>
    </row>
    <row r="623" spans="1:25" ht="24.6" hidden="1" customHeight="1">
      <c r="A623" s="540"/>
      <c r="B623" s="175" t="s">
        <v>299</v>
      </c>
      <c r="C623" s="175"/>
      <c r="D623" s="175"/>
      <c r="E623" s="175"/>
      <c r="F623" s="175"/>
      <c r="G623" s="75"/>
      <c r="H623" s="75"/>
      <c r="I623" s="75"/>
      <c r="J623" s="75"/>
      <c r="K623" s="7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75"/>
      <c r="Y623" s="541"/>
    </row>
    <row r="624" spans="1:25" ht="24.6" customHeight="1">
      <c r="A624" s="539" t="s">
        <v>107</v>
      </c>
      <c r="B624" s="83" t="s">
        <v>91</v>
      </c>
      <c r="C624" s="83"/>
      <c r="D624" s="83"/>
      <c r="E624" s="83"/>
      <c r="F624" s="83"/>
      <c r="G624" s="81">
        <f>G626+G628</f>
        <v>2.4860000000000002</v>
      </c>
      <c r="H624" s="81">
        <f t="shared" ref="H624:W625" si="269">H626+H628</f>
        <v>0</v>
      </c>
      <c r="I624" s="81">
        <f t="shared" si="269"/>
        <v>0</v>
      </c>
      <c r="J624" s="81">
        <f t="shared" si="269"/>
        <v>0</v>
      </c>
      <c r="K624" s="81">
        <f t="shared" si="269"/>
        <v>2.4860000000000002</v>
      </c>
      <c r="L624" s="134">
        <f t="shared" si="269"/>
        <v>0</v>
      </c>
      <c r="M624" s="134"/>
      <c r="N624" s="134"/>
      <c r="O624" s="134"/>
      <c r="P624" s="134"/>
      <c r="Q624" s="134">
        <f t="shared" si="269"/>
        <v>0</v>
      </c>
      <c r="R624" s="134"/>
      <c r="S624" s="134"/>
      <c r="T624" s="134"/>
      <c r="U624" s="134"/>
      <c r="V624" s="134">
        <f t="shared" si="269"/>
        <v>0</v>
      </c>
      <c r="W624" s="134">
        <f t="shared" si="269"/>
        <v>0</v>
      </c>
      <c r="X624" s="175"/>
      <c r="Y624" s="83"/>
    </row>
    <row r="625" spans="1:25" ht="24.9" customHeight="1">
      <c r="A625" s="539"/>
      <c r="B625" s="83" t="s">
        <v>299</v>
      </c>
      <c r="C625" s="83"/>
      <c r="D625" s="83"/>
      <c r="E625" s="83"/>
      <c r="F625" s="83"/>
      <c r="G625" s="81">
        <f>G627+G629</f>
        <v>48317.3</v>
      </c>
      <c r="H625" s="81">
        <f t="shared" si="269"/>
        <v>0</v>
      </c>
      <c r="I625" s="81">
        <f t="shared" si="269"/>
        <v>16445.900000000001</v>
      </c>
      <c r="J625" s="81">
        <f t="shared" si="269"/>
        <v>31871.4</v>
      </c>
      <c r="K625" s="81">
        <f t="shared" si="269"/>
        <v>0</v>
      </c>
      <c r="L625" s="134">
        <f t="shared" si="269"/>
        <v>0</v>
      </c>
      <c r="M625" s="134"/>
      <c r="N625" s="134"/>
      <c r="O625" s="134"/>
      <c r="P625" s="134"/>
      <c r="Q625" s="134">
        <f t="shared" si="269"/>
        <v>7664</v>
      </c>
      <c r="R625" s="134">
        <f t="shared" si="269"/>
        <v>0</v>
      </c>
      <c r="S625" s="134">
        <f t="shared" si="269"/>
        <v>0</v>
      </c>
      <c r="T625" s="134">
        <f t="shared" si="269"/>
        <v>7664</v>
      </c>
      <c r="U625" s="134">
        <f t="shared" si="269"/>
        <v>0</v>
      </c>
      <c r="V625" s="134">
        <f t="shared" si="269"/>
        <v>0</v>
      </c>
      <c r="W625" s="134">
        <f t="shared" si="269"/>
        <v>0</v>
      </c>
      <c r="X625" s="175"/>
      <c r="Y625" s="83"/>
    </row>
    <row r="626" spans="1:25" ht="0.6" customHeight="1">
      <c r="A626" s="540" t="s">
        <v>140</v>
      </c>
      <c r="B626" s="175" t="s">
        <v>91</v>
      </c>
      <c r="C626" s="175">
        <v>176</v>
      </c>
      <c r="D626" s="175" t="s">
        <v>16</v>
      </c>
      <c r="E626" s="175">
        <v>6100404</v>
      </c>
      <c r="F626" s="175">
        <v>243</v>
      </c>
      <c r="G626" s="75">
        <f>SUM(H626:K626)</f>
        <v>2.4860000000000002</v>
      </c>
      <c r="H626" s="75">
        <v>0</v>
      </c>
      <c r="I626" s="75"/>
      <c r="J626" s="75"/>
      <c r="K626" s="75">
        <v>2.4860000000000002</v>
      </c>
      <c r="L626" s="135">
        <v>0</v>
      </c>
      <c r="M626" s="135"/>
      <c r="N626" s="135"/>
      <c r="O626" s="135"/>
      <c r="P626" s="135"/>
      <c r="Q626" s="135">
        <v>0</v>
      </c>
      <c r="R626" s="135"/>
      <c r="S626" s="135"/>
      <c r="T626" s="135"/>
      <c r="U626" s="135"/>
      <c r="V626" s="135"/>
      <c r="W626" s="135"/>
      <c r="X626" s="175"/>
      <c r="Y626" s="541" t="s">
        <v>317</v>
      </c>
    </row>
    <row r="627" spans="1:25" s="56" customFormat="1" ht="24.6" hidden="1" customHeight="1">
      <c r="A627" s="540"/>
      <c r="B627" s="175" t="s">
        <v>299</v>
      </c>
      <c r="C627" s="175"/>
      <c r="D627" s="175"/>
      <c r="E627" s="175"/>
      <c r="F627" s="175"/>
      <c r="G627" s="75">
        <f>SUM(H627:K627)</f>
        <v>48317.3</v>
      </c>
      <c r="H627" s="75">
        <v>0</v>
      </c>
      <c r="I627" s="75">
        <v>16445.900000000001</v>
      </c>
      <c r="J627" s="75">
        <f>32071.5-200.1</f>
        <v>31871.4</v>
      </c>
      <c r="K627" s="7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75"/>
      <c r="Y627" s="541"/>
    </row>
    <row r="628" spans="1:25" s="56" customFormat="1" ht="23.4" customHeight="1">
      <c r="A628" s="540" t="s">
        <v>113</v>
      </c>
      <c r="B628" s="175" t="s">
        <v>91</v>
      </c>
      <c r="C628" s="175">
        <v>176</v>
      </c>
      <c r="D628" s="175" t="s">
        <v>16</v>
      </c>
      <c r="E628" s="175">
        <v>6100404</v>
      </c>
      <c r="F628" s="175">
        <v>243</v>
      </c>
      <c r="G628" s="75">
        <v>0</v>
      </c>
      <c r="H628" s="75">
        <v>0</v>
      </c>
      <c r="I628" s="75">
        <v>0</v>
      </c>
      <c r="J628" s="75">
        <v>0</v>
      </c>
      <c r="K628" s="75">
        <v>0</v>
      </c>
      <c r="L628" s="135">
        <v>0</v>
      </c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75"/>
      <c r="Y628" s="541" t="s">
        <v>366</v>
      </c>
    </row>
    <row r="629" spans="1:25" ht="24.6" customHeight="1">
      <c r="A629" s="540"/>
      <c r="B629" s="175" t="s">
        <v>299</v>
      </c>
      <c r="C629" s="175"/>
      <c r="D629" s="175"/>
      <c r="E629" s="175"/>
      <c r="F629" s="175"/>
      <c r="G629" s="75"/>
      <c r="H629" s="75"/>
      <c r="I629" s="75"/>
      <c r="J629" s="75"/>
      <c r="K629" s="75"/>
      <c r="L629" s="135"/>
      <c r="M629" s="135"/>
      <c r="N629" s="135"/>
      <c r="O629" s="135"/>
      <c r="P629" s="135"/>
      <c r="Q629" s="135">
        <f>T629</f>
        <v>7664</v>
      </c>
      <c r="R629" s="135"/>
      <c r="S629" s="135"/>
      <c r="T629" s="135">
        <f>7818-154</f>
        <v>7664</v>
      </c>
      <c r="U629" s="135"/>
      <c r="V629" s="135"/>
      <c r="W629" s="135"/>
      <c r="X629" s="175"/>
      <c r="Y629" s="541"/>
    </row>
    <row r="630" spans="1:25" ht="24.6" customHeight="1">
      <c r="A630" s="539" t="s">
        <v>142</v>
      </c>
      <c r="B630" s="83" t="s">
        <v>91</v>
      </c>
      <c r="C630" s="83"/>
      <c r="D630" s="83"/>
      <c r="E630" s="83"/>
      <c r="F630" s="83"/>
      <c r="G630" s="81">
        <f t="shared" ref="G630:P630" si="270">G632+G636+G642</f>
        <v>0</v>
      </c>
      <c r="H630" s="81">
        <f t="shared" si="270"/>
        <v>0</v>
      </c>
      <c r="I630" s="81">
        <f t="shared" si="270"/>
        <v>0</v>
      </c>
      <c r="J630" s="81">
        <f t="shared" si="270"/>
        <v>0</v>
      </c>
      <c r="K630" s="81">
        <f t="shared" si="270"/>
        <v>0</v>
      </c>
      <c r="L630" s="134">
        <f t="shared" si="270"/>
        <v>1.63</v>
      </c>
      <c r="M630" s="134">
        <f t="shared" si="270"/>
        <v>0</v>
      </c>
      <c r="N630" s="134">
        <f t="shared" si="270"/>
        <v>0</v>
      </c>
      <c r="O630" s="134">
        <f t="shared" si="270"/>
        <v>1.63</v>
      </c>
      <c r="P630" s="134">
        <f t="shared" si="270"/>
        <v>0</v>
      </c>
      <c r="Q630" s="134">
        <f>Q636+Q640+Q642</f>
        <v>0</v>
      </c>
      <c r="R630" s="134"/>
      <c r="S630" s="134"/>
      <c r="T630" s="134"/>
      <c r="U630" s="134"/>
      <c r="V630" s="134">
        <f t="shared" ref="V630:W630" si="271">V636+V640+V642</f>
        <v>0</v>
      </c>
      <c r="W630" s="134">
        <f t="shared" si="271"/>
        <v>0.3</v>
      </c>
      <c r="X630" s="175"/>
      <c r="Y630" s="83"/>
    </row>
    <row r="631" spans="1:25" ht="24.6" customHeight="1">
      <c r="A631" s="539"/>
      <c r="B631" s="83" t="s">
        <v>299</v>
      </c>
      <c r="C631" s="83"/>
      <c r="D631" s="83"/>
      <c r="E631" s="83"/>
      <c r="F631" s="83"/>
      <c r="G631" s="81">
        <f t="shared" ref="G631:P631" si="272">G633+G637+G643</f>
        <v>19089.599999999999</v>
      </c>
      <c r="H631" s="81">
        <f t="shared" si="272"/>
        <v>19089.599999999999</v>
      </c>
      <c r="I631" s="81">
        <f t="shared" si="272"/>
        <v>0</v>
      </c>
      <c r="J631" s="81">
        <f t="shared" si="272"/>
        <v>0</v>
      </c>
      <c r="K631" s="81">
        <f t="shared" si="272"/>
        <v>0</v>
      </c>
      <c r="L631" s="134">
        <f t="shared" si="272"/>
        <v>57326.6</v>
      </c>
      <c r="M631" s="134">
        <f t="shared" si="272"/>
        <v>0</v>
      </c>
      <c r="N631" s="134">
        <f t="shared" si="272"/>
        <v>0</v>
      </c>
      <c r="O631" s="134">
        <f t="shared" si="272"/>
        <v>57326.6</v>
      </c>
      <c r="P631" s="134">
        <f t="shared" si="272"/>
        <v>0</v>
      </c>
      <c r="Q631" s="134">
        <f>Q637+Q641+Q643</f>
        <v>7731.6</v>
      </c>
      <c r="R631" s="134">
        <f t="shared" ref="R631:U631" si="273">R637+R641+R643</f>
        <v>0</v>
      </c>
      <c r="S631" s="134">
        <f t="shared" si="273"/>
        <v>0</v>
      </c>
      <c r="T631" s="134">
        <f t="shared" si="273"/>
        <v>7731.6</v>
      </c>
      <c r="U631" s="134">
        <f t="shared" si="273"/>
        <v>0</v>
      </c>
      <c r="V631" s="134">
        <f t="shared" ref="V631:W631" si="274">V637+V641+V643</f>
        <v>2889.4</v>
      </c>
      <c r="W631" s="134">
        <f t="shared" si="274"/>
        <v>12000</v>
      </c>
      <c r="X631" s="175"/>
      <c r="Y631" s="83"/>
    </row>
    <row r="632" spans="1:25" ht="0.6" customHeight="1">
      <c r="A632" s="540" t="s">
        <v>141</v>
      </c>
      <c r="B632" s="175" t="s">
        <v>91</v>
      </c>
      <c r="C632" s="175">
        <v>176</v>
      </c>
      <c r="D632" s="175" t="s">
        <v>16</v>
      </c>
      <c r="E632" s="175">
        <v>6100404</v>
      </c>
      <c r="F632" s="175">
        <v>243</v>
      </c>
      <c r="G632" s="75"/>
      <c r="H632" s="75"/>
      <c r="I632" s="75"/>
      <c r="J632" s="75">
        <v>0</v>
      </c>
      <c r="K632" s="75"/>
      <c r="L632" s="135">
        <v>0</v>
      </c>
      <c r="M632" s="135"/>
      <c r="N632" s="135"/>
      <c r="O632" s="135"/>
      <c r="P632" s="135"/>
      <c r="Q632" s="135">
        <v>0</v>
      </c>
      <c r="R632" s="135"/>
      <c r="S632" s="135"/>
      <c r="T632" s="135"/>
      <c r="U632" s="135"/>
      <c r="V632" s="135"/>
      <c r="W632" s="135"/>
      <c r="X632" s="175"/>
      <c r="Y632" s="541" t="s">
        <v>257</v>
      </c>
    </row>
    <row r="633" spans="1:25" ht="22.95" hidden="1" customHeight="1">
      <c r="A633" s="540"/>
      <c r="B633" s="175" t="s">
        <v>299</v>
      </c>
      <c r="C633" s="175"/>
      <c r="D633" s="175"/>
      <c r="E633" s="175"/>
      <c r="F633" s="175"/>
      <c r="G633" s="75">
        <f>SUM(H633:K633)</f>
        <v>19089.599999999999</v>
      </c>
      <c r="H633" s="75">
        <v>19089.599999999999</v>
      </c>
      <c r="I633" s="75"/>
      <c r="J633" s="75"/>
      <c r="K633" s="7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75"/>
      <c r="Y633" s="541"/>
    </row>
    <row r="634" spans="1:25" ht="24.6" hidden="1" customHeight="1">
      <c r="A634" s="181" t="s">
        <v>191</v>
      </c>
      <c r="B634" s="175" t="s">
        <v>91</v>
      </c>
      <c r="C634" s="175">
        <v>176</v>
      </c>
      <c r="D634" s="175" t="s">
        <v>16</v>
      </c>
      <c r="E634" s="175">
        <v>6100404</v>
      </c>
      <c r="F634" s="175">
        <v>243</v>
      </c>
      <c r="G634" s="75">
        <v>0</v>
      </c>
      <c r="H634" s="75">
        <v>0</v>
      </c>
      <c r="I634" s="75">
        <v>0</v>
      </c>
      <c r="J634" s="75">
        <v>0</v>
      </c>
      <c r="K634" s="75">
        <v>0</v>
      </c>
      <c r="L634" s="135">
        <v>0</v>
      </c>
      <c r="M634" s="135"/>
      <c r="N634" s="135"/>
      <c r="O634" s="135"/>
      <c r="P634" s="135"/>
      <c r="Q634" s="135">
        <v>0</v>
      </c>
      <c r="R634" s="135"/>
      <c r="S634" s="135"/>
      <c r="T634" s="135"/>
      <c r="U634" s="135"/>
      <c r="V634" s="135"/>
      <c r="W634" s="135"/>
      <c r="X634" s="175"/>
      <c r="Y634" s="175" t="s">
        <v>40</v>
      </c>
    </row>
    <row r="635" spans="1:25" ht="0.6" hidden="1" customHeight="1">
      <c r="A635" s="181"/>
      <c r="B635" s="175" t="s">
        <v>299</v>
      </c>
      <c r="C635" s="175"/>
      <c r="D635" s="175"/>
      <c r="E635" s="175"/>
      <c r="F635" s="175"/>
      <c r="G635" s="75"/>
      <c r="H635" s="75"/>
      <c r="I635" s="75"/>
      <c r="J635" s="75"/>
      <c r="K635" s="7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75"/>
      <c r="Y635" s="175"/>
    </row>
    <row r="636" spans="1:25" ht="24.6" hidden="1" customHeight="1">
      <c r="A636" s="540" t="s">
        <v>173</v>
      </c>
      <c r="B636" s="175" t="s">
        <v>91</v>
      </c>
      <c r="C636" s="175">
        <v>176</v>
      </c>
      <c r="D636" s="175" t="s">
        <v>16</v>
      </c>
      <c r="E636" s="175">
        <v>6100404</v>
      </c>
      <c r="F636" s="175">
        <v>243</v>
      </c>
      <c r="G636" s="75">
        <v>0</v>
      </c>
      <c r="H636" s="75">
        <v>0</v>
      </c>
      <c r="I636" s="75">
        <v>0</v>
      </c>
      <c r="J636" s="75">
        <v>0</v>
      </c>
      <c r="K636" s="75">
        <v>0</v>
      </c>
      <c r="L636" s="135">
        <v>1.63</v>
      </c>
      <c r="M636" s="135"/>
      <c r="N636" s="135"/>
      <c r="O636" s="135">
        <v>1.63</v>
      </c>
      <c r="P636" s="135"/>
      <c r="Q636" s="135">
        <v>0</v>
      </c>
      <c r="R636" s="135"/>
      <c r="S636" s="135"/>
      <c r="T636" s="135"/>
      <c r="U636" s="135"/>
      <c r="V636" s="135"/>
      <c r="W636" s="135"/>
      <c r="X636" s="175"/>
      <c r="Y636" s="541" t="s">
        <v>414</v>
      </c>
    </row>
    <row r="637" spans="1:25" ht="23.4" hidden="1" customHeight="1">
      <c r="A637" s="540"/>
      <c r="B637" s="175" t="s">
        <v>299</v>
      </c>
      <c r="C637" s="175"/>
      <c r="D637" s="175"/>
      <c r="E637" s="175"/>
      <c r="F637" s="175"/>
      <c r="G637" s="75"/>
      <c r="H637" s="75"/>
      <c r="I637" s="75"/>
      <c r="J637" s="75"/>
      <c r="K637" s="75"/>
      <c r="L637" s="135">
        <f>O637</f>
        <v>57326.6</v>
      </c>
      <c r="M637" s="135"/>
      <c r="N637" s="135"/>
      <c r="O637" s="135">
        <f>52756.6+4570</f>
        <v>57326.6</v>
      </c>
      <c r="P637" s="135"/>
      <c r="Q637" s="135"/>
      <c r="R637" s="135"/>
      <c r="S637" s="135"/>
      <c r="T637" s="135"/>
      <c r="U637" s="135"/>
      <c r="V637" s="135"/>
      <c r="W637" s="135"/>
      <c r="X637" s="175"/>
      <c r="Y637" s="541"/>
    </row>
    <row r="638" spans="1:25" ht="24.6" hidden="1" customHeight="1">
      <c r="A638" s="185" t="s">
        <v>184</v>
      </c>
      <c r="B638" s="175" t="s">
        <v>91</v>
      </c>
      <c r="C638" s="175">
        <v>176</v>
      </c>
      <c r="D638" s="175" t="s">
        <v>16</v>
      </c>
      <c r="E638" s="175">
        <v>6100404</v>
      </c>
      <c r="F638" s="175">
        <v>243</v>
      </c>
      <c r="G638" s="75">
        <f>SUM(H638:K638)</f>
        <v>0</v>
      </c>
      <c r="H638" s="75">
        <v>0</v>
      </c>
      <c r="I638" s="75">
        <v>0</v>
      </c>
      <c r="J638" s="75">
        <v>0</v>
      </c>
      <c r="K638" s="75">
        <v>0</v>
      </c>
      <c r="L638" s="135"/>
      <c r="M638" s="135"/>
      <c r="N638" s="135"/>
      <c r="O638" s="135"/>
      <c r="P638" s="135"/>
      <c r="Q638" s="135">
        <v>0</v>
      </c>
      <c r="R638" s="135"/>
      <c r="S638" s="135"/>
      <c r="T638" s="135"/>
      <c r="U638" s="135"/>
      <c r="V638" s="135"/>
      <c r="W638" s="135"/>
      <c r="X638" s="175"/>
      <c r="Y638" s="175"/>
    </row>
    <row r="639" spans="1:25" s="56" customFormat="1" ht="24.6" hidden="1" customHeight="1">
      <c r="A639" s="185"/>
      <c r="B639" s="175" t="s">
        <v>299</v>
      </c>
      <c r="C639" s="175"/>
      <c r="D639" s="175"/>
      <c r="E639" s="175"/>
      <c r="F639" s="175"/>
      <c r="G639" s="75"/>
      <c r="H639" s="75"/>
      <c r="I639" s="75"/>
      <c r="J639" s="75"/>
      <c r="K639" s="7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75"/>
      <c r="Y639" s="175"/>
    </row>
    <row r="640" spans="1:25" s="56" customFormat="1" ht="24.6" customHeight="1">
      <c r="A640" s="536" t="s">
        <v>413</v>
      </c>
      <c r="B640" s="175" t="s">
        <v>91</v>
      </c>
      <c r="C640" s="175"/>
      <c r="D640" s="175"/>
      <c r="E640" s="175"/>
      <c r="F640" s="175"/>
      <c r="G640" s="75"/>
      <c r="H640" s="75"/>
      <c r="I640" s="75"/>
      <c r="J640" s="75"/>
      <c r="K640" s="7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>
        <v>0.3</v>
      </c>
      <c r="X640" s="175"/>
      <c r="Y640" s="533" t="s">
        <v>668</v>
      </c>
    </row>
    <row r="641" spans="1:25" s="56" customFormat="1" ht="24.6" customHeight="1">
      <c r="A641" s="538"/>
      <c r="B641" s="175" t="s">
        <v>299</v>
      </c>
      <c r="C641" s="175"/>
      <c r="D641" s="175"/>
      <c r="E641" s="175"/>
      <c r="F641" s="175"/>
      <c r="G641" s="75"/>
      <c r="H641" s="75"/>
      <c r="I641" s="75"/>
      <c r="J641" s="75"/>
      <c r="K641" s="7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>
        <v>12000</v>
      </c>
      <c r="X641" s="175"/>
      <c r="Y641" s="535"/>
    </row>
    <row r="642" spans="1:25" s="56" customFormat="1" ht="24.9" customHeight="1">
      <c r="A642" s="540" t="s">
        <v>113</v>
      </c>
      <c r="B642" s="175" t="s">
        <v>91</v>
      </c>
      <c r="C642" s="175">
        <v>176</v>
      </c>
      <c r="D642" s="175" t="s">
        <v>16</v>
      </c>
      <c r="E642" s="175">
        <v>6100404</v>
      </c>
      <c r="F642" s="175">
        <v>243</v>
      </c>
      <c r="G642" s="75">
        <f>SUM(H642:K642)</f>
        <v>0</v>
      </c>
      <c r="H642" s="75">
        <v>0</v>
      </c>
      <c r="I642" s="75">
        <v>0</v>
      </c>
      <c r="J642" s="75">
        <v>0</v>
      </c>
      <c r="K642" s="75">
        <v>0</v>
      </c>
      <c r="L642" s="135">
        <v>0</v>
      </c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75"/>
      <c r="Y642" s="541" t="s">
        <v>412</v>
      </c>
    </row>
    <row r="643" spans="1:25" ht="24.9" customHeight="1">
      <c r="A643" s="540"/>
      <c r="B643" s="175" t="s">
        <v>299</v>
      </c>
      <c r="C643" s="175"/>
      <c r="D643" s="175"/>
      <c r="E643" s="175"/>
      <c r="F643" s="175"/>
      <c r="G643" s="75"/>
      <c r="H643" s="75"/>
      <c r="I643" s="75"/>
      <c r="J643" s="75"/>
      <c r="K643" s="75"/>
      <c r="L643" s="135"/>
      <c r="M643" s="135"/>
      <c r="N643" s="135"/>
      <c r="O643" s="135"/>
      <c r="P643" s="135"/>
      <c r="Q643" s="135">
        <f>T643</f>
        <v>7731.6</v>
      </c>
      <c r="R643" s="135"/>
      <c r="S643" s="135"/>
      <c r="T643" s="135">
        <f>4968.3+2763.3</f>
        <v>7731.6</v>
      </c>
      <c r="U643" s="135"/>
      <c r="V643" s="135">
        <v>2889.4</v>
      </c>
      <c r="W643" s="135"/>
      <c r="X643" s="175"/>
      <c r="Y643" s="541"/>
    </row>
    <row r="644" spans="1:25" ht="24.9" customHeight="1">
      <c r="A644" s="561" t="s">
        <v>108</v>
      </c>
      <c r="B644" s="83" t="s">
        <v>91</v>
      </c>
      <c r="C644" s="83"/>
      <c r="D644" s="83"/>
      <c r="E644" s="83"/>
      <c r="F644" s="83"/>
      <c r="G644" s="81">
        <f>G646+G648+G650+G652</f>
        <v>0</v>
      </c>
      <c r="H644" s="81">
        <f t="shared" ref="H644:P645" si="275">H646+H648+H650+H652</f>
        <v>0</v>
      </c>
      <c r="I644" s="81">
        <f t="shared" si="275"/>
        <v>0</v>
      </c>
      <c r="J644" s="81">
        <f t="shared" si="275"/>
        <v>0</v>
      </c>
      <c r="K644" s="81">
        <f t="shared" si="275"/>
        <v>0</v>
      </c>
      <c r="L644" s="134">
        <f t="shared" si="275"/>
        <v>2.2000000000000002</v>
      </c>
      <c r="M644" s="134">
        <f t="shared" si="275"/>
        <v>1.5</v>
      </c>
      <c r="N644" s="134">
        <f t="shared" si="275"/>
        <v>0</v>
      </c>
      <c r="O644" s="134">
        <f t="shared" si="275"/>
        <v>0</v>
      </c>
      <c r="P644" s="134">
        <f t="shared" si="275"/>
        <v>0.7</v>
      </c>
      <c r="Q644" s="134">
        <f>Q646+Q648+Q650+Q652</f>
        <v>0.55000000000000004</v>
      </c>
      <c r="R644" s="134">
        <f t="shared" ref="R644:T644" si="276">R646+R648+R650+R652</f>
        <v>0</v>
      </c>
      <c r="S644" s="134">
        <f t="shared" si="276"/>
        <v>0</v>
      </c>
      <c r="T644" s="134">
        <f t="shared" si="276"/>
        <v>0.55000000000000004</v>
      </c>
      <c r="U644" s="134"/>
      <c r="V644" s="134">
        <f t="shared" ref="V644:W644" si="277">V646+V648+V650+V652</f>
        <v>0.16</v>
      </c>
      <c r="W644" s="134">
        <f t="shared" si="277"/>
        <v>0</v>
      </c>
      <c r="X644" s="175"/>
      <c r="Y644" s="83"/>
    </row>
    <row r="645" spans="1:25" ht="24.6" customHeight="1">
      <c r="A645" s="561"/>
      <c r="B645" s="83" t="s">
        <v>299</v>
      </c>
      <c r="C645" s="83"/>
      <c r="D645" s="83"/>
      <c r="E645" s="83"/>
      <c r="F645" s="83"/>
      <c r="G645" s="81">
        <f>G647+G649+G651+G653</f>
        <v>2617.4</v>
      </c>
      <c r="H645" s="81">
        <f t="shared" si="275"/>
        <v>0</v>
      </c>
      <c r="I645" s="81">
        <f t="shared" si="275"/>
        <v>0</v>
      </c>
      <c r="J645" s="81">
        <f t="shared" si="275"/>
        <v>2617.4</v>
      </c>
      <c r="K645" s="81">
        <f t="shared" si="275"/>
        <v>0</v>
      </c>
      <c r="L645" s="134">
        <f>L647+L649+L651+L653</f>
        <v>28500.7</v>
      </c>
      <c r="M645" s="134">
        <f t="shared" ref="M645:P645" si="278">M647+M649+M651+M653</f>
        <v>5500.7</v>
      </c>
      <c r="N645" s="134">
        <f t="shared" si="278"/>
        <v>0</v>
      </c>
      <c r="O645" s="134">
        <f t="shared" si="278"/>
        <v>0</v>
      </c>
      <c r="P645" s="134">
        <f t="shared" si="278"/>
        <v>23000</v>
      </c>
      <c r="Q645" s="134">
        <f>Q649+Q651</f>
        <v>14288.5</v>
      </c>
      <c r="R645" s="134">
        <f t="shared" ref="R645:U645" si="279">R649+R651</f>
        <v>0</v>
      </c>
      <c r="S645" s="134">
        <f t="shared" si="279"/>
        <v>0</v>
      </c>
      <c r="T645" s="134">
        <f t="shared" si="279"/>
        <v>14288.5</v>
      </c>
      <c r="U645" s="134">
        <f t="shared" si="279"/>
        <v>0</v>
      </c>
      <c r="V645" s="134">
        <f>V651</f>
        <v>5500</v>
      </c>
      <c r="W645" s="134">
        <f t="shared" ref="W645" si="280">W649</f>
        <v>0</v>
      </c>
      <c r="X645" s="175"/>
      <c r="Y645" s="83"/>
    </row>
    <row r="646" spans="1:25" ht="0.6" customHeight="1">
      <c r="A646" s="183" t="s">
        <v>335</v>
      </c>
      <c r="B646" s="175" t="s">
        <v>91</v>
      </c>
      <c r="C646" s="175">
        <v>176</v>
      </c>
      <c r="D646" s="175" t="s">
        <v>16</v>
      </c>
      <c r="E646" s="175">
        <v>6100404</v>
      </c>
      <c r="F646" s="175">
        <v>243</v>
      </c>
      <c r="G646" s="75">
        <v>0</v>
      </c>
      <c r="H646" s="75">
        <v>0</v>
      </c>
      <c r="I646" s="75">
        <v>0</v>
      </c>
      <c r="J646" s="75">
        <v>0</v>
      </c>
      <c r="K646" s="75">
        <v>0</v>
      </c>
      <c r="L646" s="135">
        <v>1.5</v>
      </c>
      <c r="M646" s="135">
        <v>1.5</v>
      </c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75"/>
      <c r="Y646" s="541" t="s">
        <v>368</v>
      </c>
    </row>
    <row r="647" spans="1:25" ht="24.6" hidden="1" customHeight="1">
      <c r="A647" s="101" t="s">
        <v>336</v>
      </c>
      <c r="B647" s="175" t="s">
        <v>299</v>
      </c>
      <c r="C647" s="175"/>
      <c r="D647" s="175"/>
      <c r="E647" s="175"/>
      <c r="F647" s="175"/>
      <c r="G647" s="75"/>
      <c r="H647" s="75"/>
      <c r="I647" s="75"/>
      <c r="J647" s="75"/>
      <c r="K647" s="75"/>
      <c r="L647" s="135">
        <f>5762-261.3</f>
        <v>5500.7</v>
      </c>
      <c r="M647" s="135">
        <v>5500.7</v>
      </c>
      <c r="N647" s="135"/>
      <c r="O647" s="135"/>
      <c r="P647" s="135"/>
      <c r="Q647" s="135"/>
      <c r="R647" s="135"/>
      <c r="S647" s="135"/>
      <c r="T647" s="135"/>
      <c r="U647" s="135"/>
      <c r="V647" s="135">
        <f>18246-18246</f>
        <v>0</v>
      </c>
      <c r="W647" s="135"/>
      <c r="X647" s="175"/>
      <c r="Y647" s="541"/>
    </row>
    <row r="648" spans="1:25" ht="22.5" customHeight="1">
      <c r="A648" s="560" t="s">
        <v>113</v>
      </c>
      <c r="B648" s="175" t="s">
        <v>91</v>
      </c>
      <c r="C648" s="175">
        <v>176</v>
      </c>
      <c r="D648" s="175" t="s">
        <v>16</v>
      </c>
      <c r="E648" s="175">
        <v>6100404</v>
      </c>
      <c r="F648" s="175">
        <v>243</v>
      </c>
      <c r="G648" s="75">
        <f>SUM(H648:K648)</f>
        <v>0</v>
      </c>
      <c r="H648" s="75">
        <v>0</v>
      </c>
      <c r="I648" s="75">
        <v>0</v>
      </c>
      <c r="J648" s="75"/>
      <c r="K648" s="75"/>
      <c r="L648" s="135">
        <v>0</v>
      </c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75"/>
      <c r="Y648" s="541" t="s">
        <v>412</v>
      </c>
    </row>
    <row r="649" spans="1:25" ht="22.95" customHeight="1">
      <c r="A649" s="560"/>
      <c r="B649" s="175" t="s">
        <v>299</v>
      </c>
      <c r="C649" s="175"/>
      <c r="D649" s="175"/>
      <c r="E649" s="175"/>
      <c r="F649" s="175"/>
      <c r="G649" s="75">
        <f>SUM(H649:K649)</f>
        <v>2617.4</v>
      </c>
      <c r="H649" s="75"/>
      <c r="I649" s="75"/>
      <c r="J649" s="75">
        <f>6215.8-3598.4</f>
        <v>2617.4</v>
      </c>
      <c r="K649" s="75"/>
      <c r="L649" s="135"/>
      <c r="M649" s="135"/>
      <c r="N649" s="135"/>
      <c r="O649" s="135"/>
      <c r="P649" s="135"/>
      <c r="Q649" s="135">
        <f>T649</f>
        <v>2305.1999999999998</v>
      </c>
      <c r="R649" s="135"/>
      <c r="S649" s="135"/>
      <c r="T649" s="135">
        <f>2339.7-34.5</f>
        <v>2305.1999999999998</v>
      </c>
      <c r="U649" s="135"/>
      <c r="V649" s="135"/>
      <c r="W649" s="135"/>
      <c r="X649" s="175"/>
      <c r="Y649" s="541"/>
    </row>
    <row r="650" spans="1:25" ht="22.95" customHeight="1">
      <c r="A650" s="560" t="s">
        <v>304</v>
      </c>
      <c r="B650" s="175" t="s">
        <v>91</v>
      </c>
      <c r="C650" s="175">
        <v>176</v>
      </c>
      <c r="D650" s="175" t="s">
        <v>16</v>
      </c>
      <c r="E650" s="175">
        <v>6100404</v>
      </c>
      <c r="F650" s="175">
        <v>243</v>
      </c>
      <c r="G650" s="75">
        <v>0</v>
      </c>
      <c r="H650" s="75">
        <v>0</v>
      </c>
      <c r="I650" s="75">
        <v>0</v>
      </c>
      <c r="J650" s="75">
        <v>0</v>
      </c>
      <c r="K650" s="75"/>
      <c r="L650" s="135">
        <v>0.7</v>
      </c>
      <c r="M650" s="135"/>
      <c r="N650" s="135"/>
      <c r="O650" s="135"/>
      <c r="P650" s="135">
        <v>0.7</v>
      </c>
      <c r="Q650" s="135">
        <v>0.55000000000000004</v>
      </c>
      <c r="R650" s="135"/>
      <c r="S650" s="135"/>
      <c r="T650" s="135">
        <v>0.55000000000000004</v>
      </c>
      <c r="U650" s="135"/>
      <c r="V650" s="135">
        <v>0.16</v>
      </c>
      <c r="W650" s="135"/>
      <c r="X650" s="175"/>
      <c r="Y650" s="541" t="s">
        <v>280</v>
      </c>
    </row>
    <row r="651" spans="1:25" s="56" customFormat="1" ht="22.95" customHeight="1">
      <c r="A651" s="560"/>
      <c r="B651" s="175" t="s">
        <v>299</v>
      </c>
      <c r="C651" s="175"/>
      <c r="D651" s="175"/>
      <c r="E651" s="175"/>
      <c r="F651" s="175"/>
      <c r="G651" s="75"/>
      <c r="H651" s="75"/>
      <c r="I651" s="75"/>
      <c r="J651" s="75"/>
      <c r="K651" s="75"/>
      <c r="L651" s="135">
        <f>P651</f>
        <v>23000</v>
      </c>
      <c r="M651" s="135"/>
      <c r="N651" s="135"/>
      <c r="O651" s="135"/>
      <c r="P651" s="135">
        <f>12900+21000-10900</f>
        <v>23000</v>
      </c>
      <c r="Q651" s="135">
        <f>T651</f>
        <v>11983.3</v>
      </c>
      <c r="R651" s="135"/>
      <c r="S651" s="135"/>
      <c r="T651" s="135">
        <f>12850-866.7</f>
        <v>11983.3</v>
      </c>
      <c r="U651" s="135"/>
      <c r="V651" s="135">
        <v>5500</v>
      </c>
      <c r="W651" s="135"/>
      <c r="X651" s="175"/>
      <c r="Y651" s="541"/>
    </row>
    <row r="652" spans="1:25" s="56" customFormat="1" ht="0.6" hidden="1" customHeight="1">
      <c r="A652" s="560" t="s">
        <v>415</v>
      </c>
      <c r="B652" s="175" t="s">
        <v>91</v>
      </c>
      <c r="C652" s="175">
        <v>176</v>
      </c>
      <c r="D652" s="175" t="s">
        <v>16</v>
      </c>
      <c r="E652" s="175">
        <v>6100404</v>
      </c>
      <c r="F652" s="175">
        <v>243</v>
      </c>
      <c r="G652" s="75">
        <v>0</v>
      </c>
      <c r="H652" s="75">
        <v>0</v>
      </c>
      <c r="I652" s="75">
        <v>0</v>
      </c>
      <c r="J652" s="75">
        <v>0</v>
      </c>
      <c r="K652" s="75">
        <v>0</v>
      </c>
      <c r="L652" s="135">
        <v>0</v>
      </c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75"/>
      <c r="Y652" s="541" t="s">
        <v>32</v>
      </c>
    </row>
    <row r="653" spans="1:25" ht="24.6" hidden="1" customHeight="1">
      <c r="A653" s="560"/>
      <c r="B653" s="175" t="s">
        <v>299</v>
      </c>
      <c r="C653" s="175"/>
      <c r="D653" s="175"/>
      <c r="E653" s="175"/>
      <c r="F653" s="175"/>
      <c r="G653" s="75"/>
      <c r="H653" s="75"/>
      <c r="I653" s="75"/>
      <c r="J653" s="75"/>
      <c r="K653" s="75"/>
      <c r="L653" s="135"/>
      <c r="M653" s="135"/>
      <c r="N653" s="135"/>
      <c r="O653" s="135"/>
      <c r="P653" s="135"/>
      <c r="Q653" s="135">
        <v>0</v>
      </c>
      <c r="R653" s="135"/>
      <c r="S653" s="135"/>
      <c r="T653" s="135"/>
      <c r="U653" s="135"/>
      <c r="V653" s="135"/>
      <c r="W653" s="135"/>
      <c r="X653" s="175"/>
      <c r="Y653" s="541"/>
    </row>
    <row r="654" spans="1:25" ht="0.6" hidden="1" customHeight="1">
      <c r="A654" s="539" t="s">
        <v>109</v>
      </c>
      <c r="B654" s="83" t="s">
        <v>91</v>
      </c>
      <c r="C654" s="83"/>
      <c r="D654" s="83"/>
      <c r="E654" s="83"/>
      <c r="F654" s="83"/>
      <c r="G654" s="81">
        <f>G656+G660</f>
        <v>0</v>
      </c>
      <c r="H654" s="81">
        <f t="shared" ref="H654:V655" si="281">H656+H660</f>
        <v>0</v>
      </c>
      <c r="I654" s="81">
        <f t="shared" si="281"/>
        <v>0</v>
      </c>
      <c r="J654" s="81">
        <f t="shared" si="281"/>
        <v>0</v>
      </c>
      <c r="K654" s="81">
        <f t="shared" si="281"/>
        <v>0</v>
      </c>
      <c r="L654" s="134">
        <f t="shared" si="281"/>
        <v>0</v>
      </c>
      <c r="M654" s="134"/>
      <c r="N654" s="134"/>
      <c r="O654" s="134"/>
      <c r="P654" s="134"/>
      <c r="Q654" s="134">
        <f t="shared" si="281"/>
        <v>0</v>
      </c>
      <c r="R654" s="134"/>
      <c r="S654" s="134"/>
      <c r="T654" s="134"/>
      <c r="U654" s="134"/>
      <c r="V654" s="134">
        <f t="shared" si="281"/>
        <v>0</v>
      </c>
      <c r="W654" s="134"/>
      <c r="X654" s="175"/>
      <c r="Y654" s="83"/>
    </row>
    <row r="655" spans="1:25" ht="24.6" hidden="1" customHeight="1">
      <c r="A655" s="539"/>
      <c r="B655" s="83" t="s">
        <v>299</v>
      </c>
      <c r="C655" s="83"/>
      <c r="D655" s="83"/>
      <c r="E655" s="83"/>
      <c r="F655" s="83"/>
      <c r="G655" s="81">
        <f>G657+G661</f>
        <v>6950.3</v>
      </c>
      <c r="H655" s="81">
        <f t="shared" si="281"/>
        <v>6950.3</v>
      </c>
      <c r="I655" s="81">
        <f t="shared" si="281"/>
        <v>0</v>
      </c>
      <c r="J655" s="81">
        <f t="shared" si="281"/>
        <v>0</v>
      </c>
      <c r="K655" s="81">
        <f t="shared" si="281"/>
        <v>0</v>
      </c>
      <c r="L655" s="134">
        <f t="shared" si="281"/>
        <v>5000</v>
      </c>
      <c r="M655" s="134">
        <f t="shared" si="281"/>
        <v>0</v>
      </c>
      <c r="N655" s="134">
        <f t="shared" si="281"/>
        <v>0</v>
      </c>
      <c r="O655" s="134">
        <f t="shared" si="281"/>
        <v>5000</v>
      </c>
      <c r="P655" s="134">
        <f t="shared" si="281"/>
        <v>0</v>
      </c>
      <c r="Q655" s="134">
        <f t="shared" si="281"/>
        <v>0</v>
      </c>
      <c r="R655" s="134"/>
      <c r="S655" s="134"/>
      <c r="T655" s="134"/>
      <c r="U655" s="134"/>
      <c r="V655" s="134">
        <f t="shared" si="281"/>
        <v>0</v>
      </c>
      <c r="W655" s="134"/>
      <c r="X655" s="175"/>
      <c r="Y655" s="83"/>
    </row>
    <row r="656" spans="1:25" ht="24.6" hidden="1" customHeight="1">
      <c r="A656" s="540" t="s">
        <v>113</v>
      </c>
      <c r="B656" s="175" t="s">
        <v>91</v>
      </c>
      <c r="C656" s="175">
        <v>176</v>
      </c>
      <c r="D656" s="175" t="s">
        <v>16</v>
      </c>
      <c r="E656" s="175">
        <v>6100404</v>
      </c>
      <c r="F656" s="175">
        <v>243</v>
      </c>
      <c r="G656" s="75">
        <v>0</v>
      </c>
      <c r="H656" s="75">
        <v>0</v>
      </c>
      <c r="I656" s="75">
        <v>0</v>
      </c>
      <c r="J656" s="75">
        <v>0</v>
      </c>
      <c r="K656" s="75">
        <v>0</v>
      </c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75"/>
      <c r="Y656" s="541" t="s">
        <v>366</v>
      </c>
    </row>
    <row r="657" spans="1:25" ht="24.6" hidden="1" customHeight="1">
      <c r="A657" s="540"/>
      <c r="B657" s="175" t="s">
        <v>299</v>
      </c>
      <c r="C657" s="175"/>
      <c r="D657" s="175"/>
      <c r="E657" s="175"/>
      <c r="F657" s="175"/>
      <c r="G657" s="75"/>
      <c r="H657" s="75"/>
      <c r="I657" s="75"/>
      <c r="J657" s="75"/>
      <c r="K657" s="75"/>
      <c r="L657" s="135">
        <v>5000</v>
      </c>
      <c r="M657" s="135"/>
      <c r="N657" s="135"/>
      <c r="O657" s="135">
        <v>5000</v>
      </c>
      <c r="P657" s="135"/>
      <c r="Q657" s="135"/>
      <c r="R657" s="135"/>
      <c r="S657" s="135"/>
      <c r="T657" s="135"/>
      <c r="U657" s="135"/>
      <c r="V657" s="135"/>
      <c r="W657" s="135"/>
      <c r="X657" s="175"/>
      <c r="Y657" s="541"/>
    </row>
    <row r="658" spans="1:25" ht="0.6" hidden="1" customHeight="1">
      <c r="A658" s="540" t="s">
        <v>98</v>
      </c>
      <c r="B658" s="175" t="s">
        <v>91</v>
      </c>
      <c r="C658" s="175">
        <v>176</v>
      </c>
      <c r="D658" s="175" t="s">
        <v>16</v>
      </c>
      <c r="E658" s="175">
        <v>6100404</v>
      </c>
      <c r="F658" s="175">
        <v>243</v>
      </c>
      <c r="G658" s="75">
        <v>0</v>
      </c>
      <c r="H658" s="75">
        <v>0</v>
      </c>
      <c r="I658" s="75">
        <v>0</v>
      </c>
      <c r="J658" s="75">
        <v>0</v>
      </c>
      <c r="K658" s="75">
        <v>0</v>
      </c>
      <c r="L658" s="135">
        <v>0</v>
      </c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75"/>
      <c r="Y658" s="175" t="s">
        <v>273</v>
      </c>
    </row>
    <row r="659" spans="1:25" s="56" customFormat="1" ht="24" hidden="1" customHeight="1">
      <c r="A659" s="540"/>
      <c r="B659" s="175" t="s">
        <v>299</v>
      </c>
      <c r="C659" s="175"/>
      <c r="D659" s="175"/>
      <c r="E659" s="175"/>
      <c r="F659" s="175"/>
      <c r="G659" s="75"/>
      <c r="H659" s="75"/>
      <c r="I659" s="75"/>
      <c r="J659" s="75"/>
      <c r="K659" s="7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75"/>
      <c r="Y659" s="175"/>
    </row>
    <row r="660" spans="1:25" s="56" customFormat="1" ht="24.6" hidden="1" customHeight="1">
      <c r="A660" s="540" t="s">
        <v>190</v>
      </c>
      <c r="B660" s="175" t="s">
        <v>91</v>
      </c>
      <c r="C660" s="175">
        <v>176</v>
      </c>
      <c r="D660" s="175" t="s">
        <v>16</v>
      </c>
      <c r="E660" s="175">
        <v>6100404</v>
      </c>
      <c r="F660" s="175">
        <v>243</v>
      </c>
      <c r="G660" s="75">
        <f>SUM(H660:K660)</f>
        <v>0</v>
      </c>
      <c r="H660" s="75"/>
      <c r="I660" s="75">
        <v>0</v>
      </c>
      <c r="J660" s="75">
        <v>0</v>
      </c>
      <c r="K660" s="75"/>
      <c r="L660" s="135"/>
      <c r="M660" s="135"/>
      <c r="N660" s="135"/>
      <c r="O660" s="135"/>
      <c r="P660" s="135"/>
      <c r="Q660" s="135">
        <v>0</v>
      </c>
      <c r="R660" s="135"/>
      <c r="S660" s="135"/>
      <c r="T660" s="135"/>
      <c r="U660" s="135"/>
      <c r="V660" s="135"/>
      <c r="W660" s="135"/>
      <c r="X660" s="175"/>
      <c r="Y660" s="541" t="s">
        <v>32</v>
      </c>
    </row>
    <row r="661" spans="1:25" ht="24.6" hidden="1" customHeight="1">
      <c r="A661" s="540"/>
      <c r="B661" s="175" t="s">
        <v>299</v>
      </c>
      <c r="C661" s="175"/>
      <c r="D661" s="175"/>
      <c r="E661" s="175"/>
      <c r="F661" s="175"/>
      <c r="G661" s="75">
        <f>SUM(H661:K661)</f>
        <v>6950.3</v>
      </c>
      <c r="H661" s="75">
        <v>6950.3</v>
      </c>
      <c r="I661" s="75"/>
      <c r="J661" s="75"/>
      <c r="K661" s="7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75"/>
      <c r="Y661" s="541"/>
    </row>
    <row r="662" spans="1:25" ht="24.9" customHeight="1">
      <c r="A662" s="539" t="s">
        <v>143</v>
      </c>
      <c r="B662" s="83" t="s">
        <v>91</v>
      </c>
      <c r="C662" s="83"/>
      <c r="D662" s="83"/>
      <c r="E662" s="83"/>
      <c r="F662" s="83"/>
      <c r="G662" s="81">
        <f>G666+G668+G672</f>
        <v>0</v>
      </c>
      <c r="H662" s="81">
        <f t="shared" ref="H662:P662" si="282">H666+H668+H672</f>
        <v>0</v>
      </c>
      <c r="I662" s="81">
        <f t="shared" si="282"/>
        <v>0</v>
      </c>
      <c r="J662" s="81">
        <f t="shared" si="282"/>
        <v>0</v>
      </c>
      <c r="K662" s="81">
        <f t="shared" si="282"/>
        <v>0</v>
      </c>
      <c r="L662" s="134">
        <f t="shared" si="282"/>
        <v>2.3820000000000001</v>
      </c>
      <c r="M662" s="134">
        <f t="shared" si="282"/>
        <v>1.157</v>
      </c>
      <c r="N662" s="134">
        <f t="shared" si="282"/>
        <v>0</v>
      </c>
      <c r="O662" s="134">
        <f t="shared" si="282"/>
        <v>1.2250000000000001</v>
      </c>
      <c r="P662" s="134">
        <f t="shared" si="282"/>
        <v>0</v>
      </c>
      <c r="Q662" s="134">
        <f>-Q666+Q668+Q672</f>
        <v>0</v>
      </c>
      <c r="R662" s="134"/>
      <c r="S662" s="134"/>
      <c r="T662" s="134"/>
      <c r="U662" s="134"/>
      <c r="V662" s="134">
        <f t="shared" ref="V662:W662" si="283">-V666+V668+V672</f>
        <v>1.6180000000000001</v>
      </c>
      <c r="W662" s="134">
        <f t="shared" si="283"/>
        <v>0</v>
      </c>
      <c r="X662" s="175"/>
      <c r="Y662" s="83"/>
    </row>
    <row r="663" spans="1:25" ht="24.9" customHeight="1">
      <c r="A663" s="539"/>
      <c r="B663" s="83" t="s">
        <v>299</v>
      </c>
      <c r="C663" s="83"/>
      <c r="D663" s="83"/>
      <c r="E663" s="83"/>
      <c r="F663" s="83"/>
      <c r="G663" s="81"/>
      <c r="H663" s="81"/>
      <c r="I663" s="81"/>
      <c r="J663" s="81"/>
      <c r="K663" s="81"/>
      <c r="L663" s="134"/>
      <c r="M663" s="134"/>
      <c r="N663" s="134"/>
      <c r="O663" s="134"/>
      <c r="P663" s="134"/>
      <c r="Q663" s="134">
        <f>Q669</f>
        <v>29850</v>
      </c>
      <c r="R663" s="134">
        <f t="shared" ref="R663:T663" si="284">R664</f>
        <v>0</v>
      </c>
      <c r="S663" s="134">
        <f t="shared" si="284"/>
        <v>0</v>
      </c>
      <c r="T663" s="134">
        <f t="shared" si="284"/>
        <v>0</v>
      </c>
      <c r="U663" s="134">
        <f>U669</f>
        <v>29850</v>
      </c>
      <c r="V663" s="134">
        <f>V664+V665</f>
        <v>9600.0999999999985</v>
      </c>
      <c r="W663" s="134">
        <f>W664</f>
        <v>3000</v>
      </c>
      <c r="X663" s="175"/>
      <c r="Y663" s="83"/>
    </row>
    <row r="664" spans="1:25" ht="24" hidden="1" customHeight="1">
      <c r="A664" s="539"/>
      <c r="B664" s="83" t="s">
        <v>457</v>
      </c>
      <c r="C664" s="83"/>
      <c r="D664" s="83"/>
      <c r="E664" s="83"/>
      <c r="F664" s="83"/>
      <c r="G664" s="81"/>
      <c r="H664" s="81"/>
      <c r="I664" s="81"/>
      <c r="J664" s="81"/>
      <c r="K664" s="81"/>
      <c r="L664" s="134"/>
      <c r="M664" s="134"/>
      <c r="N664" s="134"/>
      <c r="O664" s="134"/>
      <c r="P664" s="134"/>
      <c r="Q664" s="134">
        <f>Q670</f>
        <v>30000</v>
      </c>
      <c r="R664" s="134">
        <f t="shared" ref="R664:U664" si="285">R670</f>
        <v>0</v>
      </c>
      <c r="S664" s="134">
        <f t="shared" si="285"/>
        <v>0</v>
      </c>
      <c r="T664" s="134">
        <f t="shared" si="285"/>
        <v>0</v>
      </c>
      <c r="U664" s="134">
        <f t="shared" si="285"/>
        <v>30000</v>
      </c>
      <c r="V664" s="134">
        <f>V670+V667</f>
        <v>9600.0999999999985</v>
      </c>
      <c r="W664" s="134">
        <f>W667</f>
        <v>3000</v>
      </c>
      <c r="X664" s="175"/>
      <c r="Y664" s="83"/>
    </row>
    <row r="665" spans="1:25" ht="24.6" hidden="1" customHeight="1">
      <c r="A665" s="539"/>
      <c r="B665" s="83" t="s">
        <v>477</v>
      </c>
      <c r="C665" s="83"/>
      <c r="D665" s="83"/>
      <c r="E665" s="83"/>
      <c r="F665" s="83"/>
      <c r="G665" s="81">
        <f>G667+G671+G673</f>
        <v>0</v>
      </c>
      <c r="H665" s="81">
        <f t="shared" ref="H665:Q665" si="286">H667+H671+H673</f>
        <v>0</v>
      </c>
      <c r="I665" s="81">
        <f t="shared" si="286"/>
        <v>0</v>
      </c>
      <c r="J665" s="81">
        <f t="shared" si="286"/>
        <v>0</v>
      </c>
      <c r="K665" s="81">
        <f t="shared" si="286"/>
        <v>0</v>
      </c>
      <c r="L665" s="134">
        <f t="shared" si="286"/>
        <v>44860.7</v>
      </c>
      <c r="M665" s="134">
        <f t="shared" si="286"/>
        <v>30597.599999999999</v>
      </c>
      <c r="N665" s="134">
        <f t="shared" si="286"/>
        <v>0</v>
      </c>
      <c r="O665" s="134">
        <f t="shared" si="286"/>
        <v>14263.1</v>
      </c>
      <c r="P665" s="134">
        <f t="shared" si="286"/>
        <v>0</v>
      </c>
      <c r="Q665" s="134">
        <f t="shared" si="286"/>
        <v>0</v>
      </c>
      <c r="R665" s="134"/>
      <c r="S665" s="134"/>
      <c r="T665" s="134"/>
      <c r="U665" s="134"/>
      <c r="V665" s="134">
        <f>V671</f>
        <v>0</v>
      </c>
      <c r="W665" s="134"/>
      <c r="X665" s="175"/>
      <c r="Y665" s="83"/>
    </row>
    <row r="666" spans="1:25" ht="24.9" customHeight="1">
      <c r="A666" s="540" t="s">
        <v>113</v>
      </c>
      <c r="B666" s="175" t="s">
        <v>91</v>
      </c>
      <c r="C666" s="175">
        <v>176</v>
      </c>
      <c r="D666" s="175" t="s">
        <v>16</v>
      </c>
      <c r="E666" s="175">
        <v>6100404</v>
      </c>
      <c r="F666" s="175">
        <v>243</v>
      </c>
      <c r="G666" s="75">
        <v>0</v>
      </c>
      <c r="H666" s="75">
        <v>0</v>
      </c>
      <c r="I666" s="75">
        <v>0</v>
      </c>
      <c r="J666" s="75">
        <v>0</v>
      </c>
      <c r="K666" s="75">
        <v>0</v>
      </c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75"/>
      <c r="Y666" s="533" t="s">
        <v>366</v>
      </c>
    </row>
    <row r="667" spans="1:25" ht="24.9" customHeight="1">
      <c r="A667" s="540"/>
      <c r="B667" s="175" t="s">
        <v>299</v>
      </c>
      <c r="C667" s="175"/>
      <c r="D667" s="175"/>
      <c r="E667" s="175"/>
      <c r="F667" s="175"/>
      <c r="G667" s="75"/>
      <c r="H667" s="75"/>
      <c r="I667" s="75"/>
      <c r="J667" s="75"/>
      <c r="K667" s="75"/>
      <c r="L667" s="135">
        <f>3294.6-117.8</f>
        <v>3176.7999999999997</v>
      </c>
      <c r="M667" s="135">
        <v>3176.7999999999997</v>
      </c>
      <c r="N667" s="135"/>
      <c r="O667" s="135"/>
      <c r="P667" s="135"/>
      <c r="Q667" s="135"/>
      <c r="R667" s="135"/>
      <c r="S667" s="135"/>
      <c r="T667" s="135"/>
      <c r="U667" s="135"/>
      <c r="V667" s="135">
        <v>6977.9</v>
      </c>
      <c r="W667" s="135">
        <v>3000</v>
      </c>
      <c r="X667" s="175"/>
      <c r="Y667" s="535"/>
    </row>
    <row r="668" spans="1:25" ht="24.9" customHeight="1">
      <c r="A668" s="540" t="s">
        <v>256</v>
      </c>
      <c r="B668" s="175" t="s">
        <v>91</v>
      </c>
      <c r="C668" s="175">
        <v>176</v>
      </c>
      <c r="D668" s="175" t="s">
        <v>16</v>
      </c>
      <c r="E668" s="175">
        <v>6100404</v>
      </c>
      <c r="F668" s="175">
        <v>243</v>
      </c>
      <c r="G668" s="75">
        <v>0</v>
      </c>
      <c r="H668" s="75">
        <v>0</v>
      </c>
      <c r="I668" s="75">
        <v>0</v>
      </c>
      <c r="J668" s="75">
        <v>0</v>
      </c>
      <c r="K668" s="75">
        <v>0</v>
      </c>
      <c r="L668" s="135">
        <v>1.157</v>
      </c>
      <c r="M668" s="135">
        <v>1.157</v>
      </c>
      <c r="N668" s="135"/>
      <c r="O668" s="135"/>
      <c r="P668" s="135"/>
      <c r="Q668" s="135">
        <v>0</v>
      </c>
      <c r="R668" s="135"/>
      <c r="S668" s="135"/>
      <c r="T668" s="135"/>
      <c r="U668" s="135"/>
      <c r="V668" s="135">
        <v>1.6180000000000001</v>
      </c>
      <c r="W668" s="135"/>
      <c r="X668" s="175"/>
      <c r="Y668" s="533" t="s">
        <v>416</v>
      </c>
    </row>
    <row r="669" spans="1:25" ht="24" customHeight="1">
      <c r="A669" s="540"/>
      <c r="B669" s="175" t="s">
        <v>299</v>
      </c>
      <c r="C669" s="175"/>
      <c r="D669" s="175"/>
      <c r="E669" s="175"/>
      <c r="F669" s="175"/>
      <c r="G669" s="75"/>
      <c r="H669" s="75"/>
      <c r="I669" s="75"/>
      <c r="J669" s="75"/>
      <c r="K669" s="75"/>
      <c r="L669" s="135"/>
      <c r="M669" s="135"/>
      <c r="N669" s="135"/>
      <c r="O669" s="135"/>
      <c r="P669" s="135"/>
      <c r="Q669" s="135">
        <f>U669</f>
        <v>29850</v>
      </c>
      <c r="R669" s="135"/>
      <c r="S669" s="135"/>
      <c r="T669" s="135"/>
      <c r="U669" s="135">
        <f>30000-150</f>
        <v>29850</v>
      </c>
      <c r="V669" s="135">
        <f>V670+V671</f>
        <v>2622.2</v>
      </c>
      <c r="W669" s="135"/>
      <c r="X669" s="175"/>
      <c r="Y669" s="534"/>
    </row>
    <row r="670" spans="1:25" ht="24" hidden="1" customHeight="1">
      <c r="A670" s="540"/>
      <c r="B670" s="175" t="s">
        <v>457</v>
      </c>
      <c r="C670" s="175"/>
      <c r="D670" s="175"/>
      <c r="E670" s="175"/>
      <c r="F670" s="175"/>
      <c r="G670" s="75"/>
      <c r="H670" s="75"/>
      <c r="I670" s="75"/>
      <c r="J670" s="75"/>
      <c r="K670" s="75"/>
      <c r="L670" s="135"/>
      <c r="M670" s="135"/>
      <c r="N670" s="135"/>
      <c r="O670" s="135"/>
      <c r="P670" s="135"/>
      <c r="Q670" s="135">
        <v>30000</v>
      </c>
      <c r="R670" s="135"/>
      <c r="S670" s="135"/>
      <c r="T670" s="135"/>
      <c r="U670" s="135">
        <v>30000</v>
      </c>
      <c r="V670" s="135">
        <v>2622.2</v>
      </c>
      <c r="W670" s="135"/>
      <c r="X670" s="175"/>
      <c r="Y670" s="534"/>
    </row>
    <row r="671" spans="1:25" s="56" customFormat="1" ht="24.6" hidden="1" customHeight="1">
      <c r="A671" s="540"/>
      <c r="B671" s="175" t="s">
        <v>477</v>
      </c>
      <c r="C671" s="175"/>
      <c r="D671" s="175"/>
      <c r="E671" s="175"/>
      <c r="F671" s="175"/>
      <c r="G671" s="75"/>
      <c r="H671" s="75"/>
      <c r="I671" s="75"/>
      <c r="J671" s="75"/>
      <c r="K671" s="75"/>
      <c r="L671" s="135">
        <f>27454.6-33.8</f>
        <v>27420.799999999999</v>
      </c>
      <c r="M671" s="135">
        <v>27420.799999999999</v>
      </c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75"/>
      <c r="Y671" s="535"/>
    </row>
    <row r="672" spans="1:25" s="56" customFormat="1" ht="23.4" hidden="1" customHeight="1">
      <c r="A672" s="540" t="s">
        <v>305</v>
      </c>
      <c r="B672" s="175" t="s">
        <v>91</v>
      </c>
      <c r="C672" s="175">
        <v>176</v>
      </c>
      <c r="D672" s="175" t="s">
        <v>16</v>
      </c>
      <c r="E672" s="175">
        <v>6100404</v>
      </c>
      <c r="F672" s="175">
        <v>243</v>
      </c>
      <c r="G672" s="75">
        <v>0</v>
      </c>
      <c r="H672" s="75">
        <v>0</v>
      </c>
      <c r="I672" s="75">
        <v>0</v>
      </c>
      <c r="J672" s="75">
        <v>0</v>
      </c>
      <c r="K672" s="75">
        <v>0</v>
      </c>
      <c r="L672" s="135">
        <v>1.2250000000000001</v>
      </c>
      <c r="M672" s="135"/>
      <c r="N672" s="135"/>
      <c r="O672" s="135">
        <v>1.2250000000000001</v>
      </c>
      <c r="P672" s="135"/>
      <c r="Q672" s="135">
        <v>0</v>
      </c>
      <c r="R672" s="135"/>
      <c r="S672" s="135"/>
      <c r="T672" s="135"/>
      <c r="U672" s="135"/>
      <c r="V672" s="135"/>
      <c r="W672" s="135"/>
      <c r="X672" s="175"/>
      <c r="Y672" s="533" t="s">
        <v>417</v>
      </c>
    </row>
    <row r="673" spans="1:25" ht="25.2" hidden="1" customHeight="1">
      <c r="A673" s="540"/>
      <c r="B673" s="175" t="s">
        <v>299</v>
      </c>
      <c r="C673" s="175"/>
      <c r="D673" s="175"/>
      <c r="E673" s="175"/>
      <c r="F673" s="175"/>
      <c r="G673" s="75"/>
      <c r="H673" s="75"/>
      <c r="I673" s="75"/>
      <c r="J673" s="75"/>
      <c r="K673" s="75"/>
      <c r="L673" s="135">
        <f>O673</f>
        <v>14263.1</v>
      </c>
      <c r="M673" s="135"/>
      <c r="N673" s="135"/>
      <c r="O673" s="135">
        <f>13701.6-753.5+1315</f>
        <v>14263.1</v>
      </c>
      <c r="P673" s="135"/>
      <c r="Q673" s="135">
        <v>0</v>
      </c>
      <c r="R673" s="135"/>
      <c r="S673" s="135"/>
      <c r="T673" s="135"/>
      <c r="U673" s="135"/>
      <c r="V673" s="135"/>
      <c r="W673" s="135"/>
      <c r="X673" s="175"/>
      <c r="Y673" s="535"/>
    </row>
    <row r="674" spans="1:25" ht="0.6" hidden="1" customHeight="1">
      <c r="A674" s="539" t="s">
        <v>145</v>
      </c>
      <c r="B674" s="83" t="s">
        <v>91</v>
      </c>
      <c r="C674" s="83"/>
      <c r="D674" s="83"/>
      <c r="E674" s="83"/>
      <c r="F674" s="83"/>
      <c r="G674" s="81">
        <f>G676+G678</f>
        <v>0</v>
      </c>
      <c r="H674" s="81">
        <f t="shared" ref="H674:P675" si="287">H676+H678</f>
        <v>0</v>
      </c>
      <c r="I674" s="81">
        <f t="shared" si="287"/>
        <v>0</v>
      </c>
      <c r="J674" s="81">
        <f t="shared" si="287"/>
        <v>0</v>
      </c>
      <c r="K674" s="81">
        <f t="shared" si="287"/>
        <v>0</v>
      </c>
      <c r="L674" s="134">
        <f t="shared" si="287"/>
        <v>0.9</v>
      </c>
      <c r="M674" s="134">
        <f t="shared" si="287"/>
        <v>0.9</v>
      </c>
      <c r="N674" s="134">
        <f t="shared" si="287"/>
        <v>0</v>
      </c>
      <c r="O674" s="134">
        <f t="shared" si="287"/>
        <v>0</v>
      </c>
      <c r="P674" s="134">
        <f t="shared" si="287"/>
        <v>0</v>
      </c>
      <c r="Q674" s="134">
        <f>Q676</f>
        <v>0</v>
      </c>
      <c r="R674" s="134"/>
      <c r="S674" s="134"/>
      <c r="T674" s="134"/>
      <c r="U674" s="134"/>
      <c r="V674" s="134">
        <f t="shared" ref="V674:W674" si="288">V676</f>
        <v>0</v>
      </c>
      <c r="W674" s="134">
        <f t="shared" si="288"/>
        <v>0</v>
      </c>
      <c r="X674" s="175"/>
      <c r="Y674" s="83"/>
    </row>
    <row r="675" spans="1:25" ht="24.6" hidden="1" customHeight="1">
      <c r="A675" s="539"/>
      <c r="B675" s="83" t="s">
        <v>299</v>
      </c>
      <c r="C675" s="83"/>
      <c r="D675" s="83"/>
      <c r="E675" s="83"/>
      <c r="F675" s="83"/>
      <c r="G675" s="81">
        <f>G677+G679</f>
        <v>0</v>
      </c>
      <c r="H675" s="81">
        <f t="shared" si="287"/>
        <v>0</v>
      </c>
      <c r="I675" s="81">
        <f t="shared" si="287"/>
        <v>0</v>
      </c>
      <c r="J675" s="81">
        <f t="shared" si="287"/>
        <v>0</v>
      </c>
      <c r="K675" s="81">
        <f t="shared" si="287"/>
        <v>0</v>
      </c>
      <c r="L675" s="134">
        <f t="shared" si="287"/>
        <v>14278.7</v>
      </c>
      <c r="M675" s="134">
        <f t="shared" si="287"/>
        <v>14278.7</v>
      </c>
      <c r="N675" s="134">
        <f t="shared" si="287"/>
        <v>0</v>
      </c>
      <c r="O675" s="134">
        <f t="shared" si="287"/>
        <v>0</v>
      </c>
      <c r="P675" s="134">
        <f t="shared" si="287"/>
        <v>0</v>
      </c>
      <c r="Q675" s="134">
        <f>Q677</f>
        <v>0</v>
      </c>
      <c r="R675" s="134"/>
      <c r="S675" s="134"/>
      <c r="T675" s="134"/>
      <c r="U675" s="134"/>
      <c r="V675" s="134">
        <f t="shared" ref="V675:W675" si="289">V677</f>
        <v>0</v>
      </c>
      <c r="W675" s="134">
        <f t="shared" si="289"/>
        <v>0</v>
      </c>
      <c r="X675" s="175"/>
      <c r="Y675" s="83"/>
    </row>
    <row r="676" spans="1:25" ht="24.6" hidden="1" customHeight="1">
      <c r="A676" s="536" t="s">
        <v>144</v>
      </c>
      <c r="B676" s="175" t="s">
        <v>91</v>
      </c>
      <c r="C676" s="175">
        <v>176</v>
      </c>
      <c r="D676" s="175" t="s">
        <v>16</v>
      </c>
      <c r="E676" s="175">
        <v>6100404</v>
      </c>
      <c r="F676" s="175">
        <v>243</v>
      </c>
      <c r="G676" s="75">
        <f>SUM(H676:K676)</f>
        <v>0</v>
      </c>
      <c r="H676" s="75">
        <v>0</v>
      </c>
      <c r="I676" s="75">
        <v>0</v>
      </c>
      <c r="J676" s="75">
        <v>0</v>
      </c>
      <c r="K676" s="75">
        <v>0</v>
      </c>
      <c r="L676" s="135">
        <v>0.9</v>
      </c>
      <c r="M676" s="135">
        <v>0.9</v>
      </c>
      <c r="N676" s="135"/>
      <c r="O676" s="135"/>
      <c r="P676" s="135"/>
      <c r="Q676" s="135">
        <v>0</v>
      </c>
      <c r="R676" s="135"/>
      <c r="S676" s="135"/>
      <c r="T676" s="135"/>
      <c r="U676" s="135"/>
      <c r="V676" s="135"/>
      <c r="W676" s="135"/>
      <c r="X676" s="175"/>
      <c r="Y676" s="533" t="s">
        <v>607</v>
      </c>
    </row>
    <row r="677" spans="1:25" s="56" customFormat="1" ht="28.95" hidden="1" customHeight="1">
      <c r="A677" s="538"/>
      <c r="B677" s="175" t="s">
        <v>299</v>
      </c>
      <c r="C677" s="175"/>
      <c r="D677" s="175"/>
      <c r="E677" s="175"/>
      <c r="F677" s="175"/>
      <c r="G677" s="75"/>
      <c r="H677" s="75"/>
      <c r="I677" s="75"/>
      <c r="J677" s="75"/>
      <c r="K677" s="75"/>
      <c r="L677" s="135">
        <f>M677</f>
        <v>14278.7</v>
      </c>
      <c r="M677" s="135">
        <f>14278.7</f>
        <v>14278.7</v>
      </c>
      <c r="N677" s="135"/>
      <c r="O677" s="135"/>
      <c r="P677" s="135"/>
      <c r="Q677" s="135"/>
      <c r="R677" s="135"/>
      <c r="S677" s="135"/>
      <c r="T677" s="135"/>
      <c r="U677" s="135"/>
      <c r="V677" s="135">
        <f>20000-20000</f>
        <v>0</v>
      </c>
      <c r="W677" s="135"/>
      <c r="X677" s="175"/>
      <c r="Y677" s="535"/>
    </row>
    <row r="678" spans="1:25" s="56" customFormat="1" ht="22.95" hidden="1" customHeight="1">
      <c r="A678" s="181" t="s">
        <v>113</v>
      </c>
      <c r="B678" s="175" t="s">
        <v>91</v>
      </c>
      <c r="C678" s="175">
        <v>176</v>
      </c>
      <c r="D678" s="175" t="s">
        <v>16</v>
      </c>
      <c r="E678" s="175">
        <v>6100404</v>
      </c>
      <c r="F678" s="175">
        <v>243</v>
      </c>
      <c r="G678" s="75">
        <f>SUM(H678:K678)</f>
        <v>0</v>
      </c>
      <c r="H678" s="75">
        <v>0</v>
      </c>
      <c r="I678" s="75">
        <v>0</v>
      </c>
      <c r="J678" s="75">
        <v>0</v>
      </c>
      <c r="K678" s="75">
        <v>0</v>
      </c>
      <c r="L678" s="135">
        <v>0</v>
      </c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75"/>
      <c r="Y678" s="541" t="s">
        <v>32</v>
      </c>
    </row>
    <row r="679" spans="1:25" ht="24.6" hidden="1" customHeight="1">
      <c r="A679" s="181"/>
      <c r="B679" s="175" t="s">
        <v>299</v>
      </c>
      <c r="C679" s="175"/>
      <c r="D679" s="175"/>
      <c r="E679" s="175"/>
      <c r="F679" s="175"/>
      <c r="G679" s="75"/>
      <c r="H679" s="75"/>
      <c r="I679" s="75"/>
      <c r="J679" s="75"/>
      <c r="K679" s="7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75"/>
      <c r="Y679" s="541"/>
    </row>
    <row r="680" spans="1:25" ht="22.95" customHeight="1">
      <c r="A680" s="539" t="s">
        <v>146</v>
      </c>
      <c r="B680" s="83" t="s">
        <v>91</v>
      </c>
      <c r="C680" s="83"/>
      <c r="D680" s="83"/>
      <c r="E680" s="83"/>
      <c r="F680" s="83"/>
      <c r="G680" s="81">
        <f>G682+G684+G686</f>
        <v>0.80300000000000005</v>
      </c>
      <c r="H680" s="81">
        <f t="shared" ref="H680:V681" si="290">H682+H684+H686</f>
        <v>0</v>
      </c>
      <c r="I680" s="81">
        <f t="shared" si="290"/>
        <v>0</v>
      </c>
      <c r="J680" s="81">
        <f t="shared" si="290"/>
        <v>0</v>
      </c>
      <c r="K680" s="81">
        <f t="shared" si="290"/>
        <v>0.80300000000000005</v>
      </c>
      <c r="L680" s="134">
        <f t="shared" si="290"/>
        <v>1.3</v>
      </c>
      <c r="M680" s="134">
        <f t="shared" si="290"/>
        <v>0</v>
      </c>
      <c r="N680" s="134">
        <f t="shared" si="290"/>
        <v>0</v>
      </c>
      <c r="O680" s="134">
        <f t="shared" si="290"/>
        <v>1.3</v>
      </c>
      <c r="P680" s="134">
        <f t="shared" si="290"/>
        <v>0</v>
      </c>
      <c r="Q680" s="134">
        <f t="shared" si="290"/>
        <v>0</v>
      </c>
      <c r="R680" s="134"/>
      <c r="S680" s="134"/>
      <c r="T680" s="134"/>
      <c r="U680" s="134"/>
      <c r="V680" s="134">
        <f t="shared" si="290"/>
        <v>0</v>
      </c>
      <c r="W680" s="134"/>
      <c r="X680" s="175"/>
      <c r="Y680" s="83"/>
    </row>
    <row r="681" spans="1:25" ht="24" customHeight="1">
      <c r="A681" s="539"/>
      <c r="B681" s="83" t="s">
        <v>299</v>
      </c>
      <c r="C681" s="83"/>
      <c r="D681" s="83"/>
      <c r="E681" s="83"/>
      <c r="F681" s="83"/>
      <c r="G681" s="81">
        <f>G683+G685+G687</f>
        <v>9564.1</v>
      </c>
      <c r="H681" s="81">
        <f t="shared" si="290"/>
        <v>0</v>
      </c>
      <c r="I681" s="81">
        <f t="shared" si="290"/>
        <v>5000</v>
      </c>
      <c r="J681" s="81">
        <f t="shared" si="290"/>
        <v>4564.1000000000004</v>
      </c>
      <c r="K681" s="81">
        <f t="shared" si="290"/>
        <v>0</v>
      </c>
      <c r="L681" s="134">
        <f t="shared" si="290"/>
        <v>27039.7</v>
      </c>
      <c r="M681" s="134">
        <f t="shared" si="290"/>
        <v>0</v>
      </c>
      <c r="N681" s="134">
        <f t="shared" si="290"/>
        <v>0</v>
      </c>
      <c r="O681" s="134">
        <f t="shared" si="290"/>
        <v>27039.7</v>
      </c>
      <c r="P681" s="134">
        <f t="shared" si="290"/>
        <v>0</v>
      </c>
      <c r="Q681" s="134">
        <f t="shared" si="290"/>
        <v>0</v>
      </c>
      <c r="R681" s="134"/>
      <c r="S681" s="134"/>
      <c r="T681" s="134"/>
      <c r="U681" s="134"/>
      <c r="V681" s="134">
        <f t="shared" si="290"/>
        <v>6978.5</v>
      </c>
      <c r="W681" s="134"/>
      <c r="X681" s="175"/>
      <c r="Y681" s="83"/>
    </row>
    <row r="682" spans="1:25" ht="1.2" hidden="1" customHeight="1">
      <c r="A682" s="540" t="s">
        <v>189</v>
      </c>
      <c r="B682" s="175" t="s">
        <v>91</v>
      </c>
      <c r="C682" s="175">
        <v>176</v>
      </c>
      <c r="D682" s="175" t="s">
        <v>16</v>
      </c>
      <c r="E682" s="175">
        <v>6100404</v>
      </c>
      <c r="F682" s="175">
        <v>243</v>
      </c>
      <c r="G682" s="75">
        <f>SUM(H682:K682)</f>
        <v>0.80300000000000005</v>
      </c>
      <c r="H682" s="75">
        <v>0</v>
      </c>
      <c r="I682" s="75"/>
      <c r="J682" s="75"/>
      <c r="K682" s="75">
        <v>0.80300000000000005</v>
      </c>
      <c r="L682" s="135">
        <v>0</v>
      </c>
      <c r="M682" s="135"/>
      <c r="N682" s="135"/>
      <c r="O682" s="135"/>
      <c r="P682" s="135"/>
      <c r="Q682" s="135">
        <v>0</v>
      </c>
      <c r="R682" s="135"/>
      <c r="S682" s="135"/>
      <c r="T682" s="135"/>
      <c r="U682" s="135"/>
      <c r="V682" s="135"/>
      <c r="W682" s="135"/>
      <c r="X682" s="175"/>
      <c r="Y682" s="541" t="s">
        <v>280</v>
      </c>
    </row>
    <row r="683" spans="1:25" ht="24.6" hidden="1" customHeight="1">
      <c r="A683" s="540"/>
      <c r="B683" s="175" t="s">
        <v>299</v>
      </c>
      <c r="C683" s="175"/>
      <c r="D683" s="175"/>
      <c r="E683" s="175"/>
      <c r="F683" s="175"/>
      <c r="G683" s="75">
        <f>SUM(H683:K683)</f>
        <v>9564.1</v>
      </c>
      <c r="H683" s="75"/>
      <c r="I683" s="75">
        <v>5000</v>
      </c>
      <c r="J683" s="75">
        <f>5000-435.9</f>
        <v>4564.1000000000004</v>
      </c>
      <c r="K683" s="7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75"/>
      <c r="Y683" s="541"/>
    </row>
    <row r="684" spans="1:25" ht="24.9" customHeight="1">
      <c r="A684" s="536" t="s">
        <v>113</v>
      </c>
      <c r="B684" s="175" t="s">
        <v>91</v>
      </c>
      <c r="C684" s="175">
        <v>176</v>
      </c>
      <c r="D684" s="175" t="s">
        <v>16</v>
      </c>
      <c r="E684" s="175">
        <v>6100404</v>
      </c>
      <c r="F684" s="175">
        <v>243</v>
      </c>
      <c r="G684" s="75">
        <v>0</v>
      </c>
      <c r="H684" s="75">
        <v>0</v>
      </c>
      <c r="I684" s="75">
        <v>0</v>
      </c>
      <c r="J684" s="75">
        <v>0</v>
      </c>
      <c r="K684" s="75">
        <v>0</v>
      </c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75"/>
      <c r="Y684" s="541" t="s">
        <v>412</v>
      </c>
    </row>
    <row r="685" spans="1:25" s="56" customFormat="1" ht="24.6" customHeight="1">
      <c r="A685" s="538"/>
      <c r="B685" s="175" t="s">
        <v>299</v>
      </c>
      <c r="C685" s="175"/>
      <c r="D685" s="175"/>
      <c r="E685" s="175"/>
      <c r="F685" s="175"/>
      <c r="G685" s="75"/>
      <c r="H685" s="75"/>
      <c r="I685" s="75"/>
      <c r="J685" s="75"/>
      <c r="K685" s="7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>
        <v>6978.5</v>
      </c>
      <c r="W685" s="135"/>
      <c r="X685" s="175"/>
      <c r="Y685" s="541"/>
    </row>
    <row r="686" spans="1:25" s="56" customFormat="1" ht="0.6" customHeight="1">
      <c r="A686" s="540" t="s">
        <v>274</v>
      </c>
      <c r="B686" s="175" t="s">
        <v>91</v>
      </c>
      <c r="C686" s="175"/>
      <c r="D686" s="175"/>
      <c r="E686" s="175"/>
      <c r="F686" s="175"/>
      <c r="G686" s="75"/>
      <c r="H686" s="75"/>
      <c r="I686" s="75"/>
      <c r="J686" s="75"/>
      <c r="K686" s="75"/>
      <c r="L686" s="135">
        <v>1.3</v>
      </c>
      <c r="M686" s="135"/>
      <c r="N686" s="135"/>
      <c r="O686" s="135">
        <v>1.3</v>
      </c>
      <c r="P686" s="135"/>
      <c r="Q686" s="135"/>
      <c r="R686" s="135"/>
      <c r="S686" s="135"/>
      <c r="T686" s="135"/>
      <c r="U686" s="135"/>
      <c r="V686" s="135"/>
      <c r="W686" s="135"/>
      <c r="X686" s="175"/>
      <c r="Y686" s="541" t="s">
        <v>275</v>
      </c>
    </row>
    <row r="687" spans="1:25" ht="24.6" hidden="1" customHeight="1">
      <c r="A687" s="540"/>
      <c r="B687" s="175" t="s">
        <v>299</v>
      </c>
      <c r="C687" s="175"/>
      <c r="D687" s="175"/>
      <c r="E687" s="175"/>
      <c r="F687" s="175"/>
      <c r="G687" s="75"/>
      <c r="H687" s="75"/>
      <c r="I687" s="75"/>
      <c r="J687" s="75"/>
      <c r="K687" s="75"/>
      <c r="L687" s="135">
        <f>O687</f>
        <v>27039.7</v>
      </c>
      <c r="M687" s="135"/>
      <c r="N687" s="135"/>
      <c r="O687" s="135">
        <f>24207.7-121+2953</f>
        <v>27039.7</v>
      </c>
      <c r="P687" s="135"/>
      <c r="Q687" s="135"/>
      <c r="R687" s="135"/>
      <c r="S687" s="135"/>
      <c r="T687" s="135"/>
      <c r="U687" s="135"/>
      <c r="V687" s="135"/>
      <c r="W687" s="135"/>
      <c r="X687" s="175"/>
      <c r="Y687" s="541"/>
    </row>
    <row r="688" spans="1:25" ht="23.4" customHeight="1">
      <c r="A688" s="503" t="s">
        <v>147</v>
      </c>
      <c r="B688" s="83" t="s">
        <v>91</v>
      </c>
      <c r="C688" s="83"/>
      <c r="D688" s="83"/>
      <c r="E688" s="83"/>
      <c r="F688" s="83"/>
      <c r="G688" s="81">
        <f>G690+G692</f>
        <v>0.95</v>
      </c>
      <c r="H688" s="81">
        <f t="shared" ref="H688:V689" si="291">H690+H692</f>
        <v>0</v>
      </c>
      <c r="I688" s="81">
        <f t="shared" si="291"/>
        <v>0</v>
      </c>
      <c r="J688" s="81">
        <f t="shared" si="291"/>
        <v>0</v>
      </c>
      <c r="K688" s="81">
        <f t="shared" si="291"/>
        <v>0.95</v>
      </c>
      <c r="L688" s="134">
        <f t="shared" si="291"/>
        <v>0</v>
      </c>
      <c r="M688" s="134"/>
      <c r="N688" s="134"/>
      <c r="O688" s="134"/>
      <c r="P688" s="134"/>
      <c r="Q688" s="134">
        <f t="shared" si="291"/>
        <v>0</v>
      </c>
      <c r="R688" s="134"/>
      <c r="S688" s="134"/>
      <c r="T688" s="134"/>
      <c r="U688" s="134"/>
      <c r="V688" s="134">
        <f t="shared" si="291"/>
        <v>0</v>
      </c>
      <c r="W688" s="134"/>
      <c r="X688" s="175"/>
      <c r="Y688" s="83"/>
    </row>
    <row r="689" spans="1:25" ht="24.6" customHeight="1">
      <c r="A689" s="506"/>
      <c r="B689" s="83" t="s">
        <v>299</v>
      </c>
      <c r="C689" s="83"/>
      <c r="D689" s="83"/>
      <c r="E689" s="83"/>
      <c r="F689" s="83"/>
      <c r="G689" s="81">
        <f>G691+G693</f>
        <v>15558.3</v>
      </c>
      <c r="H689" s="81">
        <f t="shared" si="291"/>
        <v>0</v>
      </c>
      <c r="I689" s="81">
        <f t="shared" si="291"/>
        <v>5500</v>
      </c>
      <c r="J689" s="81">
        <f t="shared" si="291"/>
        <v>10058.299999999999</v>
      </c>
      <c r="K689" s="81">
        <f t="shared" si="291"/>
        <v>0</v>
      </c>
      <c r="L689" s="134">
        <f t="shared" si="291"/>
        <v>2679.2</v>
      </c>
      <c r="M689" s="134">
        <f t="shared" si="291"/>
        <v>2679.2</v>
      </c>
      <c r="N689" s="134">
        <f t="shared" si="291"/>
        <v>0</v>
      </c>
      <c r="O689" s="134">
        <f t="shared" si="291"/>
        <v>0</v>
      </c>
      <c r="P689" s="134">
        <f t="shared" si="291"/>
        <v>0</v>
      </c>
      <c r="Q689" s="134">
        <f t="shared" si="291"/>
        <v>0</v>
      </c>
      <c r="R689" s="134"/>
      <c r="S689" s="134"/>
      <c r="T689" s="134"/>
      <c r="U689" s="134"/>
      <c r="V689" s="134">
        <f t="shared" si="291"/>
        <v>3519.5</v>
      </c>
      <c r="W689" s="134"/>
      <c r="X689" s="175"/>
      <c r="Y689" s="83"/>
    </row>
    <row r="690" spans="1:25" ht="24.6" customHeight="1">
      <c r="A690" s="536" t="s">
        <v>113</v>
      </c>
      <c r="B690" s="175" t="s">
        <v>91</v>
      </c>
      <c r="C690" s="175">
        <v>176</v>
      </c>
      <c r="D690" s="175" t="s">
        <v>16</v>
      </c>
      <c r="E690" s="175">
        <v>6100404</v>
      </c>
      <c r="F690" s="175">
        <v>243</v>
      </c>
      <c r="G690" s="75">
        <v>0</v>
      </c>
      <c r="H690" s="75">
        <v>0</v>
      </c>
      <c r="I690" s="75">
        <v>0</v>
      </c>
      <c r="J690" s="75">
        <v>0</v>
      </c>
      <c r="K690" s="75">
        <v>0</v>
      </c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75"/>
      <c r="Y690" s="541" t="s">
        <v>366</v>
      </c>
    </row>
    <row r="691" spans="1:25" ht="24" customHeight="1">
      <c r="A691" s="538"/>
      <c r="B691" s="175" t="s">
        <v>299</v>
      </c>
      <c r="C691" s="175"/>
      <c r="D691" s="175"/>
      <c r="E691" s="175"/>
      <c r="F691" s="175"/>
      <c r="G691" s="75"/>
      <c r="H691" s="75"/>
      <c r="I691" s="75"/>
      <c r="J691" s="75"/>
      <c r="K691" s="75"/>
      <c r="L691" s="135">
        <f>2719.5-40.3</f>
        <v>2679.2</v>
      </c>
      <c r="M691" s="135">
        <v>2679.2</v>
      </c>
      <c r="N691" s="135"/>
      <c r="O691" s="135"/>
      <c r="P691" s="135"/>
      <c r="Q691" s="135"/>
      <c r="R691" s="135"/>
      <c r="S691" s="135"/>
      <c r="T691" s="135"/>
      <c r="U691" s="135"/>
      <c r="V691" s="135">
        <v>3519.5</v>
      </c>
      <c r="W691" s="135"/>
      <c r="X691" s="175"/>
      <c r="Y691" s="541"/>
    </row>
    <row r="692" spans="1:25" ht="24.6" hidden="1" customHeight="1">
      <c r="A692" s="540" t="s">
        <v>188</v>
      </c>
      <c r="B692" s="175" t="s">
        <v>91</v>
      </c>
      <c r="C692" s="175">
        <v>176</v>
      </c>
      <c r="D692" s="175" t="s">
        <v>16</v>
      </c>
      <c r="E692" s="175">
        <v>6100404</v>
      </c>
      <c r="F692" s="175">
        <v>243</v>
      </c>
      <c r="G692" s="75">
        <f>SUM(H692:K692)</f>
        <v>0.95</v>
      </c>
      <c r="H692" s="75">
        <v>0</v>
      </c>
      <c r="I692" s="75"/>
      <c r="J692" s="75"/>
      <c r="K692" s="75">
        <v>0.95</v>
      </c>
      <c r="L692" s="135">
        <v>0</v>
      </c>
      <c r="M692" s="135"/>
      <c r="N692" s="135"/>
      <c r="O692" s="135"/>
      <c r="P692" s="135"/>
      <c r="Q692" s="135">
        <v>0</v>
      </c>
      <c r="R692" s="135"/>
      <c r="S692" s="135"/>
      <c r="T692" s="135"/>
      <c r="U692" s="135"/>
      <c r="V692" s="135"/>
      <c r="W692" s="135"/>
      <c r="X692" s="175"/>
      <c r="Y692" s="541" t="s">
        <v>281</v>
      </c>
    </row>
    <row r="693" spans="1:25" s="56" customFormat="1" ht="24.6" hidden="1" customHeight="1">
      <c r="A693" s="540"/>
      <c r="B693" s="175" t="s">
        <v>299</v>
      </c>
      <c r="C693" s="175"/>
      <c r="D693" s="175"/>
      <c r="E693" s="175"/>
      <c r="F693" s="175"/>
      <c r="G693" s="75">
        <f>SUM(H693:K693)</f>
        <v>15558.3</v>
      </c>
      <c r="H693" s="75">
        <v>0</v>
      </c>
      <c r="I693" s="75">
        <v>5500</v>
      </c>
      <c r="J693" s="75">
        <f>11500-1441.7</f>
        <v>10058.299999999999</v>
      </c>
      <c r="K693" s="7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75"/>
      <c r="Y693" s="541"/>
    </row>
    <row r="694" spans="1:25" s="56" customFormat="1" ht="0.6" hidden="1" customHeight="1">
      <c r="A694" s="181" t="s">
        <v>119</v>
      </c>
      <c r="B694" s="175" t="s">
        <v>91</v>
      </c>
      <c r="C694" s="175">
        <v>176</v>
      </c>
      <c r="D694" s="175" t="s">
        <v>16</v>
      </c>
      <c r="E694" s="175">
        <v>6100404</v>
      </c>
      <c r="F694" s="175">
        <v>243</v>
      </c>
      <c r="G694" s="75">
        <v>0</v>
      </c>
      <c r="H694" s="75">
        <v>0</v>
      </c>
      <c r="I694" s="75">
        <v>0</v>
      </c>
      <c r="J694" s="75">
        <v>0</v>
      </c>
      <c r="K694" s="75">
        <v>0</v>
      </c>
      <c r="L694" s="135">
        <v>0</v>
      </c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75"/>
      <c r="Y694" s="175" t="s">
        <v>36</v>
      </c>
    </row>
    <row r="695" spans="1:25" ht="24.6" hidden="1" customHeight="1">
      <c r="A695" s="181"/>
      <c r="B695" s="175" t="s">
        <v>299</v>
      </c>
      <c r="C695" s="175"/>
      <c r="D695" s="175"/>
      <c r="E695" s="175"/>
      <c r="F695" s="175"/>
      <c r="G695" s="75"/>
      <c r="H695" s="75"/>
      <c r="I695" s="75"/>
      <c r="J695" s="75"/>
      <c r="K695" s="7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75"/>
      <c r="Y695" s="175"/>
    </row>
    <row r="696" spans="1:25" ht="24.9" customHeight="1">
      <c r="A696" s="539" t="s">
        <v>148</v>
      </c>
      <c r="B696" s="83" t="s">
        <v>91</v>
      </c>
      <c r="C696" s="83"/>
      <c r="D696" s="83"/>
      <c r="E696" s="83"/>
      <c r="F696" s="83"/>
      <c r="G696" s="81">
        <f>G698+G700+G704</f>
        <v>0</v>
      </c>
      <c r="H696" s="81">
        <f t="shared" ref="H696:W697" si="292">H698+H700+H704</f>
        <v>0</v>
      </c>
      <c r="I696" s="81">
        <f t="shared" si="292"/>
        <v>0</v>
      </c>
      <c r="J696" s="81">
        <f t="shared" si="292"/>
        <v>0</v>
      </c>
      <c r="K696" s="81">
        <f t="shared" si="292"/>
        <v>0</v>
      </c>
      <c r="L696" s="134">
        <f t="shared" si="292"/>
        <v>0</v>
      </c>
      <c r="M696" s="134"/>
      <c r="N696" s="134"/>
      <c r="O696" s="134"/>
      <c r="P696" s="134"/>
      <c r="Q696" s="134">
        <f t="shared" si="292"/>
        <v>0</v>
      </c>
      <c r="R696" s="134"/>
      <c r="S696" s="134"/>
      <c r="T696" s="134"/>
      <c r="U696" s="134"/>
      <c r="V696" s="134">
        <f t="shared" si="292"/>
        <v>0</v>
      </c>
      <c r="W696" s="134">
        <f t="shared" si="292"/>
        <v>0</v>
      </c>
      <c r="X696" s="175"/>
      <c r="Y696" s="83"/>
    </row>
    <row r="697" spans="1:25" ht="24.6" customHeight="1">
      <c r="A697" s="539"/>
      <c r="B697" s="83" t="s">
        <v>299</v>
      </c>
      <c r="C697" s="83"/>
      <c r="D697" s="83"/>
      <c r="E697" s="83"/>
      <c r="F697" s="83"/>
      <c r="G697" s="81">
        <f>G699+G701+G705</f>
        <v>4955.5</v>
      </c>
      <c r="H697" s="81">
        <f t="shared" si="292"/>
        <v>4955.4740000000002</v>
      </c>
      <c r="I697" s="81">
        <f t="shared" si="292"/>
        <v>0</v>
      </c>
      <c r="J697" s="81">
        <f t="shared" si="292"/>
        <v>0</v>
      </c>
      <c r="K697" s="81">
        <f t="shared" si="292"/>
        <v>0</v>
      </c>
      <c r="L697" s="134">
        <f t="shared" si="292"/>
        <v>4736.2</v>
      </c>
      <c r="M697" s="134">
        <f t="shared" si="292"/>
        <v>4736.2</v>
      </c>
      <c r="N697" s="134">
        <f t="shared" si="292"/>
        <v>0</v>
      </c>
      <c r="O697" s="134">
        <f t="shared" si="292"/>
        <v>0</v>
      </c>
      <c r="P697" s="134">
        <f t="shared" si="292"/>
        <v>0</v>
      </c>
      <c r="Q697" s="134">
        <f t="shared" si="292"/>
        <v>3214.7999999999993</v>
      </c>
      <c r="R697" s="134">
        <f t="shared" si="292"/>
        <v>0</v>
      </c>
      <c r="S697" s="134">
        <f t="shared" si="292"/>
        <v>0</v>
      </c>
      <c r="T697" s="134">
        <f t="shared" si="292"/>
        <v>3214.7999999999993</v>
      </c>
      <c r="U697" s="134">
        <f t="shared" si="292"/>
        <v>0</v>
      </c>
      <c r="V697" s="134">
        <f t="shared" si="292"/>
        <v>4557.5</v>
      </c>
      <c r="W697" s="134">
        <f t="shared" si="292"/>
        <v>16741</v>
      </c>
      <c r="X697" s="175"/>
      <c r="Y697" s="83"/>
    </row>
    <row r="698" spans="1:25" ht="24.6" customHeight="1">
      <c r="A698" s="540" t="s">
        <v>113</v>
      </c>
      <c r="B698" s="175" t="s">
        <v>91</v>
      </c>
      <c r="C698" s="175">
        <v>176</v>
      </c>
      <c r="D698" s="175" t="s">
        <v>16</v>
      </c>
      <c r="E698" s="175">
        <v>6100404</v>
      </c>
      <c r="F698" s="175">
        <v>243</v>
      </c>
      <c r="G698" s="75">
        <v>0</v>
      </c>
      <c r="H698" s="75">
        <v>0</v>
      </c>
      <c r="I698" s="75">
        <v>0</v>
      </c>
      <c r="J698" s="75">
        <v>0</v>
      </c>
      <c r="K698" s="75">
        <v>0</v>
      </c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75"/>
      <c r="Y698" s="541" t="s">
        <v>366</v>
      </c>
    </row>
    <row r="699" spans="1:25" ht="23.4" customHeight="1">
      <c r="A699" s="540"/>
      <c r="B699" s="175" t="s">
        <v>299</v>
      </c>
      <c r="C699" s="175"/>
      <c r="D699" s="175"/>
      <c r="E699" s="175"/>
      <c r="F699" s="175"/>
      <c r="G699" s="75"/>
      <c r="H699" s="75"/>
      <c r="I699" s="75"/>
      <c r="J699" s="75"/>
      <c r="K699" s="75"/>
      <c r="L699" s="135">
        <f>4736.2</f>
        <v>4736.2</v>
      </c>
      <c r="M699" s="135">
        <v>4736.2</v>
      </c>
      <c r="N699" s="135"/>
      <c r="O699" s="135"/>
      <c r="P699" s="135"/>
      <c r="Q699" s="135">
        <f>T699</f>
        <v>3214.7999999999993</v>
      </c>
      <c r="R699" s="135"/>
      <c r="S699" s="135"/>
      <c r="T699" s="135">
        <f>11640.6-16.1-8409.7</f>
        <v>3214.7999999999993</v>
      </c>
      <c r="U699" s="135"/>
      <c r="V699" s="135">
        <v>4557.5</v>
      </c>
      <c r="W699" s="135">
        <v>16741</v>
      </c>
      <c r="X699" s="175"/>
      <c r="Y699" s="541"/>
    </row>
    <row r="700" spans="1:25" ht="0.6" hidden="1" customHeight="1">
      <c r="A700" s="540" t="s">
        <v>187</v>
      </c>
      <c r="B700" s="175" t="s">
        <v>91</v>
      </c>
      <c r="C700" s="175">
        <v>176</v>
      </c>
      <c r="D700" s="175" t="s">
        <v>16</v>
      </c>
      <c r="E700" s="175">
        <v>6100404</v>
      </c>
      <c r="F700" s="175">
        <v>243</v>
      </c>
      <c r="G700" s="75">
        <v>0</v>
      </c>
      <c r="H700" s="75">
        <v>0</v>
      </c>
      <c r="I700" s="75">
        <v>0</v>
      </c>
      <c r="J700" s="75">
        <v>0</v>
      </c>
      <c r="K700" s="75">
        <v>0</v>
      </c>
      <c r="L700" s="135">
        <v>0</v>
      </c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75"/>
      <c r="Y700" s="541" t="s">
        <v>36</v>
      </c>
    </row>
    <row r="701" spans="1:25" ht="24.6" hidden="1" customHeight="1">
      <c r="A701" s="540"/>
      <c r="B701" s="175" t="s">
        <v>299</v>
      </c>
      <c r="C701" s="175"/>
      <c r="D701" s="175"/>
      <c r="E701" s="175"/>
      <c r="F701" s="175"/>
      <c r="G701" s="75"/>
      <c r="H701" s="75"/>
      <c r="I701" s="75"/>
      <c r="J701" s="75"/>
      <c r="K701" s="7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75"/>
      <c r="Y701" s="541"/>
    </row>
    <row r="702" spans="1:25" ht="0.6" customHeight="1">
      <c r="A702" s="181" t="s">
        <v>186</v>
      </c>
      <c r="B702" s="175" t="s">
        <v>91</v>
      </c>
      <c r="C702" s="175">
        <v>176</v>
      </c>
      <c r="D702" s="175" t="s">
        <v>16</v>
      </c>
      <c r="E702" s="175">
        <v>6100404</v>
      </c>
      <c r="F702" s="175">
        <v>243</v>
      </c>
      <c r="G702" s="75">
        <v>0</v>
      </c>
      <c r="H702" s="75">
        <v>0</v>
      </c>
      <c r="I702" s="75">
        <v>0</v>
      </c>
      <c r="J702" s="75">
        <v>0</v>
      </c>
      <c r="K702" s="75">
        <v>0</v>
      </c>
      <c r="L702" s="135">
        <v>0</v>
      </c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75"/>
      <c r="Y702" s="175" t="s">
        <v>36</v>
      </c>
    </row>
    <row r="703" spans="1:25" s="56" customFormat="1" ht="24.6" hidden="1" customHeight="1">
      <c r="A703" s="181"/>
      <c r="B703" s="175" t="s">
        <v>299</v>
      </c>
      <c r="C703" s="175"/>
      <c r="D703" s="175"/>
      <c r="E703" s="175"/>
      <c r="F703" s="175"/>
      <c r="G703" s="75"/>
      <c r="H703" s="75"/>
      <c r="I703" s="75"/>
      <c r="J703" s="75"/>
      <c r="K703" s="7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75"/>
      <c r="Y703" s="175"/>
    </row>
    <row r="704" spans="1:25" s="56" customFormat="1" ht="23.4" hidden="1" customHeight="1">
      <c r="A704" s="540" t="s">
        <v>185</v>
      </c>
      <c r="B704" s="175" t="s">
        <v>91</v>
      </c>
      <c r="C704" s="175">
        <v>176</v>
      </c>
      <c r="D704" s="175" t="s">
        <v>16</v>
      </c>
      <c r="E704" s="175">
        <v>6100404</v>
      </c>
      <c r="F704" s="175">
        <v>243</v>
      </c>
      <c r="G704" s="75"/>
      <c r="H704" s="75"/>
      <c r="I704" s="75">
        <f>G704-H704</f>
        <v>0</v>
      </c>
      <c r="J704" s="75">
        <v>0</v>
      </c>
      <c r="K704" s="75"/>
      <c r="L704" s="135">
        <v>0</v>
      </c>
      <c r="M704" s="135"/>
      <c r="N704" s="135"/>
      <c r="O704" s="135"/>
      <c r="P704" s="135"/>
      <c r="Q704" s="135">
        <v>0</v>
      </c>
      <c r="R704" s="135"/>
      <c r="S704" s="135"/>
      <c r="T704" s="135"/>
      <c r="U704" s="135"/>
      <c r="V704" s="135"/>
      <c r="W704" s="135"/>
      <c r="X704" s="175"/>
      <c r="Y704" s="541" t="s">
        <v>630</v>
      </c>
    </row>
    <row r="705" spans="1:25" ht="27.6" hidden="1" customHeight="1">
      <c r="A705" s="540"/>
      <c r="B705" s="175" t="s">
        <v>299</v>
      </c>
      <c r="C705" s="175"/>
      <c r="D705" s="175"/>
      <c r="E705" s="175"/>
      <c r="F705" s="175"/>
      <c r="G705" s="75">
        <f>5000-44.5</f>
        <v>4955.5</v>
      </c>
      <c r="H705" s="75">
        <v>4955.4740000000002</v>
      </c>
      <c r="I705" s="75"/>
      <c r="J705" s="75"/>
      <c r="K705" s="7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75"/>
      <c r="Y705" s="541"/>
    </row>
    <row r="706" spans="1:25" ht="24.6" hidden="1" customHeight="1">
      <c r="A706" s="539" t="s">
        <v>111</v>
      </c>
      <c r="B706" s="83" t="s">
        <v>91</v>
      </c>
      <c r="C706" s="83"/>
      <c r="D706" s="83"/>
      <c r="E706" s="83"/>
      <c r="F706" s="83"/>
      <c r="G706" s="81">
        <f>G708+G710</f>
        <v>0</v>
      </c>
      <c r="H706" s="81">
        <f t="shared" ref="H706:V707" si="293">H708+H710</f>
        <v>0</v>
      </c>
      <c r="I706" s="81">
        <f t="shared" si="293"/>
        <v>0</v>
      </c>
      <c r="J706" s="81">
        <f t="shared" si="293"/>
        <v>0</v>
      </c>
      <c r="K706" s="81">
        <f t="shared" si="293"/>
        <v>0</v>
      </c>
      <c r="L706" s="134">
        <f t="shared" si="293"/>
        <v>1.24</v>
      </c>
      <c r="M706" s="134">
        <f t="shared" si="293"/>
        <v>0</v>
      </c>
      <c r="N706" s="134">
        <f t="shared" si="293"/>
        <v>0</v>
      </c>
      <c r="O706" s="134">
        <f t="shared" si="293"/>
        <v>1.24</v>
      </c>
      <c r="P706" s="134">
        <f t="shared" si="293"/>
        <v>0</v>
      </c>
      <c r="Q706" s="134">
        <f t="shared" si="293"/>
        <v>0</v>
      </c>
      <c r="R706" s="134"/>
      <c r="S706" s="134"/>
      <c r="T706" s="134"/>
      <c r="U706" s="134"/>
      <c r="V706" s="134">
        <f t="shared" si="293"/>
        <v>0</v>
      </c>
      <c r="W706" s="134">
        <f>W708</f>
        <v>0</v>
      </c>
      <c r="X706" s="175"/>
      <c r="Y706" s="83"/>
    </row>
    <row r="707" spans="1:25" ht="24.6" hidden="1" customHeight="1">
      <c r="A707" s="539"/>
      <c r="B707" s="83" t="s">
        <v>299</v>
      </c>
      <c r="C707" s="83"/>
      <c r="D707" s="83"/>
      <c r="E707" s="83"/>
      <c r="F707" s="83"/>
      <c r="G707" s="81">
        <f>G709+G711</f>
        <v>0</v>
      </c>
      <c r="H707" s="81">
        <f t="shared" si="293"/>
        <v>0</v>
      </c>
      <c r="I707" s="81">
        <f t="shared" si="293"/>
        <v>0</v>
      </c>
      <c r="J707" s="81">
        <f t="shared" si="293"/>
        <v>0</v>
      </c>
      <c r="K707" s="81">
        <f t="shared" si="293"/>
        <v>0</v>
      </c>
      <c r="L707" s="134">
        <f t="shared" si="293"/>
        <v>13000</v>
      </c>
      <c r="M707" s="134">
        <f t="shared" si="293"/>
        <v>0</v>
      </c>
      <c r="N707" s="134">
        <f t="shared" si="293"/>
        <v>0</v>
      </c>
      <c r="O707" s="134">
        <f t="shared" si="293"/>
        <v>13000</v>
      </c>
      <c r="P707" s="134">
        <f t="shared" si="293"/>
        <v>0</v>
      </c>
      <c r="Q707" s="134">
        <f t="shared" si="293"/>
        <v>0</v>
      </c>
      <c r="R707" s="134"/>
      <c r="S707" s="134"/>
      <c r="T707" s="134"/>
      <c r="U707" s="134"/>
      <c r="V707" s="134">
        <f t="shared" si="293"/>
        <v>0</v>
      </c>
      <c r="W707" s="134">
        <f>W709</f>
        <v>0</v>
      </c>
      <c r="X707" s="175"/>
      <c r="Y707" s="83"/>
    </row>
    <row r="708" spans="1:25" ht="29.4" hidden="1" customHeight="1">
      <c r="A708" s="540" t="s">
        <v>149</v>
      </c>
      <c r="B708" s="175" t="s">
        <v>91</v>
      </c>
      <c r="C708" s="175">
        <v>176</v>
      </c>
      <c r="D708" s="175" t="s">
        <v>16</v>
      </c>
      <c r="E708" s="175">
        <v>6100404</v>
      </c>
      <c r="F708" s="175">
        <v>243</v>
      </c>
      <c r="G708" s="75">
        <v>0</v>
      </c>
      <c r="H708" s="75">
        <v>0</v>
      </c>
      <c r="I708" s="75">
        <v>0</v>
      </c>
      <c r="J708" s="75">
        <v>0</v>
      </c>
      <c r="K708" s="75">
        <v>0</v>
      </c>
      <c r="L708" s="135">
        <v>1.24</v>
      </c>
      <c r="M708" s="135"/>
      <c r="N708" s="135"/>
      <c r="O708" s="135">
        <v>1.24</v>
      </c>
      <c r="P708" s="135"/>
      <c r="Q708" s="135"/>
      <c r="R708" s="135"/>
      <c r="S708" s="135"/>
      <c r="T708" s="135"/>
      <c r="U708" s="135"/>
      <c r="V708" s="135"/>
      <c r="W708" s="135"/>
      <c r="X708" s="175"/>
      <c r="Y708" s="541" t="s">
        <v>449</v>
      </c>
    </row>
    <row r="709" spans="1:25" s="56" customFormat="1" ht="22.2" hidden="1" customHeight="1">
      <c r="A709" s="540"/>
      <c r="B709" s="175" t="s">
        <v>299</v>
      </c>
      <c r="C709" s="175"/>
      <c r="D709" s="175"/>
      <c r="E709" s="175"/>
      <c r="F709" s="175"/>
      <c r="G709" s="75"/>
      <c r="H709" s="75"/>
      <c r="I709" s="75"/>
      <c r="J709" s="75"/>
      <c r="K709" s="75"/>
      <c r="L709" s="135">
        <v>13000</v>
      </c>
      <c r="M709" s="135"/>
      <c r="N709" s="135"/>
      <c r="O709" s="135">
        <v>13000</v>
      </c>
      <c r="P709" s="135"/>
      <c r="Q709" s="135"/>
      <c r="R709" s="135"/>
      <c r="S709" s="135"/>
      <c r="T709" s="135"/>
      <c r="U709" s="135"/>
      <c r="V709" s="135"/>
      <c r="W709" s="135"/>
      <c r="X709" s="175"/>
      <c r="Y709" s="541"/>
    </row>
    <row r="710" spans="1:25" s="56" customFormat="1" ht="24.6" hidden="1" customHeight="1">
      <c r="A710" s="540" t="s">
        <v>113</v>
      </c>
      <c r="B710" s="175" t="s">
        <v>91</v>
      </c>
      <c r="C710" s="175">
        <v>176</v>
      </c>
      <c r="D710" s="175" t="s">
        <v>16</v>
      </c>
      <c r="E710" s="175">
        <v>6100404</v>
      </c>
      <c r="F710" s="175">
        <v>243</v>
      </c>
      <c r="G710" s="75">
        <v>0</v>
      </c>
      <c r="H710" s="75">
        <v>0</v>
      </c>
      <c r="I710" s="75">
        <v>0</v>
      </c>
      <c r="J710" s="75">
        <v>0</v>
      </c>
      <c r="K710" s="75">
        <v>0</v>
      </c>
      <c r="L710" s="135">
        <v>0</v>
      </c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75"/>
      <c r="Y710" s="541" t="s">
        <v>366</v>
      </c>
    </row>
    <row r="711" spans="1:25" ht="24.6" hidden="1" customHeight="1">
      <c r="A711" s="540"/>
      <c r="B711" s="175" t="s">
        <v>299</v>
      </c>
      <c r="C711" s="175"/>
      <c r="D711" s="175"/>
      <c r="E711" s="175"/>
      <c r="F711" s="175"/>
      <c r="G711" s="75"/>
      <c r="H711" s="75"/>
      <c r="I711" s="75"/>
      <c r="J711" s="75"/>
      <c r="K711" s="7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75"/>
      <c r="Y711" s="541"/>
    </row>
    <row r="712" spans="1:25" ht="24.9" customHeight="1">
      <c r="A712" s="539" t="s">
        <v>150</v>
      </c>
      <c r="B712" s="83" t="s">
        <v>91</v>
      </c>
      <c r="C712" s="83"/>
      <c r="D712" s="83"/>
      <c r="E712" s="83"/>
      <c r="F712" s="83"/>
      <c r="G712" s="81">
        <f>G714+G716</f>
        <v>0</v>
      </c>
      <c r="H712" s="81">
        <f t="shared" ref="H712:W713" si="294">H714+H716</f>
        <v>0</v>
      </c>
      <c r="I712" s="81">
        <f t="shared" si="294"/>
        <v>0</v>
      </c>
      <c r="J712" s="81">
        <f t="shared" si="294"/>
        <v>0</v>
      </c>
      <c r="K712" s="81">
        <f t="shared" si="294"/>
        <v>0</v>
      </c>
      <c r="L712" s="134">
        <f t="shared" si="294"/>
        <v>1.3</v>
      </c>
      <c r="M712" s="134">
        <f t="shared" si="294"/>
        <v>1.3</v>
      </c>
      <c r="N712" s="134">
        <f t="shared" si="294"/>
        <v>0</v>
      </c>
      <c r="O712" s="134">
        <f t="shared" si="294"/>
        <v>0</v>
      </c>
      <c r="P712" s="134">
        <f t="shared" si="294"/>
        <v>0</v>
      </c>
      <c r="Q712" s="134">
        <f t="shared" si="294"/>
        <v>0.8</v>
      </c>
      <c r="R712" s="134">
        <f t="shared" si="294"/>
        <v>0</v>
      </c>
      <c r="S712" s="134">
        <f t="shared" si="294"/>
        <v>0</v>
      </c>
      <c r="T712" s="134">
        <f t="shared" si="294"/>
        <v>0</v>
      </c>
      <c r="U712" s="134">
        <f t="shared" si="294"/>
        <v>0.8</v>
      </c>
      <c r="V712" s="134">
        <f t="shared" si="294"/>
        <v>0</v>
      </c>
      <c r="W712" s="134">
        <f t="shared" si="294"/>
        <v>0</v>
      </c>
      <c r="X712" s="175"/>
      <c r="Y712" s="83"/>
    </row>
    <row r="713" spans="1:25" ht="24.9" customHeight="1">
      <c r="A713" s="539"/>
      <c r="B713" s="83" t="s">
        <v>299</v>
      </c>
      <c r="C713" s="83"/>
      <c r="D713" s="83"/>
      <c r="E713" s="83"/>
      <c r="F713" s="83"/>
      <c r="G713" s="81">
        <f>G715+G717</f>
        <v>0</v>
      </c>
      <c r="H713" s="81">
        <f t="shared" si="294"/>
        <v>0</v>
      </c>
      <c r="I713" s="81">
        <f t="shared" si="294"/>
        <v>0</v>
      </c>
      <c r="J713" s="81">
        <f t="shared" si="294"/>
        <v>0</v>
      </c>
      <c r="K713" s="81">
        <f t="shared" si="294"/>
        <v>0</v>
      </c>
      <c r="L713" s="134">
        <f t="shared" si="294"/>
        <v>18777.3</v>
      </c>
      <c r="M713" s="134">
        <f t="shared" si="294"/>
        <v>11777.3</v>
      </c>
      <c r="N713" s="134">
        <f t="shared" si="294"/>
        <v>0</v>
      </c>
      <c r="O713" s="134">
        <f t="shared" si="294"/>
        <v>0</v>
      </c>
      <c r="P713" s="134">
        <f t="shared" si="294"/>
        <v>7000</v>
      </c>
      <c r="Q713" s="134">
        <f t="shared" si="294"/>
        <v>12774.399999999998</v>
      </c>
      <c r="R713" s="134">
        <f t="shared" si="294"/>
        <v>0</v>
      </c>
      <c r="S713" s="134">
        <f t="shared" si="294"/>
        <v>0</v>
      </c>
      <c r="T713" s="134">
        <f t="shared" si="294"/>
        <v>0</v>
      </c>
      <c r="U713" s="134">
        <f t="shared" si="294"/>
        <v>12774.399999999998</v>
      </c>
      <c r="V713" s="134">
        <f t="shared" si="294"/>
        <v>0</v>
      </c>
      <c r="W713" s="134">
        <f t="shared" si="294"/>
        <v>0</v>
      </c>
      <c r="X713" s="175"/>
      <c r="Y713" s="83"/>
    </row>
    <row r="714" spans="1:25" ht="24.9" customHeight="1">
      <c r="A714" s="540" t="s">
        <v>418</v>
      </c>
      <c r="B714" s="175" t="s">
        <v>91</v>
      </c>
      <c r="C714" s="175">
        <v>176</v>
      </c>
      <c r="D714" s="175" t="s">
        <v>16</v>
      </c>
      <c r="E714" s="175">
        <v>6100404</v>
      </c>
      <c r="F714" s="175">
        <v>243</v>
      </c>
      <c r="G714" s="75">
        <v>0</v>
      </c>
      <c r="H714" s="75">
        <v>0</v>
      </c>
      <c r="I714" s="75">
        <v>0</v>
      </c>
      <c r="J714" s="75">
        <v>0</v>
      </c>
      <c r="K714" s="75">
        <v>0</v>
      </c>
      <c r="L714" s="135">
        <v>1.3</v>
      </c>
      <c r="M714" s="135">
        <v>1.3</v>
      </c>
      <c r="N714" s="135"/>
      <c r="O714" s="135"/>
      <c r="P714" s="135"/>
      <c r="Q714" s="135">
        <v>0.8</v>
      </c>
      <c r="R714" s="135"/>
      <c r="S714" s="135"/>
      <c r="T714" s="135"/>
      <c r="U714" s="135">
        <v>0.8</v>
      </c>
      <c r="V714" s="135"/>
      <c r="W714" s="135"/>
      <c r="X714" s="175"/>
      <c r="Y714" s="541" t="s">
        <v>280</v>
      </c>
    </row>
    <row r="715" spans="1:25" ht="24" customHeight="1">
      <c r="A715" s="540"/>
      <c r="B715" s="175" t="s">
        <v>299</v>
      </c>
      <c r="C715" s="175"/>
      <c r="D715" s="175"/>
      <c r="E715" s="175"/>
      <c r="F715" s="175"/>
      <c r="G715" s="75"/>
      <c r="H715" s="75"/>
      <c r="I715" s="75"/>
      <c r="J715" s="75"/>
      <c r="K715" s="75"/>
      <c r="L715" s="135">
        <f>12196.5-419.2</f>
        <v>11777.3</v>
      </c>
      <c r="M715" s="135">
        <v>11777.3</v>
      </c>
      <c r="N715" s="135"/>
      <c r="O715" s="135"/>
      <c r="P715" s="135"/>
      <c r="Q715" s="135">
        <f>U715</f>
        <v>7813.4999999999991</v>
      </c>
      <c r="R715" s="135"/>
      <c r="S715" s="135"/>
      <c r="T715" s="135"/>
      <c r="U715" s="135">
        <f>9386.3-1454.8-118</f>
        <v>7813.4999999999991</v>
      </c>
      <c r="V715" s="135"/>
      <c r="W715" s="135"/>
      <c r="X715" s="175"/>
      <c r="Y715" s="541"/>
    </row>
    <row r="716" spans="1:25" ht="24.6" customHeight="1">
      <c r="A716" s="540" t="s">
        <v>113</v>
      </c>
      <c r="B716" s="175" t="s">
        <v>91</v>
      </c>
      <c r="C716" s="175">
        <v>176</v>
      </c>
      <c r="D716" s="175" t="s">
        <v>16</v>
      </c>
      <c r="E716" s="175">
        <v>6100404</v>
      </c>
      <c r="F716" s="175">
        <v>243</v>
      </c>
      <c r="G716" s="75">
        <v>0</v>
      </c>
      <c r="H716" s="75">
        <v>0</v>
      </c>
      <c r="I716" s="75">
        <v>0</v>
      </c>
      <c r="J716" s="75">
        <v>0</v>
      </c>
      <c r="K716" s="75">
        <v>0</v>
      </c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75"/>
      <c r="Y716" s="541" t="s">
        <v>366</v>
      </c>
    </row>
    <row r="717" spans="1:25" ht="24.6" customHeight="1">
      <c r="A717" s="540"/>
      <c r="B717" s="175" t="s">
        <v>299</v>
      </c>
      <c r="C717" s="175"/>
      <c r="D717" s="175"/>
      <c r="E717" s="175"/>
      <c r="F717" s="175"/>
      <c r="G717" s="75"/>
      <c r="H717" s="75"/>
      <c r="I717" s="75"/>
      <c r="J717" s="75"/>
      <c r="K717" s="75"/>
      <c r="L717" s="135">
        <f>8000-1000</f>
        <v>7000</v>
      </c>
      <c r="M717" s="135"/>
      <c r="N717" s="135"/>
      <c r="O717" s="135"/>
      <c r="P717" s="135">
        <v>7000</v>
      </c>
      <c r="Q717" s="135">
        <f>U717</f>
        <v>4960.8999999999996</v>
      </c>
      <c r="R717" s="135"/>
      <c r="S717" s="135"/>
      <c r="T717" s="135"/>
      <c r="U717" s="135">
        <f>6319.5-1358.6</f>
        <v>4960.8999999999996</v>
      </c>
      <c r="V717" s="135"/>
      <c r="W717" s="135"/>
      <c r="X717" s="175"/>
      <c r="Y717" s="541"/>
    </row>
    <row r="718" spans="1:25" ht="24" customHeight="1">
      <c r="A718" s="102" t="s">
        <v>33</v>
      </c>
      <c r="B718" s="175" t="s">
        <v>299</v>
      </c>
      <c r="C718" s="175">
        <v>176</v>
      </c>
      <c r="D718" s="175" t="s">
        <v>16</v>
      </c>
      <c r="E718" s="175">
        <v>6100404</v>
      </c>
      <c r="F718" s="175">
        <v>243</v>
      </c>
      <c r="G718" s="75">
        <f>SUM(H718:K718)</f>
        <v>300.5</v>
      </c>
      <c r="H718" s="75">
        <v>5.4</v>
      </c>
      <c r="I718" s="75">
        <v>41.1</v>
      </c>
      <c r="J718" s="75">
        <f>450-196</f>
        <v>254</v>
      </c>
      <c r="K718" s="75"/>
      <c r="L718" s="135">
        <f>P718</f>
        <v>685</v>
      </c>
      <c r="M718" s="135"/>
      <c r="N718" s="135"/>
      <c r="O718" s="135"/>
      <c r="P718" s="135">
        <f>4000-2000-1315</f>
        <v>685</v>
      </c>
      <c r="Q718" s="134">
        <f>S718+T718+U718</f>
        <v>3064.7</v>
      </c>
      <c r="R718" s="135"/>
      <c r="S718" s="135">
        <v>1587.4</v>
      </c>
      <c r="T718" s="135">
        <f>3500-160-1862.7</f>
        <v>1477.3</v>
      </c>
      <c r="U718" s="135">
        <f>1600+160-1760</f>
        <v>0</v>
      </c>
      <c r="V718" s="134">
        <f>3095.9-1000</f>
        <v>2095.9</v>
      </c>
      <c r="W718" s="134">
        <v>1500</v>
      </c>
      <c r="X718" s="175"/>
      <c r="Y718" s="175"/>
    </row>
    <row r="719" spans="1:25" ht="40.200000000000003" customHeight="1">
      <c r="A719" s="418" t="s">
        <v>252</v>
      </c>
      <c r="B719" s="175" t="s">
        <v>299</v>
      </c>
      <c r="C719" s="175"/>
      <c r="D719" s="175"/>
      <c r="E719" s="175"/>
      <c r="F719" s="175"/>
      <c r="G719" s="75">
        <f>SUM(H719:K719)</f>
        <v>162473.5</v>
      </c>
      <c r="H719" s="75">
        <f>157953.4+4520.1</f>
        <v>162473.5</v>
      </c>
      <c r="I719" s="75"/>
      <c r="J719" s="75"/>
      <c r="K719" s="75"/>
      <c r="L719" s="135"/>
      <c r="M719" s="135"/>
      <c r="N719" s="135"/>
      <c r="O719" s="135"/>
      <c r="P719" s="135"/>
      <c r="Q719" s="134">
        <v>3121.5</v>
      </c>
      <c r="R719" s="135">
        <v>3121.5</v>
      </c>
      <c r="S719" s="135"/>
      <c r="T719" s="135"/>
      <c r="U719" s="135"/>
      <c r="V719" s="135"/>
      <c r="W719" s="135"/>
      <c r="X719" s="175"/>
      <c r="Y719" s="417" t="s">
        <v>653</v>
      </c>
    </row>
    <row r="720" spans="1:25" ht="24.6" hidden="1" customHeight="1">
      <c r="A720" s="102"/>
      <c r="B720" s="175"/>
      <c r="C720" s="175"/>
      <c r="D720" s="175"/>
      <c r="E720" s="175"/>
      <c r="F720" s="175"/>
      <c r="G720" s="75"/>
      <c r="H720" s="75"/>
      <c r="I720" s="75"/>
      <c r="J720" s="75"/>
      <c r="K720" s="7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75"/>
      <c r="Y720" s="175"/>
    </row>
    <row r="721" spans="1:27" ht="24.9" customHeight="1">
      <c r="A721" s="539" t="s">
        <v>239</v>
      </c>
      <c r="B721" s="83" t="s">
        <v>91</v>
      </c>
      <c r="C721" s="83"/>
      <c r="D721" s="83"/>
      <c r="E721" s="83"/>
      <c r="F721" s="83"/>
      <c r="G721" s="81">
        <f>Z725</f>
        <v>0</v>
      </c>
      <c r="H721" s="81"/>
      <c r="I721" s="81"/>
      <c r="J721" s="81"/>
      <c r="K721" s="81">
        <f>K729+K733+K745+K751+K755+K767+K771+K777+K785+K789+K795+K801+K807+K823+K863+K867+K871+K877+K897</f>
        <v>12.702999999999998</v>
      </c>
      <c r="L721" s="134">
        <f>L729+L733+L745+L755+L767+L771+L777+L785+L789+L795+L823+L863+L867+L871+L877</f>
        <v>112.32999999999998</v>
      </c>
      <c r="M721" s="134"/>
      <c r="N721" s="134"/>
      <c r="O721" s="134"/>
      <c r="P721" s="134"/>
      <c r="Q721" s="134">
        <f>Q729+Q733+Q741+Q751+Q755+Q767+Q771+Q777+Q785+Q789+Q795+Q801+Q807+Q813+Q817+Q823+Q863+Q871+Q877+Q897</f>
        <v>94.79</v>
      </c>
      <c r="R721" s="134">
        <f t="shared" ref="R721:S721" si="295">R729+R733+R741+R751+R755+R767+R771+R777+R785+R789+R795+R801+R807+R813+R817+R823+R863+R871+R877+R897</f>
        <v>0</v>
      </c>
      <c r="S721" s="134">
        <f t="shared" si="295"/>
        <v>0</v>
      </c>
      <c r="T721" s="134"/>
      <c r="U721" s="134"/>
      <c r="V721" s="134">
        <f>V729+V733+V741+V751+V755+V767+V771+V777+V785+V789+V795+V801+V807+V813+V817+V823+V863+V871+V877+V897</f>
        <v>51.54</v>
      </c>
      <c r="W721" s="134">
        <f>W729+W733+W741+W751+W755+W767+W771+W777+W785+W789+W795+W801+W807+W813+W817+W823+W863+W871+W877+W897</f>
        <v>52.95</v>
      </c>
      <c r="X721" s="541" t="s">
        <v>27</v>
      </c>
      <c r="Y721" s="541" t="s">
        <v>602</v>
      </c>
    </row>
    <row r="722" spans="1:27" ht="24.9" customHeight="1">
      <c r="A722" s="539"/>
      <c r="B722" s="83" t="s">
        <v>25</v>
      </c>
      <c r="C722" s="83"/>
      <c r="D722" s="83"/>
      <c r="E722" s="83"/>
      <c r="F722" s="83"/>
      <c r="G722" s="81" t="e">
        <f>G723/G721</f>
        <v>#REF!</v>
      </c>
      <c r="H722" s="81"/>
      <c r="I722" s="81"/>
      <c r="J722" s="81"/>
      <c r="K722" s="81"/>
      <c r="L722" s="134" t="e">
        <f>L723/L721</f>
        <v>#REF!</v>
      </c>
      <c r="M722" s="134"/>
      <c r="N722" s="134"/>
      <c r="O722" s="134"/>
      <c r="P722" s="134"/>
      <c r="Q722" s="134">
        <f>Q723/Q721</f>
        <v>5342.9908218166465</v>
      </c>
      <c r="R722" s="134"/>
      <c r="S722" s="134"/>
      <c r="T722" s="134"/>
      <c r="U722" s="134"/>
      <c r="V722" s="134">
        <f t="shared" ref="V722:W722" si="296">V723/V721</f>
        <v>4928.3469150174624</v>
      </c>
      <c r="W722" s="134">
        <f t="shared" si="296"/>
        <v>5635.4768649669504</v>
      </c>
      <c r="X722" s="541"/>
      <c r="Y722" s="541"/>
    </row>
    <row r="723" spans="1:27" ht="24.9" customHeight="1">
      <c r="A723" s="539"/>
      <c r="B723" s="83" t="s">
        <v>26</v>
      </c>
      <c r="C723" s="83">
        <v>176</v>
      </c>
      <c r="D723" s="83" t="s">
        <v>16</v>
      </c>
      <c r="E723" s="83">
        <v>6100404</v>
      </c>
      <c r="F723" s="83">
        <v>244</v>
      </c>
      <c r="G723" s="81" t="e">
        <f t="shared" ref="G723:P723" si="297">G725</f>
        <v>#REF!</v>
      </c>
      <c r="H723" s="81" t="e">
        <f>H725</f>
        <v>#REF!</v>
      </c>
      <c r="I723" s="81" t="e">
        <f t="shared" si="297"/>
        <v>#REF!</v>
      </c>
      <c r="J723" s="81" t="e">
        <f t="shared" si="297"/>
        <v>#REF!</v>
      </c>
      <c r="K723" s="81" t="e">
        <f t="shared" si="297"/>
        <v>#REF!</v>
      </c>
      <c r="L723" s="134" t="e">
        <f t="shared" si="297"/>
        <v>#REF!</v>
      </c>
      <c r="M723" s="134" t="e">
        <f t="shared" si="297"/>
        <v>#REF!</v>
      </c>
      <c r="N723" s="134" t="e">
        <f t="shared" si="297"/>
        <v>#REF!</v>
      </c>
      <c r="O723" s="134" t="e">
        <f t="shared" si="297"/>
        <v>#REF!</v>
      </c>
      <c r="P723" s="134" t="e">
        <f t="shared" si="297"/>
        <v>#REF!</v>
      </c>
      <c r="Q723" s="134">
        <f>Q725+Q726</f>
        <v>506462.09999999992</v>
      </c>
      <c r="R723" s="134">
        <f t="shared" ref="R723:U723" si="298">R725+R726</f>
        <v>17229.599999999999</v>
      </c>
      <c r="S723" s="134">
        <f t="shared" si="298"/>
        <v>0</v>
      </c>
      <c r="T723" s="134">
        <f t="shared" si="298"/>
        <v>211708.9</v>
      </c>
      <c r="U723" s="134">
        <f t="shared" si="298"/>
        <v>277523.60000000003</v>
      </c>
      <c r="V723" s="134">
        <f t="shared" ref="V723:W723" si="299">V725+V726</f>
        <v>254007</v>
      </c>
      <c r="W723" s="134">
        <f t="shared" si="299"/>
        <v>298398.50000000006</v>
      </c>
      <c r="X723" s="541"/>
      <c r="Y723" s="541"/>
    </row>
    <row r="724" spans="1:27" ht="24.9" customHeight="1">
      <c r="A724" s="539"/>
      <c r="B724" s="83" t="s">
        <v>10</v>
      </c>
      <c r="C724" s="83"/>
      <c r="D724" s="83"/>
      <c r="E724" s="83"/>
      <c r="F724" s="83"/>
      <c r="G724" s="81"/>
      <c r="H724" s="81"/>
      <c r="I724" s="81"/>
      <c r="J724" s="81"/>
      <c r="K724" s="81"/>
      <c r="L724" s="134"/>
      <c r="M724" s="134"/>
      <c r="N724" s="134"/>
      <c r="O724" s="134"/>
      <c r="P724" s="134"/>
      <c r="Q724" s="134"/>
      <c r="R724" s="134"/>
      <c r="S724" s="134"/>
      <c r="T724" s="134"/>
      <c r="U724" s="134"/>
      <c r="V724" s="134"/>
      <c r="W724" s="134"/>
      <c r="X724" s="541"/>
      <c r="Y724" s="541"/>
    </row>
    <row r="725" spans="1:27" ht="24.9" customHeight="1">
      <c r="A725" s="539"/>
      <c r="B725" s="83" t="s">
        <v>11</v>
      </c>
      <c r="C725" s="83">
        <v>176</v>
      </c>
      <c r="D725" s="83" t="s">
        <v>16</v>
      </c>
      <c r="E725" s="83">
        <v>6100404</v>
      </c>
      <c r="F725" s="83">
        <v>244</v>
      </c>
      <c r="G725" s="81" t="e">
        <f>SUM(H725:K725)</f>
        <v>#REF!</v>
      </c>
      <c r="H725" s="81" t="e">
        <f>H730+H734+H746+H752+H756+H768+H772+H778+H786+H790+H796+H802+H808+H826+H864+H868+H872+H880+H898+H901+#REF!</f>
        <v>#REF!</v>
      </c>
      <c r="I725" s="81" t="e">
        <f>I730+I734+I746+I752+I756+I768+I772+I778+I786+I790+I796+I802+I808+I826+I864+I868+I872+I880+I898+I901+#REF!</f>
        <v>#REF!</v>
      </c>
      <c r="J725" s="81" t="e">
        <f>J730+J734+J746+J752+J756+J768+J772+J778+J786+J790+J796+J802+J808+J826+J864+J868+J872+J880+J898+J901+#REF!</f>
        <v>#REF!</v>
      </c>
      <c r="K725" s="81" t="e">
        <f>K730+K734+K746+K752+K756+K768+K772+K778+K786+K790+K796+K802+K808+K826+K864+K868+K872+K880+K898+K901+#REF!</f>
        <v>#REF!</v>
      </c>
      <c r="L725" s="134" t="e">
        <f>L730+L734+L746+L752+L756+L768+L772+L778+L786+L790+L796+L802+L808+L826+L864+L868+L872+L880+L898+L901+#REF!</f>
        <v>#REF!</v>
      </c>
      <c r="M725" s="134" t="e">
        <f>M730+M734+M746+M752+M756+M768+M772+M778+M786+M790+M796+M802+M808+M826+M864+M868+M872+M880+M898+M901+#REF!</f>
        <v>#REF!</v>
      </c>
      <c r="N725" s="134" t="e">
        <f>N730+N734+N746+N752+N756+N768+N772+N778+N786+N790+N796+N802+N808+N826+N864+N868+N872+N880+N898+N901+#REF!</f>
        <v>#REF!</v>
      </c>
      <c r="O725" s="134" t="e">
        <f>O730+O734+O746+O752+O756+O768+O772+O778+O786+O790+O796+O802+O808+O826+O864+O868+O872+O880+O898+O901+#REF!</f>
        <v>#REF!</v>
      </c>
      <c r="P725" s="134" t="e">
        <f>P730+P734+P746+P752+P756+P768+P772+P778+P786+P790+P796+P802+P808+P826+P864+P868+P872+P880+P898+P901+#REF!</f>
        <v>#REF!</v>
      </c>
      <c r="Q725" s="134">
        <f>Q730+Q734+Q742+Q752+Q756+Q768+Q772+Q779+Q786+Q796+Q808+Q814+Q818+Q825+Q864+Q872+Q879+Q898+Q901+Q902</f>
        <v>386352.09999999992</v>
      </c>
      <c r="R725" s="134">
        <f t="shared" ref="R725:U725" si="300">R730+R734+R742+R752+R756+R768+R772+R779+R786+R790+R796+R802+R808+R814+R818+R825+R864+R872+R879+R898+R901+R902</f>
        <v>17229.599999999999</v>
      </c>
      <c r="S725" s="134">
        <f t="shared" si="300"/>
        <v>0</v>
      </c>
      <c r="T725" s="134">
        <f t="shared" si="300"/>
        <v>170068.9</v>
      </c>
      <c r="U725" s="134">
        <f t="shared" si="300"/>
        <v>199053.60000000003</v>
      </c>
      <c r="V725" s="134">
        <f>V730+V734+V742+V752+V756+V768+V772+V779+V786+V790+V796+V802+V808+V814+V818+V825+V864+V872+V879+V898+V901</f>
        <v>180947</v>
      </c>
      <c r="W725" s="134">
        <f>W730+W734+W742+W752+W756+W768+W772+W779+W786+W790+W796+W802+W808+W814+W818+W825+W864+W872+W879+W898+W901</f>
        <v>298398.50000000006</v>
      </c>
      <c r="X725" s="541"/>
      <c r="Y725" s="541"/>
      <c r="Z725" s="167"/>
      <c r="AA725" s="58"/>
    </row>
    <row r="726" spans="1:27" s="56" customFormat="1" ht="24.9" customHeight="1">
      <c r="A726" s="539"/>
      <c r="B726" s="83" t="s">
        <v>476</v>
      </c>
      <c r="C726" s="83"/>
      <c r="D726" s="83"/>
      <c r="E726" s="83"/>
      <c r="F726" s="83"/>
      <c r="G726" s="81">
        <v>0</v>
      </c>
      <c r="H726" s="81"/>
      <c r="I726" s="81"/>
      <c r="J726" s="81"/>
      <c r="K726" s="81"/>
      <c r="L726" s="134">
        <v>0</v>
      </c>
      <c r="M726" s="134"/>
      <c r="N726" s="134"/>
      <c r="O726" s="134"/>
      <c r="P726" s="134"/>
      <c r="Q726" s="134">
        <f>Q780+Q826+Q880</f>
        <v>120110</v>
      </c>
      <c r="R726" s="134">
        <f t="shared" ref="R726:U726" si="301">R780+R826+R880</f>
        <v>0</v>
      </c>
      <c r="S726" s="134">
        <f t="shared" si="301"/>
        <v>0</v>
      </c>
      <c r="T726" s="134">
        <f t="shared" si="301"/>
        <v>41640</v>
      </c>
      <c r="U726" s="134">
        <f t="shared" si="301"/>
        <v>78470</v>
      </c>
      <c r="V726" s="134">
        <f>V780+V826+V880</f>
        <v>73060</v>
      </c>
      <c r="W726" s="134">
        <f>W780+W826+W880</f>
        <v>0</v>
      </c>
      <c r="X726" s="541"/>
      <c r="Y726" s="541"/>
    </row>
    <row r="727" spans="1:27" s="56" customFormat="1" ht="24.9" customHeight="1">
      <c r="A727" s="539"/>
      <c r="B727" s="83" t="s">
        <v>614</v>
      </c>
      <c r="C727" s="83"/>
      <c r="D727" s="83"/>
      <c r="E727" s="83"/>
      <c r="F727" s="83"/>
      <c r="G727" s="81">
        <v>0</v>
      </c>
      <c r="H727" s="81"/>
      <c r="I727" s="81"/>
      <c r="J727" s="81"/>
      <c r="K727" s="81"/>
      <c r="L727" s="134">
        <v>0</v>
      </c>
      <c r="M727" s="134"/>
      <c r="N727" s="134"/>
      <c r="O727" s="134"/>
      <c r="P727" s="134"/>
      <c r="Q727" s="134">
        <v>0</v>
      </c>
      <c r="R727" s="134"/>
      <c r="S727" s="134"/>
      <c r="T727" s="134"/>
      <c r="U727" s="134"/>
      <c r="V727" s="134"/>
      <c r="W727" s="134"/>
      <c r="X727" s="541"/>
      <c r="Y727" s="541"/>
    </row>
    <row r="728" spans="1:27" ht="24.9" customHeight="1">
      <c r="A728" s="539"/>
      <c r="B728" s="83" t="s">
        <v>665</v>
      </c>
      <c r="C728" s="83"/>
      <c r="D728" s="83"/>
      <c r="E728" s="83"/>
      <c r="F728" s="83"/>
      <c r="G728" s="81">
        <v>0</v>
      </c>
      <c r="H728" s="81">
        <v>0</v>
      </c>
      <c r="I728" s="81">
        <v>0</v>
      </c>
      <c r="J728" s="81">
        <v>0</v>
      </c>
      <c r="K728" s="81">
        <v>0</v>
      </c>
      <c r="L728" s="134">
        <v>0</v>
      </c>
      <c r="M728" s="134"/>
      <c r="N728" s="134"/>
      <c r="O728" s="134"/>
      <c r="P728" s="134"/>
      <c r="Q728" s="134">
        <v>0</v>
      </c>
      <c r="R728" s="134"/>
      <c r="S728" s="134"/>
      <c r="T728" s="134"/>
      <c r="U728" s="134"/>
      <c r="V728" s="134"/>
      <c r="W728" s="134"/>
      <c r="X728" s="541"/>
      <c r="Y728" s="541"/>
    </row>
    <row r="729" spans="1:27" ht="24.9" customHeight="1">
      <c r="A729" s="539" t="s">
        <v>99</v>
      </c>
      <c r="B729" s="83" t="s">
        <v>91</v>
      </c>
      <c r="C729" s="83"/>
      <c r="D729" s="83"/>
      <c r="E729" s="83"/>
      <c r="F729" s="83"/>
      <c r="G729" s="81">
        <f>G731</f>
        <v>0</v>
      </c>
      <c r="H729" s="81">
        <f t="shared" ref="H729:Q730" si="302">H731</f>
        <v>0</v>
      </c>
      <c r="I729" s="81">
        <f t="shared" si="302"/>
        <v>0</v>
      </c>
      <c r="J729" s="81">
        <f t="shared" si="302"/>
        <v>0</v>
      </c>
      <c r="K729" s="81">
        <f t="shared" si="302"/>
        <v>0</v>
      </c>
      <c r="L729" s="134">
        <f t="shared" si="302"/>
        <v>1</v>
      </c>
      <c r="M729" s="134">
        <f t="shared" si="302"/>
        <v>0</v>
      </c>
      <c r="N729" s="134">
        <f t="shared" si="302"/>
        <v>0</v>
      </c>
      <c r="O729" s="134">
        <f t="shared" si="302"/>
        <v>1</v>
      </c>
      <c r="P729" s="134">
        <f t="shared" si="302"/>
        <v>0</v>
      </c>
      <c r="Q729" s="134">
        <f t="shared" si="302"/>
        <v>0</v>
      </c>
      <c r="R729" s="134"/>
      <c r="S729" s="134"/>
      <c r="T729" s="134"/>
      <c r="U729" s="134"/>
      <c r="V729" s="134">
        <f>V731</f>
        <v>0</v>
      </c>
      <c r="W729" s="134">
        <f>W731</f>
        <v>2.2999999999999998</v>
      </c>
      <c r="X729" s="83"/>
      <c r="Y729" s="83"/>
    </row>
    <row r="730" spans="1:27" s="56" customFormat="1" ht="24.9" customHeight="1">
      <c r="A730" s="539"/>
      <c r="B730" s="83" t="s">
        <v>299</v>
      </c>
      <c r="C730" s="83"/>
      <c r="D730" s="83"/>
      <c r="E730" s="83"/>
      <c r="F730" s="83"/>
      <c r="G730" s="81">
        <f>G732</f>
        <v>0</v>
      </c>
      <c r="H730" s="81">
        <f t="shared" si="302"/>
        <v>0</v>
      </c>
      <c r="I730" s="81">
        <f t="shared" si="302"/>
        <v>0</v>
      </c>
      <c r="J730" s="81">
        <f t="shared" si="302"/>
        <v>0</v>
      </c>
      <c r="K730" s="81">
        <f t="shared" si="302"/>
        <v>0</v>
      </c>
      <c r="L730" s="134">
        <f t="shared" si="302"/>
        <v>14724.6</v>
      </c>
      <c r="M730" s="134">
        <f t="shared" si="302"/>
        <v>0</v>
      </c>
      <c r="N730" s="134">
        <f t="shared" si="302"/>
        <v>0</v>
      </c>
      <c r="O730" s="134">
        <f t="shared" si="302"/>
        <v>14724.6</v>
      </c>
      <c r="P730" s="134">
        <f t="shared" si="302"/>
        <v>0</v>
      </c>
      <c r="Q730" s="134">
        <f t="shared" si="302"/>
        <v>0</v>
      </c>
      <c r="R730" s="134"/>
      <c r="S730" s="134"/>
      <c r="T730" s="134"/>
      <c r="U730" s="134"/>
      <c r="V730" s="134">
        <f>V732</f>
        <v>10311.6</v>
      </c>
      <c r="W730" s="134">
        <f>W732</f>
        <v>21377.1</v>
      </c>
      <c r="X730" s="83"/>
      <c r="Y730" s="83"/>
    </row>
    <row r="731" spans="1:27" s="56" customFormat="1" ht="24.9" customHeight="1">
      <c r="A731" s="540" t="s">
        <v>158</v>
      </c>
      <c r="B731" s="175" t="s">
        <v>91</v>
      </c>
      <c r="C731" s="175">
        <v>176</v>
      </c>
      <c r="D731" s="175" t="s">
        <v>16</v>
      </c>
      <c r="E731" s="175">
        <v>6100404</v>
      </c>
      <c r="F731" s="175">
        <v>244</v>
      </c>
      <c r="G731" s="75">
        <v>0</v>
      </c>
      <c r="H731" s="75">
        <v>0</v>
      </c>
      <c r="I731" s="75">
        <v>0</v>
      </c>
      <c r="J731" s="75">
        <v>0</v>
      </c>
      <c r="K731" s="75">
        <v>0</v>
      </c>
      <c r="L731" s="135">
        <v>1</v>
      </c>
      <c r="M731" s="135"/>
      <c r="N731" s="135"/>
      <c r="O731" s="135">
        <v>1</v>
      </c>
      <c r="P731" s="135"/>
      <c r="Q731" s="135"/>
      <c r="R731" s="135"/>
      <c r="S731" s="135"/>
      <c r="T731" s="135"/>
      <c r="U731" s="135"/>
      <c r="V731" s="135"/>
      <c r="W731" s="135">
        <v>2.2999999999999998</v>
      </c>
      <c r="X731" s="175"/>
      <c r="Y731" s="541" t="s">
        <v>422</v>
      </c>
    </row>
    <row r="732" spans="1:27" ht="24.9" customHeight="1">
      <c r="A732" s="540"/>
      <c r="B732" s="175" t="s">
        <v>299</v>
      </c>
      <c r="C732" s="175"/>
      <c r="D732" s="175"/>
      <c r="E732" s="175"/>
      <c r="F732" s="175"/>
      <c r="G732" s="75"/>
      <c r="H732" s="75"/>
      <c r="I732" s="75"/>
      <c r="J732" s="75"/>
      <c r="K732" s="75"/>
      <c r="L732" s="135">
        <f>29000-12000-2275.4</f>
        <v>14724.6</v>
      </c>
      <c r="M732" s="135"/>
      <c r="N732" s="135"/>
      <c r="O732" s="135">
        <f>17000-2275.4</f>
        <v>14724.6</v>
      </c>
      <c r="P732" s="135"/>
      <c r="Q732" s="135"/>
      <c r="R732" s="135"/>
      <c r="S732" s="135"/>
      <c r="T732" s="135"/>
      <c r="U732" s="135"/>
      <c r="V732" s="135">
        <v>10311.6</v>
      </c>
      <c r="W732" s="135">
        <v>21377.1</v>
      </c>
      <c r="X732" s="175"/>
      <c r="Y732" s="541"/>
    </row>
    <row r="733" spans="1:27" ht="24" customHeight="1">
      <c r="A733" s="539" t="s">
        <v>120</v>
      </c>
      <c r="B733" s="83" t="s">
        <v>91</v>
      </c>
      <c r="C733" s="83"/>
      <c r="D733" s="83"/>
      <c r="E733" s="83"/>
      <c r="F733" s="83"/>
      <c r="G733" s="81">
        <f>G735+G737</f>
        <v>0</v>
      </c>
      <c r="H733" s="81">
        <f t="shared" ref="H733:W734" si="303">H735+H737</f>
        <v>0</v>
      </c>
      <c r="I733" s="81">
        <f t="shared" si="303"/>
        <v>0</v>
      </c>
      <c r="J733" s="81">
        <f t="shared" si="303"/>
        <v>0</v>
      </c>
      <c r="K733" s="81">
        <f t="shared" si="303"/>
        <v>0</v>
      </c>
      <c r="L733" s="134">
        <f t="shared" si="303"/>
        <v>0.38500000000000001</v>
      </c>
      <c r="M733" s="134">
        <f t="shared" si="303"/>
        <v>0.38500000000000001</v>
      </c>
      <c r="N733" s="134">
        <f t="shared" si="303"/>
        <v>0</v>
      </c>
      <c r="O733" s="134">
        <f t="shared" si="303"/>
        <v>0</v>
      </c>
      <c r="P733" s="134">
        <f t="shared" si="303"/>
        <v>0</v>
      </c>
      <c r="Q733" s="134">
        <f t="shared" si="303"/>
        <v>0</v>
      </c>
      <c r="R733" s="134"/>
      <c r="S733" s="134"/>
      <c r="T733" s="134"/>
      <c r="U733" s="134"/>
      <c r="V733" s="134">
        <f t="shared" si="303"/>
        <v>0</v>
      </c>
      <c r="W733" s="134">
        <f t="shared" si="303"/>
        <v>1</v>
      </c>
      <c r="X733" s="175"/>
      <c r="Y733" s="83"/>
    </row>
    <row r="734" spans="1:27" ht="24.6" customHeight="1">
      <c r="A734" s="539"/>
      <c r="B734" s="83" t="s">
        <v>299</v>
      </c>
      <c r="C734" s="83"/>
      <c r="D734" s="83"/>
      <c r="E734" s="83"/>
      <c r="F734" s="83"/>
      <c r="G734" s="81">
        <f>G736+G738</f>
        <v>0</v>
      </c>
      <c r="H734" s="81">
        <f t="shared" si="303"/>
        <v>0</v>
      </c>
      <c r="I734" s="81">
        <f t="shared" si="303"/>
        <v>0</v>
      </c>
      <c r="J734" s="81">
        <f t="shared" si="303"/>
        <v>0</v>
      </c>
      <c r="K734" s="81">
        <f t="shared" si="303"/>
        <v>0</v>
      </c>
      <c r="L734" s="134">
        <f t="shared" si="303"/>
        <v>5497.6</v>
      </c>
      <c r="M734" s="134">
        <f t="shared" si="303"/>
        <v>5497.6</v>
      </c>
      <c r="N734" s="134">
        <f t="shared" si="303"/>
        <v>0</v>
      </c>
      <c r="O734" s="134">
        <f t="shared" si="303"/>
        <v>0</v>
      </c>
      <c r="P734" s="134">
        <f t="shared" si="303"/>
        <v>0</v>
      </c>
      <c r="Q734" s="134">
        <f t="shared" si="303"/>
        <v>0</v>
      </c>
      <c r="R734" s="134"/>
      <c r="S734" s="134"/>
      <c r="T734" s="134"/>
      <c r="U734" s="134"/>
      <c r="V734" s="134">
        <f t="shared" si="303"/>
        <v>0</v>
      </c>
      <c r="W734" s="134">
        <f t="shared" si="303"/>
        <v>20040.400000000001</v>
      </c>
      <c r="X734" s="175"/>
      <c r="Y734" s="83"/>
    </row>
    <row r="735" spans="1:27" ht="25.2" customHeight="1">
      <c r="A735" s="540" t="s">
        <v>159</v>
      </c>
      <c r="B735" s="175" t="s">
        <v>91</v>
      </c>
      <c r="C735" s="175">
        <v>176</v>
      </c>
      <c r="D735" s="175" t="s">
        <v>16</v>
      </c>
      <c r="E735" s="175">
        <v>6100404</v>
      </c>
      <c r="F735" s="175">
        <v>244</v>
      </c>
      <c r="G735" s="75">
        <f>SUM(H735:K735)</f>
        <v>0</v>
      </c>
      <c r="H735" s="75"/>
      <c r="I735" s="75"/>
      <c r="J735" s="75"/>
      <c r="K735" s="75">
        <v>0</v>
      </c>
      <c r="L735" s="135">
        <v>0.38500000000000001</v>
      </c>
      <c r="M735" s="135">
        <v>0.38500000000000001</v>
      </c>
      <c r="N735" s="135"/>
      <c r="O735" s="135"/>
      <c r="P735" s="135"/>
      <c r="Q735" s="135">
        <v>0</v>
      </c>
      <c r="R735" s="135"/>
      <c r="S735" s="135"/>
      <c r="T735" s="135"/>
      <c r="U735" s="135"/>
      <c r="V735" s="135"/>
      <c r="W735" s="135">
        <v>1</v>
      </c>
      <c r="X735" s="175"/>
      <c r="Y735" s="541" t="s">
        <v>423</v>
      </c>
    </row>
    <row r="736" spans="1:27" s="56" customFormat="1" ht="24" customHeight="1">
      <c r="A736" s="540"/>
      <c r="B736" s="175" t="s">
        <v>299</v>
      </c>
      <c r="C736" s="175"/>
      <c r="D736" s="175"/>
      <c r="E736" s="175"/>
      <c r="F736" s="175"/>
      <c r="G736" s="75"/>
      <c r="H736" s="75"/>
      <c r="I736" s="75"/>
      <c r="J736" s="75"/>
      <c r="K736" s="75"/>
      <c r="L736" s="135">
        <v>5497.6</v>
      </c>
      <c r="M736" s="135">
        <v>5497.6</v>
      </c>
      <c r="N736" s="135"/>
      <c r="O736" s="135"/>
      <c r="P736" s="135"/>
      <c r="Q736" s="135"/>
      <c r="R736" s="135"/>
      <c r="S736" s="135"/>
      <c r="T736" s="135"/>
      <c r="U736" s="135"/>
      <c r="V736" s="135"/>
      <c r="W736" s="135">
        <v>20040.400000000001</v>
      </c>
      <c r="X736" s="175"/>
      <c r="Y736" s="541"/>
    </row>
    <row r="737" spans="1:25" ht="1.2" hidden="1" customHeight="1">
      <c r="A737" s="540" t="s">
        <v>167</v>
      </c>
      <c r="B737" s="175" t="s">
        <v>91</v>
      </c>
      <c r="C737" s="175">
        <v>176</v>
      </c>
      <c r="D737" s="175" t="s">
        <v>16</v>
      </c>
      <c r="E737" s="175">
        <v>6100404</v>
      </c>
      <c r="F737" s="175">
        <v>244</v>
      </c>
      <c r="G737" s="75">
        <f>SUM(H737:K737)</f>
        <v>0</v>
      </c>
      <c r="H737" s="75">
        <v>0</v>
      </c>
      <c r="I737" s="75"/>
      <c r="J737" s="75"/>
      <c r="K737" s="75">
        <v>0</v>
      </c>
      <c r="L737" s="135"/>
      <c r="M737" s="135"/>
      <c r="N737" s="135"/>
      <c r="O737" s="135"/>
      <c r="P737" s="135"/>
      <c r="Q737" s="135">
        <v>0</v>
      </c>
      <c r="R737" s="135"/>
      <c r="S737" s="135"/>
      <c r="T737" s="135"/>
      <c r="U737" s="135"/>
      <c r="V737" s="135"/>
      <c r="W737" s="135"/>
      <c r="X737" s="175"/>
      <c r="Y737" s="541" t="s">
        <v>41</v>
      </c>
    </row>
    <row r="738" spans="1:25" s="56" customFormat="1" ht="24.6" hidden="1" customHeight="1">
      <c r="A738" s="540"/>
      <c r="B738" s="175" t="s">
        <v>299</v>
      </c>
      <c r="C738" s="175"/>
      <c r="D738" s="175"/>
      <c r="E738" s="175"/>
      <c r="F738" s="175"/>
      <c r="G738" s="75"/>
      <c r="H738" s="75"/>
      <c r="I738" s="75"/>
      <c r="J738" s="75"/>
      <c r="K738" s="7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75"/>
      <c r="Y738" s="541"/>
    </row>
    <row r="739" spans="1:25" s="56" customFormat="1" ht="1.2" hidden="1" customHeight="1">
      <c r="A739" s="176" t="s">
        <v>100</v>
      </c>
      <c r="B739" s="83"/>
      <c r="C739" s="83"/>
      <c r="D739" s="83"/>
      <c r="E739" s="83"/>
      <c r="F739" s="83"/>
      <c r="G739" s="81">
        <f>G740</f>
        <v>0</v>
      </c>
      <c r="H739" s="81">
        <f t="shared" ref="H739:Q739" si="304">H740</f>
        <v>0</v>
      </c>
      <c r="I739" s="81">
        <f t="shared" si="304"/>
        <v>0</v>
      </c>
      <c r="J739" s="81">
        <f t="shared" si="304"/>
        <v>0</v>
      </c>
      <c r="K739" s="81">
        <f t="shared" si="304"/>
        <v>0</v>
      </c>
      <c r="L739" s="134">
        <f t="shared" si="304"/>
        <v>0</v>
      </c>
      <c r="M739" s="134"/>
      <c r="N739" s="134"/>
      <c r="O739" s="134"/>
      <c r="P739" s="134"/>
      <c r="Q739" s="134">
        <f t="shared" si="304"/>
        <v>0</v>
      </c>
      <c r="R739" s="134"/>
      <c r="S739" s="134"/>
      <c r="T739" s="134"/>
      <c r="U739" s="134"/>
      <c r="V739" s="134"/>
      <c r="W739" s="134"/>
      <c r="X739" s="175"/>
      <c r="Y739" s="83"/>
    </row>
    <row r="740" spans="1:25" ht="24.6" hidden="1" customHeight="1">
      <c r="A740" s="181" t="s">
        <v>160</v>
      </c>
      <c r="B740" s="175" t="s">
        <v>34</v>
      </c>
      <c r="C740" s="175">
        <v>176</v>
      </c>
      <c r="D740" s="175" t="s">
        <v>16</v>
      </c>
      <c r="E740" s="175">
        <v>6100404</v>
      </c>
      <c r="F740" s="175">
        <v>244</v>
      </c>
      <c r="G740" s="75">
        <v>0</v>
      </c>
      <c r="H740" s="75">
        <v>0</v>
      </c>
      <c r="I740" s="75">
        <v>0</v>
      </c>
      <c r="J740" s="75">
        <v>0</v>
      </c>
      <c r="K740" s="75">
        <v>0</v>
      </c>
      <c r="L740" s="135">
        <v>0</v>
      </c>
      <c r="M740" s="135"/>
      <c r="N740" s="135"/>
      <c r="O740" s="135"/>
      <c r="P740" s="135"/>
      <c r="Q740" s="135">
        <v>0</v>
      </c>
      <c r="R740" s="135"/>
      <c r="S740" s="135"/>
      <c r="T740" s="135"/>
      <c r="U740" s="135"/>
      <c r="V740" s="135"/>
      <c r="W740" s="135"/>
      <c r="X740" s="175"/>
      <c r="Y740" s="175"/>
    </row>
    <row r="741" spans="1:25" ht="24.6" customHeight="1">
      <c r="A741" s="503" t="s">
        <v>421</v>
      </c>
      <c r="B741" s="83" t="s">
        <v>91</v>
      </c>
      <c r="C741" s="175"/>
      <c r="D741" s="175"/>
      <c r="E741" s="175"/>
      <c r="F741" s="175"/>
      <c r="G741" s="75"/>
      <c r="H741" s="75"/>
      <c r="I741" s="75"/>
      <c r="J741" s="75"/>
      <c r="K741" s="75"/>
      <c r="L741" s="135"/>
      <c r="M741" s="135"/>
      <c r="N741" s="135"/>
      <c r="O741" s="135"/>
      <c r="P741" s="135"/>
      <c r="Q741" s="135">
        <f>Q743</f>
        <v>0</v>
      </c>
      <c r="R741" s="135"/>
      <c r="S741" s="135"/>
      <c r="T741" s="135"/>
      <c r="U741" s="135"/>
      <c r="V741" s="135">
        <f t="shared" ref="V741:W741" si="305">V743</f>
        <v>0</v>
      </c>
      <c r="W741" s="134">
        <f t="shared" si="305"/>
        <v>1</v>
      </c>
      <c r="X741" s="175"/>
      <c r="Y741" s="175"/>
    </row>
    <row r="742" spans="1:25" ht="24.6" customHeight="1">
      <c r="A742" s="506"/>
      <c r="B742" s="83" t="s">
        <v>299</v>
      </c>
      <c r="C742" s="175"/>
      <c r="D742" s="175"/>
      <c r="E742" s="175"/>
      <c r="F742" s="175"/>
      <c r="G742" s="75"/>
      <c r="H742" s="75"/>
      <c r="I742" s="75"/>
      <c r="J742" s="75"/>
      <c r="K742" s="75"/>
      <c r="L742" s="135"/>
      <c r="M742" s="135"/>
      <c r="N742" s="135"/>
      <c r="O742" s="135"/>
      <c r="P742" s="135"/>
      <c r="Q742" s="135">
        <f>Q744</f>
        <v>0</v>
      </c>
      <c r="R742" s="135"/>
      <c r="S742" s="135"/>
      <c r="T742" s="135"/>
      <c r="U742" s="135"/>
      <c r="V742" s="135">
        <f t="shared" ref="V742:W742" si="306">V744</f>
        <v>0</v>
      </c>
      <c r="W742" s="134">
        <f t="shared" si="306"/>
        <v>21908.3</v>
      </c>
      <c r="X742" s="175"/>
      <c r="Y742" s="175"/>
    </row>
    <row r="743" spans="1:25" ht="24.6" customHeight="1">
      <c r="A743" s="536" t="s">
        <v>314</v>
      </c>
      <c r="B743" s="175" t="s">
        <v>91</v>
      </c>
      <c r="C743" s="175"/>
      <c r="D743" s="175"/>
      <c r="E743" s="175"/>
      <c r="F743" s="175"/>
      <c r="G743" s="75"/>
      <c r="H743" s="75"/>
      <c r="I743" s="75"/>
      <c r="J743" s="75"/>
      <c r="K743" s="7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>
        <v>1</v>
      </c>
      <c r="X743" s="175"/>
      <c r="Y743" s="533" t="s">
        <v>424</v>
      </c>
    </row>
    <row r="744" spans="1:25" ht="31.2" customHeight="1">
      <c r="A744" s="538"/>
      <c r="B744" s="175" t="s">
        <v>299</v>
      </c>
      <c r="C744" s="175"/>
      <c r="D744" s="175"/>
      <c r="E744" s="175"/>
      <c r="F744" s="175"/>
      <c r="G744" s="75"/>
      <c r="H744" s="75"/>
      <c r="I744" s="75"/>
      <c r="J744" s="75"/>
      <c r="K744" s="7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>
        <v>21908.3</v>
      </c>
      <c r="X744" s="175"/>
      <c r="Y744" s="535"/>
    </row>
    <row r="745" spans="1:25" ht="1.2" hidden="1" customHeight="1">
      <c r="A745" s="539" t="s">
        <v>102</v>
      </c>
      <c r="B745" s="83" t="s">
        <v>91</v>
      </c>
      <c r="C745" s="83"/>
      <c r="D745" s="83"/>
      <c r="E745" s="83"/>
      <c r="F745" s="83"/>
      <c r="G745" s="81">
        <f>G747+G749</f>
        <v>0</v>
      </c>
      <c r="H745" s="81">
        <f t="shared" ref="H745:V746" si="307">H747+H749</f>
        <v>0</v>
      </c>
      <c r="I745" s="81">
        <f t="shared" si="307"/>
        <v>0</v>
      </c>
      <c r="J745" s="81">
        <f t="shared" si="307"/>
        <v>0</v>
      </c>
      <c r="K745" s="81">
        <f t="shared" si="307"/>
        <v>0</v>
      </c>
      <c r="L745" s="134">
        <f t="shared" si="307"/>
        <v>0.81</v>
      </c>
      <c r="M745" s="134">
        <f>M747</f>
        <v>0.8</v>
      </c>
      <c r="N745" s="134">
        <f t="shared" si="307"/>
        <v>0</v>
      </c>
      <c r="O745" s="134">
        <f t="shared" si="307"/>
        <v>0</v>
      </c>
      <c r="P745" s="134"/>
      <c r="Q745" s="134">
        <f t="shared" si="307"/>
        <v>0</v>
      </c>
      <c r="R745" s="134"/>
      <c r="S745" s="134"/>
      <c r="T745" s="134"/>
      <c r="U745" s="134"/>
      <c r="V745" s="134">
        <f t="shared" si="307"/>
        <v>0</v>
      </c>
      <c r="W745" s="134"/>
      <c r="X745" s="175"/>
      <c r="Y745" s="83"/>
    </row>
    <row r="746" spans="1:25" ht="24.6" hidden="1" customHeight="1">
      <c r="A746" s="539"/>
      <c r="B746" s="83" t="s">
        <v>299</v>
      </c>
      <c r="C746" s="83"/>
      <c r="D746" s="83"/>
      <c r="E746" s="83"/>
      <c r="F746" s="83"/>
      <c r="G746" s="81">
        <f>G748+G750</f>
        <v>8495.2000000000007</v>
      </c>
      <c r="H746" s="81">
        <f t="shared" si="307"/>
        <v>8495.1</v>
      </c>
      <c r="I746" s="81">
        <f t="shared" si="307"/>
        <v>0.1000000000003638</v>
      </c>
      <c r="J746" s="81">
        <f t="shared" si="307"/>
        <v>0</v>
      </c>
      <c r="K746" s="81">
        <f t="shared" si="307"/>
        <v>0</v>
      </c>
      <c r="L746" s="134">
        <f t="shared" si="307"/>
        <v>7493.9</v>
      </c>
      <c r="M746" s="134">
        <f t="shared" si="307"/>
        <v>7493.9</v>
      </c>
      <c r="N746" s="134">
        <f t="shared" si="307"/>
        <v>0</v>
      </c>
      <c r="O746" s="134">
        <f t="shared" si="307"/>
        <v>0</v>
      </c>
      <c r="P746" s="134">
        <f t="shared" si="307"/>
        <v>0</v>
      </c>
      <c r="Q746" s="134">
        <f t="shared" si="307"/>
        <v>0</v>
      </c>
      <c r="R746" s="134"/>
      <c r="S746" s="134"/>
      <c r="T746" s="134"/>
      <c r="U746" s="134"/>
      <c r="V746" s="134">
        <f t="shared" si="307"/>
        <v>0</v>
      </c>
      <c r="W746" s="134"/>
      <c r="X746" s="175"/>
      <c r="Y746" s="83"/>
    </row>
    <row r="747" spans="1:25" ht="24.6" hidden="1" customHeight="1">
      <c r="A747" s="183" t="s">
        <v>161</v>
      </c>
      <c r="B747" s="175" t="s">
        <v>91</v>
      </c>
      <c r="C747" s="175">
        <v>176</v>
      </c>
      <c r="D747" s="175" t="s">
        <v>16</v>
      </c>
      <c r="E747" s="175">
        <v>6100404</v>
      </c>
      <c r="F747" s="175">
        <v>244</v>
      </c>
      <c r="G747" s="75">
        <v>0</v>
      </c>
      <c r="H747" s="75">
        <v>0</v>
      </c>
      <c r="I747" s="75">
        <v>0</v>
      </c>
      <c r="J747" s="75">
        <v>0</v>
      </c>
      <c r="K747" s="75">
        <v>0</v>
      </c>
      <c r="L747" s="135">
        <v>0.81</v>
      </c>
      <c r="M747" s="135">
        <v>0.8</v>
      </c>
      <c r="N747" s="135"/>
      <c r="O747" s="135"/>
      <c r="P747" s="136"/>
      <c r="Q747" s="135">
        <v>0</v>
      </c>
      <c r="R747" s="135"/>
      <c r="S747" s="135"/>
      <c r="T747" s="135"/>
      <c r="U747" s="135"/>
      <c r="V747" s="135"/>
      <c r="W747" s="135"/>
      <c r="X747" s="175"/>
      <c r="Y747" s="175" t="s">
        <v>308</v>
      </c>
    </row>
    <row r="748" spans="1:25" s="56" customFormat="1" ht="24.6" hidden="1" customHeight="1">
      <c r="A748" s="101"/>
      <c r="B748" s="175" t="s">
        <v>299</v>
      </c>
      <c r="C748" s="175"/>
      <c r="D748" s="175"/>
      <c r="E748" s="175"/>
      <c r="F748" s="175"/>
      <c r="G748" s="75"/>
      <c r="H748" s="75"/>
      <c r="I748" s="75"/>
      <c r="J748" s="75"/>
      <c r="K748" s="75"/>
      <c r="L748" s="135">
        <v>7493.9</v>
      </c>
      <c r="M748" s="135">
        <v>7493.9</v>
      </c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75"/>
      <c r="Y748" s="179"/>
    </row>
    <row r="749" spans="1:25" s="56" customFormat="1" ht="0.6" hidden="1" customHeight="1">
      <c r="A749" s="540" t="s">
        <v>168</v>
      </c>
      <c r="B749" s="175" t="s">
        <v>91</v>
      </c>
      <c r="C749" s="175">
        <v>176</v>
      </c>
      <c r="D749" s="175" t="s">
        <v>16</v>
      </c>
      <c r="E749" s="175">
        <v>6100404</v>
      </c>
      <c r="F749" s="175">
        <v>244</v>
      </c>
      <c r="G749" s="75"/>
      <c r="H749" s="75"/>
      <c r="I749" s="75"/>
      <c r="J749" s="75">
        <v>0</v>
      </c>
      <c r="K749" s="75">
        <f>G749-H749-I749-J749</f>
        <v>0</v>
      </c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75"/>
      <c r="Y749" s="541" t="s">
        <v>257</v>
      </c>
    </row>
    <row r="750" spans="1:25" ht="24.6" hidden="1" customHeight="1">
      <c r="A750" s="540"/>
      <c r="B750" s="175" t="s">
        <v>299</v>
      </c>
      <c r="C750" s="175"/>
      <c r="D750" s="175"/>
      <c r="E750" s="175"/>
      <c r="F750" s="175"/>
      <c r="G750" s="75">
        <v>8495.2000000000007</v>
      </c>
      <c r="H750" s="75">
        <v>8495.1</v>
      </c>
      <c r="I750" s="75">
        <f>G750-H750</f>
        <v>0.1000000000003638</v>
      </c>
      <c r="J750" s="75"/>
      <c r="K750" s="7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75"/>
      <c r="Y750" s="541"/>
    </row>
    <row r="751" spans="1:25" ht="25.95" customHeight="1">
      <c r="A751" s="539" t="s">
        <v>121</v>
      </c>
      <c r="B751" s="83" t="s">
        <v>91</v>
      </c>
      <c r="C751" s="83"/>
      <c r="D751" s="83"/>
      <c r="E751" s="83"/>
      <c r="F751" s="83"/>
      <c r="G751" s="81">
        <f>G753</f>
        <v>0</v>
      </c>
      <c r="H751" s="81">
        <f t="shared" ref="H751:W752" si="308">H753</f>
        <v>0</v>
      </c>
      <c r="I751" s="81">
        <f t="shared" si="308"/>
        <v>0</v>
      </c>
      <c r="J751" s="81">
        <f t="shared" si="308"/>
        <v>0</v>
      </c>
      <c r="K751" s="81">
        <f t="shared" si="308"/>
        <v>0</v>
      </c>
      <c r="L751" s="134">
        <f t="shared" si="308"/>
        <v>0</v>
      </c>
      <c r="M751" s="134"/>
      <c r="N751" s="134"/>
      <c r="O751" s="134"/>
      <c r="P751" s="134"/>
      <c r="Q751" s="134">
        <f t="shared" si="308"/>
        <v>5</v>
      </c>
      <c r="R751" s="134">
        <f t="shared" si="308"/>
        <v>0</v>
      </c>
      <c r="S751" s="134">
        <f t="shared" si="308"/>
        <v>0</v>
      </c>
      <c r="T751" s="134">
        <f t="shared" si="308"/>
        <v>0</v>
      </c>
      <c r="U751" s="134">
        <f t="shared" si="308"/>
        <v>5</v>
      </c>
      <c r="V751" s="158">
        <f t="shared" si="308"/>
        <v>0</v>
      </c>
      <c r="W751" s="134">
        <f t="shared" si="308"/>
        <v>5</v>
      </c>
      <c r="X751" s="175"/>
      <c r="Y751" s="83"/>
    </row>
    <row r="752" spans="1:25" s="56" customFormat="1" ht="30.6" customHeight="1">
      <c r="A752" s="539"/>
      <c r="B752" s="83" t="s">
        <v>299</v>
      </c>
      <c r="C752" s="83"/>
      <c r="D752" s="83"/>
      <c r="E752" s="83"/>
      <c r="F752" s="83"/>
      <c r="G752" s="81">
        <f>G754</f>
        <v>0</v>
      </c>
      <c r="H752" s="81">
        <f t="shared" si="308"/>
        <v>0</v>
      </c>
      <c r="I752" s="81">
        <f t="shared" si="308"/>
        <v>0</v>
      </c>
      <c r="J752" s="81">
        <f t="shared" si="308"/>
        <v>0</v>
      </c>
      <c r="K752" s="81">
        <f t="shared" si="308"/>
        <v>0</v>
      </c>
      <c r="L752" s="134">
        <f t="shared" si="308"/>
        <v>0</v>
      </c>
      <c r="M752" s="134"/>
      <c r="N752" s="134"/>
      <c r="O752" s="134"/>
      <c r="P752" s="134"/>
      <c r="Q752" s="134">
        <f t="shared" si="308"/>
        <v>11627.2</v>
      </c>
      <c r="R752" s="134">
        <f t="shared" si="308"/>
        <v>0</v>
      </c>
      <c r="S752" s="134">
        <f t="shared" si="308"/>
        <v>0</v>
      </c>
      <c r="T752" s="134">
        <f t="shared" si="308"/>
        <v>0</v>
      </c>
      <c r="U752" s="134">
        <f t="shared" si="308"/>
        <v>11627.2</v>
      </c>
      <c r="V752" s="134">
        <f t="shared" si="308"/>
        <v>0</v>
      </c>
      <c r="W752" s="134">
        <f t="shared" si="308"/>
        <v>13310.2</v>
      </c>
      <c r="X752" s="175"/>
      <c r="Y752" s="83"/>
    </row>
    <row r="753" spans="1:25" s="56" customFormat="1" ht="24.6" customHeight="1">
      <c r="A753" s="540" t="s">
        <v>162</v>
      </c>
      <c r="B753" s="175" t="s">
        <v>91</v>
      </c>
      <c r="C753" s="175">
        <v>176</v>
      </c>
      <c r="D753" s="175" t="s">
        <v>16</v>
      </c>
      <c r="E753" s="175">
        <v>6100404</v>
      </c>
      <c r="F753" s="175">
        <v>244</v>
      </c>
      <c r="G753" s="75">
        <v>0</v>
      </c>
      <c r="H753" s="75">
        <v>0</v>
      </c>
      <c r="I753" s="75">
        <v>0</v>
      </c>
      <c r="J753" s="75">
        <v>0</v>
      </c>
      <c r="K753" s="75">
        <v>0</v>
      </c>
      <c r="L753" s="135"/>
      <c r="M753" s="135"/>
      <c r="N753" s="135"/>
      <c r="O753" s="135"/>
      <c r="P753" s="135"/>
      <c r="Q753" s="135">
        <v>5</v>
      </c>
      <c r="R753" s="135"/>
      <c r="S753" s="135"/>
      <c r="T753" s="135"/>
      <c r="U753" s="135">
        <v>5</v>
      </c>
      <c r="V753" s="157"/>
      <c r="W753" s="135">
        <v>5</v>
      </c>
      <c r="X753" s="175"/>
      <c r="Y753" s="541" t="s">
        <v>315</v>
      </c>
    </row>
    <row r="754" spans="1:25" ht="26.4" customHeight="1">
      <c r="A754" s="540"/>
      <c r="B754" s="175" t="s">
        <v>299</v>
      </c>
      <c r="C754" s="175"/>
      <c r="D754" s="175"/>
      <c r="E754" s="175"/>
      <c r="F754" s="175"/>
      <c r="G754" s="75"/>
      <c r="H754" s="75"/>
      <c r="I754" s="75"/>
      <c r="J754" s="75"/>
      <c r="K754" s="75"/>
      <c r="L754" s="135"/>
      <c r="M754" s="135"/>
      <c r="N754" s="135"/>
      <c r="O754" s="135"/>
      <c r="P754" s="135"/>
      <c r="Q754" s="135">
        <f>U754</f>
        <v>11627.2</v>
      </c>
      <c r="R754" s="135"/>
      <c r="S754" s="135"/>
      <c r="T754" s="135"/>
      <c r="U754" s="135">
        <f>12000-372.8</f>
        <v>11627.2</v>
      </c>
      <c r="V754" s="135"/>
      <c r="W754" s="135">
        <v>13310.2</v>
      </c>
      <c r="X754" s="175"/>
      <c r="Y754" s="541"/>
    </row>
    <row r="755" spans="1:25" ht="24.6" customHeight="1">
      <c r="A755" s="539" t="s">
        <v>164</v>
      </c>
      <c r="B755" s="83" t="s">
        <v>91</v>
      </c>
      <c r="C755" s="83"/>
      <c r="D755" s="83"/>
      <c r="E755" s="83"/>
      <c r="F755" s="83"/>
      <c r="G755" s="81">
        <f>G757+G759+G761+G763+G765</f>
        <v>4.95</v>
      </c>
      <c r="H755" s="81">
        <f t="shared" ref="H755:W756" si="309">H757+H759+H761+H763+H765</f>
        <v>0</v>
      </c>
      <c r="I755" s="81">
        <f t="shared" si="309"/>
        <v>0</v>
      </c>
      <c r="J755" s="81">
        <f t="shared" si="309"/>
        <v>0</v>
      </c>
      <c r="K755" s="81">
        <f t="shared" si="309"/>
        <v>4.95</v>
      </c>
      <c r="L755" s="158">
        <f t="shared" si="309"/>
        <v>4.3999999999999997E-2</v>
      </c>
      <c r="M755" s="158">
        <f t="shared" si="309"/>
        <v>4.3999999999999997E-2</v>
      </c>
      <c r="N755" s="134"/>
      <c r="O755" s="134"/>
      <c r="P755" s="134"/>
      <c r="Q755" s="134">
        <f t="shared" si="309"/>
        <v>0</v>
      </c>
      <c r="R755" s="134"/>
      <c r="S755" s="134"/>
      <c r="T755" s="134"/>
      <c r="U755" s="134"/>
      <c r="V755" s="134">
        <f t="shared" si="309"/>
        <v>0</v>
      </c>
      <c r="W755" s="134">
        <f t="shared" si="309"/>
        <v>0</v>
      </c>
      <c r="X755" s="175"/>
      <c r="Y755" s="83"/>
    </row>
    <row r="756" spans="1:25" ht="30" customHeight="1">
      <c r="A756" s="539"/>
      <c r="B756" s="83" t="s">
        <v>299</v>
      </c>
      <c r="C756" s="83"/>
      <c r="D756" s="83"/>
      <c r="E756" s="83"/>
      <c r="F756" s="83"/>
      <c r="G756" s="81">
        <f>G758+G760+G762+G764+G766</f>
        <v>55695.199999999997</v>
      </c>
      <c r="H756" s="81">
        <f t="shared" si="309"/>
        <v>0</v>
      </c>
      <c r="I756" s="81">
        <f t="shared" si="309"/>
        <v>681.5</v>
      </c>
      <c r="J756" s="81">
        <f t="shared" si="309"/>
        <v>10000</v>
      </c>
      <c r="K756" s="81">
        <f t="shared" si="309"/>
        <v>45013.7</v>
      </c>
      <c r="L756" s="134">
        <f t="shared" si="309"/>
        <v>25081.3</v>
      </c>
      <c r="M756" s="134">
        <f t="shared" si="309"/>
        <v>25081.3</v>
      </c>
      <c r="N756" s="134">
        <f t="shared" si="309"/>
        <v>0</v>
      </c>
      <c r="O756" s="134">
        <f t="shared" si="309"/>
        <v>0</v>
      </c>
      <c r="P756" s="134">
        <f t="shared" si="309"/>
        <v>0</v>
      </c>
      <c r="Q756" s="134">
        <f t="shared" si="309"/>
        <v>5797.9</v>
      </c>
      <c r="R756" s="134">
        <f t="shared" si="309"/>
        <v>0</v>
      </c>
      <c r="S756" s="134">
        <f t="shared" si="309"/>
        <v>0</v>
      </c>
      <c r="T756" s="134">
        <f t="shared" si="309"/>
        <v>5797.9</v>
      </c>
      <c r="U756" s="134">
        <f t="shared" si="309"/>
        <v>0</v>
      </c>
      <c r="V756" s="134">
        <f t="shared" si="309"/>
        <v>0</v>
      </c>
      <c r="W756" s="134">
        <f t="shared" si="309"/>
        <v>0</v>
      </c>
      <c r="X756" s="175"/>
      <c r="Y756" s="83"/>
    </row>
    <row r="757" spans="1:25" ht="24.6" hidden="1" customHeight="1">
      <c r="A757" s="540" t="s">
        <v>163</v>
      </c>
      <c r="B757" s="175" t="s">
        <v>91</v>
      </c>
      <c r="C757" s="175">
        <v>176</v>
      </c>
      <c r="D757" s="175" t="s">
        <v>16</v>
      </c>
      <c r="E757" s="175">
        <v>6100404</v>
      </c>
      <c r="F757" s="175">
        <v>244</v>
      </c>
      <c r="G757" s="75">
        <f>SUM(H757:K757)</f>
        <v>0.45</v>
      </c>
      <c r="H757" s="75">
        <v>0</v>
      </c>
      <c r="I757" s="75">
        <v>0</v>
      </c>
      <c r="J757" s="75">
        <v>0</v>
      </c>
      <c r="K757" s="75">
        <v>0.45</v>
      </c>
      <c r="L757" s="135"/>
      <c r="M757" s="135"/>
      <c r="N757" s="135"/>
      <c r="O757" s="135"/>
      <c r="P757" s="135"/>
      <c r="Q757" s="135">
        <v>0</v>
      </c>
      <c r="R757" s="135"/>
      <c r="S757" s="135"/>
      <c r="T757" s="135"/>
      <c r="U757" s="135"/>
      <c r="V757" s="135"/>
      <c r="W757" s="135"/>
      <c r="X757" s="175"/>
      <c r="Y757" s="541" t="s">
        <v>277</v>
      </c>
    </row>
    <row r="758" spans="1:25" ht="24" hidden="1" customHeight="1">
      <c r="A758" s="540"/>
      <c r="B758" s="175" t="s">
        <v>299</v>
      </c>
      <c r="C758" s="175"/>
      <c r="D758" s="175"/>
      <c r="E758" s="175"/>
      <c r="F758" s="175"/>
      <c r="G758" s="75">
        <f t="shared" ref="G758:G764" si="310">SUM(H758:K758)</f>
        <v>2295.1</v>
      </c>
      <c r="H758" s="75"/>
      <c r="I758" s="75"/>
      <c r="J758" s="75"/>
      <c r="K758" s="75">
        <v>2295.1</v>
      </c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75"/>
      <c r="Y758" s="541"/>
    </row>
    <row r="759" spans="1:25" ht="24.6" hidden="1" customHeight="1">
      <c r="A759" s="540" t="s">
        <v>166</v>
      </c>
      <c r="B759" s="175" t="s">
        <v>91</v>
      </c>
      <c r="C759" s="175">
        <v>176</v>
      </c>
      <c r="D759" s="175" t="s">
        <v>16</v>
      </c>
      <c r="E759" s="175">
        <v>6100404</v>
      </c>
      <c r="F759" s="175">
        <v>244</v>
      </c>
      <c r="G759" s="75">
        <f t="shared" si="310"/>
        <v>4.5</v>
      </c>
      <c r="H759" s="75">
        <v>0</v>
      </c>
      <c r="I759" s="75"/>
      <c r="J759" s="75"/>
      <c r="K759" s="75">
        <v>4.5</v>
      </c>
      <c r="L759" s="135">
        <v>0</v>
      </c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75"/>
      <c r="Y759" s="541" t="s">
        <v>310</v>
      </c>
    </row>
    <row r="760" spans="1:25" ht="24.6" hidden="1" customHeight="1">
      <c r="A760" s="540"/>
      <c r="B760" s="175" t="s">
        <v>299</v>
      </c>
      <c r="C760" s="175"/>
      <c r="D760" s="175"/>
      <c r="E760" s="175"/>
      <c r="F760" s="175"/>
      <c r="G760" s="75">
        <f t="shared" si="310"/>
        <v>53400.1</v>
      </c>
      <c r="H760" s="75"/>
      <c r="I760" s="75">
        <v>681.5</v>
      </c>
      <c r="J760" s="75">
        <v>10000</v>
      </c>
      <c r="K760" s="75">
        <v>42718.6</v>
      </c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75"/>
      <c r="Y760" s="541"/>
    </row>
    <row r="761" spans="1:25" ht="0.6" customHeight="1">
      <c r="A761" s="540" t="s">
        <v>128</v>
      </c>
      <c r="B761" s="175" t="s">
        <v>91</v>
      </c>
      <c r="C761" s="175">
        <v>176</v>
      </c>
      <c r="D761" s="175" t="s">
        <v>16</v>
      </c>
      <c r="E761" s="175">
        <v>6100404</v>
      </c>
      <c r="F761" s="175">
        <v>243</v>
      </c>
      <c r="G761" s="75">
        <f t="shared" si="310"/>
        <v>0</v>
      </c>
      <c r="H761" s="75">
        <v>0</v>
      </c>
      <c r="I761" s="75">
        <v>0</v>
      </c>
      <c r="J761" s="75">
        <v>0</v>
      </c>
      <c r="K761" s="75"/>
      <c r="L761" s="157">
        <v>4.3999999999999997E-2</v>
      </c>
      <c r="M761" s="157">
        <v>4.3999999999999997E-2</v>
      </c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75"/>
      <c r="Y761" s="541" t="s">
        <v>309</v>
      </c>
    </row>
    <row r="762" spans="1:25" ht="25.2" hidden="1" customHeight="1">
      <c r="A762" s="540"/>
      <c r="B762" s="175" t="s">
        <v>299</v>
      </c>
      <c r="C762" s="175"/>
      <c r="D762" s="175"/>
      <c r="E762" s="175"/>
      <c r="F762" s="175"/>
      <c r="G762" s="75">
        <f t="shared" si="310"/>
        <v>0</v>
      </c>
      <c r="H762" s="75"/>
      <c r="I762" s="75"/>
      <c r="J762" s="75"/>
      <c r="K762" s="75"/>
      <c r="L762" s="135">
        <f>SUM(M762:P762)</f>
        <v>20452</v>
      </c>
      <c r="M762" s="135">
        <v>20452</v>
      </c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75"/>
      <c r="Y762" s="541"/>
    </row>
    <row r="763" spans="1:25" ht="25.2" customHeight="1">
      <c r="A763" s="540" t="s">
        <v>176</v>
      </c>
      <c r="B763" s="175" t="s">
        <v>91</v>
      </c>
      <c r="C763" s="175"/>
      <c r="D763" s="175"/>
      <c r="E763" s="175"/>
      <c r="F763" s="175"/>
      <c r="G763" s="75">
        <f t="shared" si="310"/>
        <v>0</v>
      </c>
      <c r="H763" s="75"/>
      <c r="I763" s="75"/>
      <c r="J763" s="75"/>
      <c r="K763" s="7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75"/>
      <c r="Y763" s="541" t="s">
        <v>367</v>
      </c>
    </row>
    <row r="764" spans="1:25" s="56" customFormat="1" ht="24.9" customHeight="1">
      <c r="A764" s="540"/>
      <c r="B764" s="175" t="s">
        <v>299</v>
      </c>
      <c r="C764" s="175"/>
      <c r="D764" s="175"/>
      <c r="E764" s="175"/>
      <c r="F764" s="175"/>
      <c r="G764" s="75">
        <f t="shared" si="310"/>
        <v>0</v>
      </c>
      <c r="H764" s="75"/>
      <c r="I764" s="75"/>
      <c r="J764" s="75"/>
      <c r="K764" s="75"/>
      <c r="L764" s="135">
        <v>4629.3</v>
      </c>
      <c r="M764" s="135">
        <v>4629.3</v>
      </c>
      <c r="N764" s="135"/>
      <c r="O764" s="135"/>
      <c r="P764" s="135"/>
      <c r="Q764" s="135">
        <f>T764</f>
        <v>5797.9</v>
      </c>
      <c r="R764" s="135"/>
      <c r="S764" s="135"/>
      <c r="T764" s="135">
        <f>8635-2837.1</f>
        <v>5797.9</v>
      </c>
      <c r="U764" s="135"/>
      <c r="V764" s="135"/>
      <c r="W764" s="135"/>
      <c r="X764" s="175"/>
      <c r="Y764" s="541"/>
    </row>
    <row r="765" spans="1:25" s="56" customFormat="1" ht="24.9" hidden="1" customHeight="1">
      <c r="A765" s="558" t="s">
        <v>311</v>
      </c>
      <c r="B765" s="175" t="s">
        <v>91</v>
      </c>
      <c r="C765" s="175"/>
      <c r="D765" s="175"/>
      <c r="E765" s="175"/>
      <c r="F765" s="175"/>
      <c r="G765" s="75"/>
      <c r="H765" s="75"/>
      <c r="I765" s="75"/>
      <c r="J765" s="75"/>
      <c r="K765" s="7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75"/>
      <c r="Y765" s="541"/>
    </row>
    <row r="766" spans="1:25" ht="24.9" hidden="1" customHeight="1">
      <c r="A766" s="559"/>
      <c r="B766" s="175" t="s">
        <v>299</v>
      </c>
      <c r="C766" s="175"/>
      <c r="D766" s="175"/>
      <c r="E766" s="175"/>
      <c r="F766" s="175"/>
      <c r="G766" s="75"/>
      <c r="H766" s="75"/>
      <c r="I766" s="75"/>
      <c r="J766" s="75"/>
      <c r="K766" s="7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>
        <f>18250-18250</f>
        <v>0</v>
      </c>
      <c r="W766" s="135"/>
      <c r="X766" s="175"/>
      <c r="Y766" s="541"/>
    </row>
    <row r="767" spans="1:25" ht="24.6" customHeight="1">
      <c r="A767" s="539" t="s">
        <v>124</v>
      </c>
      <c r="B767" s="83" t="s">
        <v>91</v>
      </c>
      <c r="C767" s="83"/>
      <c r="D767" s="83"/>
      <c r="E767" s="83"/>
      <c r="F767" s="83"/>
      <c r="G767" s="81">
        <f>G769</f>
        <v>0</v>
      </c>
      <c r="H767" s="81">
        <f t="shared" ref="H767:W768" si="311">H769</f>
        <v>0</v>
      </c>
      <c r="I767" s="81">
        <f t="shared" si="311"/>
        <v>0</v>
      </c>
      <c r="J767" s="81">
        <f t="shared" si="311"/>
        <v>0</v>
      </c>
      <c r="K767" s="81">
        <f t="shared" si="311"/>
        <v>0</v>
      </c>
      <c r="L767" s="134">
        <f t="shared" si="311"/>
        <v>6</v>
      </c>
      <c r="M767" s="134">
        <f t="shared" si="311"/>
        <v>6</v>
      </c>
      <c r="N767" s="134">
        <f t="shared" si="311"/>
        <v>0</v>
      </c>
      <c r="O767" s="134">
        <f t="shared" si="311"/>
        <v>0</v>
      </c>
      <c r="P767" s="134">
        <f t="shared" si="311"/>
        <v>0</v>
      </c>
      <c r="Q767" s="134">
        <f t="shared" si="311"/>
        <v>5</v>
      </c>
      <c r="R767" s="134">
        <f t="shared" si="311"/>
        <v>0</v>
      </c>
      <c r="S767" s="134">
        <f t="shared" si="311"/>
        <v>0</v>
      </c>
      <c r="T767" s="134">
        <f t="shared" si="311"/>
        <v>5</v>
      </c>
      <c r="U767" s="134"/>
      <c r="V767" s="134">
        <f t="shared" si="311"/>
        <v>0</v>
      </c>
      <c r="W767" s="134">
        <f t="shared" si="311"/>
        <v>5</v>
      </c>
      <c r="X767" s="175"/>
      <c r="Y767" s="83"/>
    </row>
    <row r="768" spans="1:25" s="56" customFormat="1" ht="24.6" customHeight="1">
      <c r="A768" s="539"/>
      <c r="B768" s="83" t="s">
        <v>299</v>
      </c>
      <c r="C768" s="83"/>
      <c r="D768" s="83"/>
      <c r="E768" s="83"/>
      <c r="F768" s="83"/>
      <c r="G768" s="81">
        <f>G770</f>
        <v>0</v>
      </c>
      <c r="H768" s="81">
        <f t="shared" si="311"/>
        <v>0</v>
      </c>
      <c r="I768" s="81">
        <f t="shared" si="311"/>
        <v>0</v>
      </c>
      <c r="J768" s="81">
        <f t="shared" si="311"/>
        <v>0</v>
      </c>
      <c r="K768" s="81">
        <f t="shared" si="311"/>
        <v>0</v>
      </c>
      <c r="L768" s="134">
        <f t="shared" si="311"/>
        <v>12473.5</v>
      </c>
      <c r="M768" s="134">
        <f t="shared" si="311"/>
        <v>12473.5</v>
      </c>
      <c r="N768" s="134">
        <f t="shared" si="311"/>
        <v>0</v>
      </c>
      <c r="O768" s="134">
        <f t="shared" si="311"/>
        <v>0</v>
      </c>
      <c r="P768" s="134">
        <f t="shared" si="311"/>
        <v>0</v>
      </c>
      <c r="Q768" s="134">
        <f t="shared" si="311"/>
        <v>11367.5</v>
      </c>
      <c r="R768" s="134">
        <f t="shared" si="311"/>
        <v>0</v>
      </c>
      <c r="S768" s="134">
        <f t="shared" si="311"/>
        <v>0</v>
      </c>
      <c r="T768" s="134">
        <f t="shared" si="311"/>
        <v>11367.5</v>
      </c>
      <c r="U768" s="134"/>
      <c r="V768" s="134">
        <f t="shared" si="311"/>
        <v>0</v>
      </c>
      <c r="W768" s="134">
        <f t="shared" si="311"/>
        <v>12773.3</v>
      </c>
      <c r="X768" s="175"/>
      <c r="Y768" s="83"/>
    </row>
    <row r="769" spans="1:25" s="56" customFormat="1" ht="24.6" customHeight="1">
      <c r="A769" s="540" t="s">
        <v>165</v>
      </c>
      <c r="B769" s="175" t="s">
        <v>91</v>
      </c>
      <c r="C769" s="175">
        <v>176</v>
      </c>
      <c r="D769" s="175" t="s">
        <v>16</v>
      </c>
      <c r="E769" s="175">
        <v>6100404</v>
      </c>
      <c r="F769" s="175">
        <v>244</v>
      </c>
      <c r="G769" s="75">
        <v>0</v>
      </c>
      <c r="H769" s="75">
        <v>0</v>
      </c>
      <c r="I769" s="75">
        <v>0</v>
      </c>
      <c r="J769" s="75">
        <v>0</v>
      </c>
      <c r="K769" s="75">
        <v>0</v>
      </c>
      <c r="L769" s="135">
        <v>6</v>
      </c>
      <c r="M769" s="135">
        <v>6</v>
      </c>
      <c r="N769" s="135"/>
      <c r="O769" s="135"/>
      <c r="P769" s="135"/>
      <c r="Q769" s="135">
        <v>5</v>
      </c>
      <c r="R769" s="135"/>
      <c r="S769" s="135"/>
      <c r="T769" s="135">
        <v>5</v>
      </c>
      <c r="U769" s="135"/>
      <c r="V769" s="135"/>
      <c r="W769" s="135">
        <v>5</v>
      </c>
      <c r="X769" s="175"/>
      <c r="Y769" s="541" t="s">
        <v>425</v>
      </c>
    </row>
    <row r="770" spans="1:25" ht="24.6" customHeight="1">
      <c r="A770" s="540"/>
      <c r="B770" s="175" t="s">
        <v>299</v>
      </c>
      <c r="C770" s="175"/>
      <c r="D770" s="175"/>
      <c r="E770" s="175"/>
      <c r="F770" s="175"/>
      <c r="G770" s="75"/>
      <c r="H770" s="75"/>
      <c r="I770" s="75"/>
      <c r="J770" s="75"/>
      <c r="K770" s="75"/>
      <c r="L770" s="135">
        <v>12473.5</v>
      </c>
      <c r="M770" s="135">
        <v>12473.5</v>
      </c>
      <c r="N770" s="135"/>
      <c r="O770" s="135"/>
      <c r="P770" s="135"/>
      <c r="Q770" s="135">
        <f>T770</f>
        <v>11367.5</v>
      </c>
      <c r="R770" s="135"/>
      <c r="S770" s="135"/>
      <c r="T770" s="135">
        <f>11730.6-363.1</f>
        <v>11367.5</v>
      </c>
      <c r="U770" s="135"/>
      <c r="V770" s="135"/>
      <c r="W770" s="135">
        <v>12773.3</v>
      </c>
      <c r="X770" s="175"/>
      <c r="Y770" s="541"/>
    </row>
    <row r="771" spans="1:25" ht="22.2" customHeight="1">
      <c r="A771" s="539" t="s">
        <v>129</v>
      </c>
      <c r="B771" s="83" t="s">
        <v>91</v>
      </c>
      <c r="C771" s="83"/>
      <c r="D771" s="83"/>
      <c r="E771" s="83"/>
      <c r="F771" s="83"/>
      <c r="G771" s="81">
        <f>G773+G775</f>
        <v>0</v>
      </c>
      <c r="H771" s="81">
        <f t="shared" ref="H771:W772" si="312">H773+H775</f>
        <v>0</v>
      </c>
      <c r="I771" s="81">
        <f t="shared" si="312"/>
        <v>0</v>
      </c>
      <c r="J771" s="81">
        <f t="shared" si="312"/>
        <v>0</v>
      </c>
      <c r="K771" s="81">
        <f t="shared" si="312"/>
        <v>4</v>
      </c>
      <c r="L771" s="134">
        <f t="shared" si="312"/>
        <v>0</v>
      </c>
      <c r="M771" s="134">
        <f t="shared" si="312"/>
        <v>0</v>
      </c>
      <c r="N771" s="134">
        <f t="shared" si="312"/>
        <v>0</v>
      </c>
      <c r="O771" s="134">
        <f t="shared" si="312"/>
        <v>0</v>
      </c>
      <c r="P771" s="134">
        <f t="shared" si="312"/>
        <v>0</v>
      </c>
      <c r="Q771" s="134">
        <f t="shared" si="312"/>
        <v>0</v>
      </c>
      <c r="R771" s="134"/>
      <c r="S771" s="134"/>
      <c r="T771" s="134"/>
      <c r="U771" s="134"/>
      <c r="V771" s="134">
        <f t="shared" si="312"/>
        <v>1.95</v>
      </c>
      <c r="W771" s="134">
        <f t="shared" si="312"/>
        <v>0</v>
      </c>
      <c r="X771" s="175"/>
      <c r="Y771" s="83"/>
    </row>
    <row r="772" spans="1:25" ht="27.6" customHeight="1">
      <c r="A772" s="539"/>
      <c r="B772" s="83" t="s">
        <v>299</v>
      </c>
      <c r="C772" s="83"/>
      <c r="D772" s="83"/>
      <c r="E772" s="83"/>
      <c r="F772" s="83"/>
      <c r="G772" s="81">
        <f>G774+G776</f>
        <v>20300</v>
      </c>
      <c r="H772" s="81">
        <f t="shared" si="312"/>
        <v>0</v>
      </c>
      <c r="I772" s="81">
        <f t="shared" si="312"/>
        <v>0</v>
      </c>
      <c r="J772" s="81">
        <f t="shared" si="312"/>
        <v>0</v>
      </c>
      <c r="K772" s="81">
        <f t="shared" si="312"/>
        <v>20300</v>
      </c>
      <c r="L772" s="134">
        <f t="shared" si="312"/>
        <v>0</v>
      </c>
      <c r="M772" s="134">
        <f t="shared" si="312"/>
        <v>0</v>
      </c>
      <c r="N772" s="134">
        <f t="shared" si="312"/>
        <v>0</v>
      </c>
      <c r="O772" s="134">
        <f t="shared" si="312"/>
        <v>0</v>
      </c>
      <c r="P772" s="134">
        <f t="shared" si="312"/>
        <v>0</v>
      </c>
      <c r="Q772" s="134">
        <f t="shared" si="312"/>
        <v>0</v>
      </c>
      <c r="R772" s="134"/>
      <c r="S772" s="134"/>
      <c r="T772" s="134"/>
      <c r="U772" s="134"/>
      <c r="V772" s="134">
        <f t="shared" si="312"/>
        <v>30000</v>
      </c>
      <c r="W772" s="134">
        <f t="shared" si="312"/>
        <v>46302.6</v>
      </c>
      <c r="X772" s="175"/>
      <c r="Y772" s="83"/>
    </row>
    <row r="773" spans="1:25" ht="24.6" customHeight="1">
      <c r="A773" s="540" t="s">
        <v>169</v>
      </c>
      <c r="B773" s="175" t="s">
        <v>91</v>
      </c>
      <c r="C773" s="175">
        <v>176</v>
      </c>
      <c r="D773" s="175" t="s">
        <v>16</v>
      </c>
      <c r="E773" s="175">
        <v>6100404</v>
      </c>
      <c r="F773" s="175">
        <v>244</v>
      </c>
      <c r="G773" s="75"/>
      <c r="H773" s="75">
        <v>0</v>
      </c>
      <c r="I773" s="75"/>
      <c r="J773" s="75"/>
      <c r="K773" s="75">
        <v>4</v>
      </c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>
        <v>1.95</v>
      </c>
      <c r="W773" s="135"/>
      <c r="X773" s="175"/>
      <c r="Y773" s="541" t="s">
        <v>426</v>
      </c>
    </row>
    <row r="774" spans="1:25" s="56" customFormat="1" ht="24" customHeight="1">
      <c r="A774" s="540"/>
      <c r="B774" s="175" t="s">
        <v>299</v>
      </c>
      <c r="C774" s="175"/>
      <c r="D774" s="175"/>
      <c r="E774" s="175"/>
      <c r="F774" s="175"/>
      <c r="G774" s="75">
        <f>SUM(H774:K774)</f>
        <v>20300</v>
      </c>
      <c r="H774" s="75"/>
      <c r="I774" s="75"/>
      <c r="J774" s="75"/>
      <c r="K774" s="75">
        <v>20300</v>
      </c>
      <c r="L774" s="135"/>
      <c r="M774" s="136"/>
      <c r="N774" s="135"/>
      <c r="O774" s="135"/>
      <c r="P774" s="135">
        <f>12832.6-12832.6</f>
        <v>0</v>
      </c>
      <c r="Q774" s="135">
        <f>19000-19000</f>
        <v>0</v>
      </c>
      <c r="R774" s="135"/>
      <c r="S774" s="135"/>
      <c r="T774" s="135"/>
      <c r="U774" s="135"/>
      <c r="V774" s="135">
        <v>30000</v>
      </c>
      <c r="W774" s="135">
        <v>46302.6</v>
      </c>
      <c r="X774" s="175"/>
      <c r="Y774" s="541"/>
    </row>
    <row r="775" spans="1:25" s="56" customFormat="1" ht="24.6" hidden="1" customHeight="1">
      <c r="A775" s="540" t="s">
        <v>170</v>
      </c>
      <c r="B775" s="175" t="s">
        <v>91</v>
      </c>
      <c r="C775" s="175">
        <v>176</v>
      </c>
      <c r="D775" s="175" t="s">
        <v>16</v>
      </c>
      <c r="E775" s="175">
        <v>6100404</v>
      </c>
      <c r="F775" s="175">
        <v>244</v>
      </c>
      <c r="G775" s="75">
        <v>0</v>
      </c>
      <c r="H775" s="75">
        <v>0</v>
      </c>
      <c r="I775" s="75">
        <v>0</v>
      </c>
      <c r="J775" s="75">
        <v>0</v>
      </c>
      <c r="K775" s="75">
        <v>0</v>
      </c>
      <c r="L775" s="135">
        <v>0</v>
      </c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75"/>
      <c r="Y775" s="175" t="s">
        <v>41</v>
      </c>
    </row>
    <row r="776" spans="1:25" ht="24.6" hidden="1" customHeight="1">
      <c r="A776" s="540"/>
      <c r="B776" s="175" t="s">
        <v>299</v>
      </c>
      <c r="C776" s="175"/>
      <c r="D776" s="175"/>
      <c r="E776" s="175"/>
      <c r="F776" s="175"/>
      <c r="G776" s="75"/>
      <c r="H776" s="75"/>
      <c r="I776" s="75"/>
      <c r="J776" s="75"/>
      <c r="K776" s="7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75"/>
      <c r="Y776" s="175"/>
    </row>
    <row r="777" spans="1:25" ht="24.9" customHeight="1">
      <c r="A777" s="503" t="s">
        <v>127</v>
      </c>
      <c r="B777" s="83" t="s">
        <v>91</v>
      </c>
      <c r="C777" s="83"/>
      <c r="D777" s="83"/>
      <c r="E777" s="83"/>
      <c r="F777" s="83"/>
      <c r="G777" s="81">
        <f>G781</f>
        <v>0</v>
      </c>
      <c r="H777" s="81">
        <f t="shared" ref="H777:W777" si="313">H781</f>
        <v>0</v>
      </c>
      <c r="I777" s="81">
        <f t="shared" si="313"/>
        <v>0</v>
      </c>
      <c r="J777" s="81">
        <f t="shared" si="313"/>
        <v>0</v>
      </c>
      <c r="K777" s="81">
        <f t="shared" si="313"/>
        <v>0</v>
      </c>
      <c r="L777" s="134">
        <f t="shared" si="313"/>
        <v>0</v>
      </c>
      <c r="M777" s="134"/>
      <c r="N777" s="134"/>
      <c r="O777" s="134"/>
      <c r="P777" s="134"/>
      <c r="Q777" s="134">
        <f t="shared" si="313"/>
        <v>11.6</v>
      </c>
      <c r="R777" s="134">
        <f t="shared" si="313"/>
        <v>0</v>
      </c>
      <c r="S777" s="134">
        <f t="shared" si="313"/>
        <v>0</v>
      </c>
      <c r="T777" s="134">
        <f t="shared" si="313"/>
        <v>11.6</v>
      </c>
      <c r="U777" s="134"/>
      <c r="V777" s="134">
        <f t="shared" si="313"/>
        <v>6</v>
      </c>
      <c r="W777" s="134">
        <f t="shared" si="313"/>
        <v>0</v>
      </c>
      <c r="X777" s="175"/>
      <c r="Y777" s="83"/>
    </row>
    <row r="778" spans="1:25" s="56" customFormat="1" ht="24.9" customHeight="1">
      <c r="A778" s="504"/>
      <c r="B778" s="83" t="s">
        <v>459</v>
      </c>
      <c r="C778" s="83"/>
      <c r="D778" s="83"/>
      <c r="E778" s="83"/>
      <c r="F778" s="83"/>
      <c r="G778" s="81">
        <f t="shared" ref="G778:L778" si="314">G784</f>
        <v>0</v>
      </c>
      <c r="H778" s="81">
        <f t="shared" si="314"/>
        <v>0</v>
      </c>
      <c r="I778" s="81">
        <f t="shared" si="314"/>
        <v>0</v>
      </c>
      <c r="J778" s="81">
        <f t="shared" si="314"/>
        <v>0</v>
      </c>
      <c r="K778" s="81">
        <f t="shared" si="314"/>
        <v>0</v>
      </c>
      <c r="L778" s="134">
        <f t="shared" si="314"/>
        <v>0</v>
      </c>
      <c r="M778" s="134"/>
      <c r="N778" s="134"/>
      <c r="O778" s="134"/>
      <c r="P778" s="134"/>
      <c r="Q778" s="134">
        <f>Q779+Q780</f>
        <v>22244.7</v>
      </c>
      <c r="R778" s="134">
        <f t="shared" ref="R778:T778" si="315">R779+R780</f>
        <v>0</v>
      </c>
      <c r="S778" s="134">
        <f t="shared" si="315"/>
        <v>0</v>
      </c>
      <c r="T778" s="134">
        <f t="shared" si="315"/>
        <v>22244.7</v>
      </c>
      <c r="U778" s="134"/>
      <c r="V778" s="134">
        <f>V779+V780</f>
        <v>22589.200000000001</v>
      </c>
      <c r="W778" s="134">
        <f>W784</f>
        <v>0</v>
      </c>
      <c r="X778" s="175"/>
      <c r="Y778" s="83"/>
    </row>
    <row r="779" spans="1:25" s="56" customFormat="1" ht="24.9" customHeight="1">
      <c r="A779" s="504"/>
      <c r="B779" s="83" t="s">
        <v>467</v>
      </c>
      <c r="C779" s="83"/>
      <c r="D779" s="83"/>
      <c r="E779" s="83"/>
      <c r="F779" s="83"/>
      <c r="G779" s="81"/>
      <c r="H779" s="81"/>
      <c r="I779" s="81"/>
      <c r="J779" s="81"/>
      <c r="K779" s="81"/>
      <c r="L779" s="134"/>
      <c r="M779" s="134"/>
      <c r="N779" s="134"/>
      <c r="O779" s="134"/>
      <c r="P779" s="134"/>
      <c r="Q779" s="134">
        <f>Q783</f>
        <v>16244.7</v>
      </c>
      <c r="R779" s="134">
        <f t="shared" ref="R779:T779" si="316">R783</f>
        <v>0</v>
      </c>
      <c r="S779" s="134">
        <f t="shared" si="316"/>
        <v>0</v>
      </c>
      <c r="T779" s="134">
        <f t="shared" si="316"/>
        <v>16244.7</v>
      </c>
      <c r="U779" s="134"/>
      <c r="V779" s="134">
        <f>V783</f>
        <v>12589.2</v>
      </c>
      <c r="W779" s="134"/>
      <c r="X779" s="175"/>
      <c r="Y779" s="83"/>
    </row>
    <row r="780" spans="1:25" s="56" customFormat="1" ht="24.9" customHeight="1">
      <c r="A780" s="506"/>
      <c r="B780" s="83" t="s">
        <v>478</v>
      </c>
      <c r="C780" s="83"/>
      <c r="D780" s="83"/>
      <c r="E780" s="83"/>
      <c r="F780" s="83"/>
      <c r="G780" s="81"/>
      <c r="H780" s="81"/>
      <c r="I780" s="81"/>
      <c r="J780" s="81"/>
      <c r="K780" s="81"/>
      <c r="L780" s="134"/>
      <c r="M780" s="134"/>
      <c r="N780" s="134"/>
      <c r="O780" s="134"/>
      <c r="P780" s="134"/>
      <c r="Q780" s="134">
        <f>Q784</f>
        <v>6000</v>
      </c>
      <c r="R780" s="134">
        <f t="shared" ref="R780:T780" si="317">R784</f>
        <v>0</v>
      </c>
      <c r="S780" s="134">
        <f t="shared" si="317"/>
        <v>0</v>
      </c>
      <c r="T780" s="134">
        <f t="shared" si="317"/>
        <v>6000</v>
      </c>
      <c r="U780" s="134"/>
      <c r="V780" s="134">
        <f>V784</f>
        <v>10000</v>
      </c>
      <c r="W780" s="134"/>
      <c r="X780" s="175"/>
      <c r="Y780" s="83"/>
    </row>
    <row r="781" spans="1:25" s="56" customFormat="1" ht="24.9" customHeight="1">
      <c r="A781" s="197" t="s">
        <v>350</v>
      </c>
      <c r="B781" s="175" t="s">
        <v>91</v>
      </c>
      <c r="C781" s="175">
        <v>176</v>
      </c>
      <c r="D781" s="175" t="s">
        <v>16</v>
      </c>
      <c r="E781" s="175">
        <v>6100404</v>
      </c>
      <c r="F781" s="175">
        <v>244</v>
      </c>
      <c r="G781" s="75">
        <v>0</v>
      </c>
      <c r="H781" s="75">
        <v>0</v>
      </c>
      <c r="I781" s="75">
        <v>0</v>
      </c>
      <c r="J781" s="75">
        <v>0</v>
      </c>
      <c r="K781" s="75">
        <v>0</v>
      </c>
      <c r="L781" s="135">
        <v>0</v>
      </c>
      <c r="M781" s="135"/>
      <c r="N781" s="135"/>
      <c r="O781" s="135"/>
      <c r="P781" s="135"/>
      <c r="Q781" s="135">
        <v>11.6</v>
      </c>
      <c r="R781" s="135"/>
      <c r="S781" s="135"/>
      <c r="T781" s="135">
        <v>11.6</v>
      </c>
      <c r="U781" s="135"/>
      <c r="V781" s="135">
        <v>6</v>
      </c>
      <c r="W781" s="135"/>
      <c r="X781" s="175"/>
      <c r="Y781" s="541" t="s">
        <v>636</v>
      </c>
    </row>
    <row r="782" spans="1:25" s="56" customFormat="1" ht="24.9" customHeight="1">
      <c r="A782" s="198"/>
      <c r="B782" s="175" t="s">
        <v>459</v>
      </c>
      <c r="C782" s="175"/>
      <c r="D782" s="175"/>
      <c r="E782" s="175"/>
      <c r="F782" s="175"/>
      <c r="G782" s="75"/>
      <c r="H782" s="75"/>
      <c r="I782" s="75"/>
      <c r="J782" s="75"/>
      <c r="K782" s="75"/>
      <c r="L782" s="135"/>
      <c r="M782" s="135"/>
      <c r="N782" s="135"/>
      <c r="O782" s="135"/>
      <c r="P782" s="135"/>
      <c r="Q782" s="157">
        <f>Q783+Q784</f>
        <v>22244.7</v>
      </c>
      <c r="R782" s="157"/>
      <c r="S782" s="157"/>
      <c r="T782" s="157">
        <f>T783+T784</f>
        <v>22244.7</v>
      </c>
      <c r="U782" s="157"/>
      <c r="V782" s="157">
        <f>V783+V784</f>
        <v>22589.200000000001</v>
      </c>
      <c r="W782" s="135"/>
      <c r="X782" s="175"/>
      <c r="Y782" s="541"/>
    </row>
    <row r="783" spans="1:25" s="56" customFormat="1" ht="24.9" customHeight="1">
      <c r="A783" s="198"/>
      <c r="B783" s="175" t="s">
        <v>467</v>
      </c>
      <c r="C783" s="175"/>
      <c r="D783" s="175"/>
      <c r="E783" s="175"/>
      <c r="F783" s="175"/>
      <c r="G783" s="75"/>
      <c r="H783" s="75"/>
      <c r="I783" s="75"/>
      <c r="J783" s="75"/>
      <c r="K783" s="75"/>
      <c r="L783" s="135"/>
      <c r="M783" s="135"/>
      <c r="N783" s="135"/>
      <c r="O783" s="135"/>
      <c r="P783" s="135"/>
      <c r="Q783" s="157">
        <f>T783</f>
        <v>16244.7</v>
      </c>
      <c r="R783" s="157"/>
      <c r="S783" s="157"/>
      <c r="T783" s="157">
        <f>17390-169.5-975.8</f>
        <v>16244.7</v>
      </c>
      <c r="U783" s="157"/>
      <c r="V783" s="157">
        <v>12589.2</v>
      </c>
      <c r="W783" s="135"/>
      <c r="X783" s="175"/>
      <c r="Y783" s="541"/>
    </row>
    <row r="784" spans="1:25" ht="24.9" customHeight="1">
      <c r="A784" s="199"/>
      <c r="B784" s="175" t="s">
        <v>477</v>
      </c>
      <c r="C784" s="175"/>
      <c r="D784" s="175"/>
      <c r="E784" s="175"/>
      <c r="F784" s="175"/>
      <c r="G784" s="75"/>
      <c r="H784" s="75"/>
      <c r="I784" s="75"/>
      <c r="J784" s="75"/>
      <c r="K784" s="75"/>
      <c r="L784" s="135"/>
      <c r="M784" s="135"/>
      <c r="N784" s="135"/>
      <c r="O784" s="135"/>
      <c r="P784" s="135"/>
      <c r="Q784" s="135">
        <v>6000</v>
      </c>
      <c r="R784" s="135"/>
      <c r="S784" s="135"/>
      <c r="T784" s="135">
        <v>6000</v>
      </c>
      <c r="U784" s="135"/>
      <c r="V784" s="135">
        <v>10000</v>
      </c>
      <c r="W784" s="135"/>
      <c r="X784" s="175"/>
      <c r="Y784" s="541"/>
    </row>
    <row r="785" spans="1:25" ht="24.9" customHeight="1">
      <c r="A785" s="539" t="s">
        <v>104</v>
      </c>
      <c r="B785" s="83" t="s">
        <v>91</v>
      </c>
      <c r="C785" s="83"/>
      <c r="D785" s="83"/>
      <c r="E785" s="83"/>
      <c r="F785" s="83"/>
      <c r="G785" s="81">
        <f>G787</f>
        <v>0</v>
      </c>
      <c r="H785" s="81">
        <f t="shared" ref="H785:W786" si="318">H787</f>
        <v>0</v>
      </c>
      <c r="I785" s="81">
        <f t="shared" si="318"/>
        <v>0</v>
      </c>
      <c r="J785" s="81">
        <f t="shared" si="318"/>
        <v>0</v>
      </c>
      <c r="K785" s="81">
        <f t="shared" si="318"/>
        <v>0</v>
      </c>
      <c r="L785" s="134">
        <f t="shared" si="318"/>
        <v>0</v>
      </c>
      <c r="M785" s="134"/>
      <c r="N785" s="134"/>
      <c r="O785" s="134"/>
      <c r="P785" s="134"/>
      <c r="Q785" s="134">
        <f t="shared" si="318"/>
        <v>0</v>
      </c>
      <c r="R785" s="134"/>
      <c r="S785" s="134"/>
      <c r="T785" s="134"/>
      <c r="U785" s="134"/>
      <c r="V785" s="134">
        <f t="shared" si="318"/>
        <v>0</v>
      </c>
      <c r="W785" s="134">
        <f t="shared" si="318"/>
        <v>4.7</v>
      </c>
      <c r="X785" s="175"/>
      <c r="Y785" s="83"/>
    </row>
    <row r="786" spans="1:25" s="56" customFormat="1" ht="24.9" customHeight="1">
      <c r="A786" s="539"/>
      <c r="B786" s="83" t="s">
        <v>299</v>
      </c>
      <c r="C786" s="83"/>
      <c r="D786" s="83"/>
      <c r="E786" s="83"/>
      <c r="F786" s="83"/>
      <c r="G786" s="81">
        <f>G788</f>
        <v>0</v>
      </c>
      <c r="H786" s="81">
        <f t="shared" si="318"/>
        <v>0</v>
      </c>
      <c r="I786" s="81">
        <f t="shared" si="318"/>
        <v>0</v>
      </c>
      <c r="J786" s="81">
        <f t="shared" si="318"/>
        <v>0</v>
      </c>
      <c r="K786" s="81">
        <f t="shared" si="318"/>
        <v>0</v>
      </c>
      <c r="L786" s="134">
        <f t="shared" si="318"/>
        <v>0</v>
      </c>
      <c r="M786" s="134"/>
      <c r="N786" s="134"/>
      <c r="O786" s="134"/>
      <c r="P786" s="134"/>
      <c r="Q786" s="134">
        <f t="shared" si="318"/>
        <v>0</v>
      </c>
      <c r="R786" s="134"/>
      <c r="S786" s="134"/>
      <c r="T786" s="134"/>
      <c r="U786" s="134"/>
      <c r="V786" s="134">
        <f t="shared" si="318"/>
        <v>0</v>
      </c>
      <c r="W786" s="134">
        <f t="shared" si="318"/>
        <v>7000</v>
      </c>
      <c r="X786" s="175"/>
      <c r="Y786" s="83"/>
    </row>
    <row r="787" spans="1:25" s="56" customFormat="1" ht="24.9" customHeight="1">
      <c r="A787" s="540" t="s">
        <v>637</v>
      </c>
      <c r="B787" s="175" t="s">
        <v>91</v>
      </c>
      <c r="C787" s="175">
        <v>176</v>
      </c>
      <c r="D787" s="175" t="s">
        <v>16</v>
      </c>
      <c r="E787" s="175">
        <v>6100404</v>
      </c>
      <c r="F787" s="175">
        <v>244</v>
      </c>
      <c r="G787" s="75">
        <v>0</v>
      </c>
      <c r="H787" s="75">
        <v>0</v>
      </c>
      <c r="I787" s="75">
        <v>0</v>
      </c>
      <c r="J787" s="75">
        <v>0</v>
      </c>
      <c r="K787" s="75">
        <v>0</v>
      </c>
      <c r="L787" s="135"/>
      <c r="M787" s="135"/>
      <c r="N787" s="135"/>
      <c r="O787" s="135"/>
      <c r="P787" s="135"/>
      <c r="Q787" s="135">
        <v>0</v>
      </c>
      <c r="R787" s="135"/>
      <c r="S787" s="135"/>
      <c r="T787" s="135"/>
      <c r="U787" s="135"/>
      <c r="V787" s="135"/>
      <c r="W787" s="135">
        <v>4.7</v>
      </c>
      <c r="X787" s="175"/>
      <c r="Y787" s="541" t="s">
        <v>638</v>
      </c>
    </row>
    <row r="788" spans="1:25" ht="24.9" customHeight="1">
      <c r="A788" s="540"/>
      <c r="B788" s="175" t="s">
        <v>299</v>
      </c>
      <c r="C788" s="175"/>
      <c r="D788" s="175"/>
      <c r="E788" s="175"/>
      <c r="F788" s="175"/>
      <c r="G788" s="75"/>
      <c r="H788" s="75"/>
      <c r="I788" s="75"/>
      <c r="J788" s="75"/>
      <c r="K788" s="7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>
        <v>7000</v>
      </c>
      <c r="X788" s="175"/>
      <c r="Y788" s="541"/>
    </row>
    <row r="789" spans="1:25" ht="24.6" hidden="1" customHeight="1">
      <c r="A789" s="539" t="s">
        <v>172</v>
      </c>
      <c r="B789" s="83" t="s">
        <v>91</v>
      </c>
      <c r="C789" s="83"/>
      <c r="D789" s="83"/>
      <c r="E789" s="83"/>
      <c r="F789" s="83"/>
      <c r="G789" s="81">
        <f>G791+G793</f>
        <v>0</v>
      </c>
      <c r="H789" s="81">
        <f t="shared" ref="H789:W790" si="319">H791+H793</f>
        <v>0</v>
      </c>
      <c r="I789" s="81">
        <f t="shared" si="319"/>
        <v>0</v>
      </c>
      <c r="J789" s="81">
        <f t="shared" si="319"/>
        <v>0</v>
      </c>
      <c r="K789" s="81">
        <f t="shared" si="319"/>
        <v>1.2</v>
      </c>
      <c r="L789" s="134">
        <f t="shared" si="319"/>
        <v>9.1</v>
      </c>
      <c r="M789" s="134">
        <f t="shared" si="319"/>
        <v>9.1</v>
      </c>
      <c r="N789" s="134">
        <f t="shared" si="319"/>
        <v>0</v>
      </c>
      <c r="O789" s="134">
        <f t="shared" si="319"/>
        <v>0</v>
      </c>
      <c r="P789" s="134">
        <f t="shared" si="319"/>
        <v>0</v>
      </c>
      <c r="Q789" s="134">
        <f t="shared" si="319"/>
        <v>0</v>
      </c>
      <c r="R789" s="134"/>
      <c r="S789" s="134"/>
      <c r="T789" s="134"/>
      <c r="U789" s="134"/>
      <c r="V789" s="134">
        <f t="shared" si="319"/>
        <v>0</v>
      </c>
      <c r="W789" s="134">
        <f t="shared" si="319"/>
        <v>0</v>
      </c>
      <c r="X789" s="175"/>
      <c r="Y789" s="83"/>
    </row>
    <row r="790" spans="1:25" ht="24.6" hidden="1" customHeight="1">
      <c r="A790" s="539"/>
      <c r="B790" s="83" t="s">
        <v>299</v>
      </c>
      <c r="C790" s="83"/>
      <c r="D790" s="83"/>
      <c r="E790" s="83"/>
      <c r="F790" s="83"/>
      <c r="G790" s="81">
        <f>G792+G794</f>
        <v>11123.6</v>
      </c>
      <c r="H790" s="81">
        <f t="shared" si="319"/>
        <v>0</v>
      </c>
      <c r="I790" s="81">
        <f t="shared" si="319"/>
        <v>6999</v>
      </c>
      <c r="J790" s="81">
        <f t="shared" si="319"/>
        <v>4124.6000000000004</v>
      </c>
      <c r="K790" s="81">
        <f t="shared" si="319"/>
        <v>0</v>
      </c>
      <c r="L790" s="134">
        <f t="shared" si="319"/>
        <v>19735.5</v>
      </c>
      <c r="M790" s="134">
        <f t="shared" si="319"/>
        <v>19735.5</v>
      </c>
      <c r="N790" s="134">
        <f t="shared" si="319"/>
        <v>0</v>
      </c>
      <c r="O790" s="134">
        <f t="shared" si="319"/>
        <v>0</v>
      </c>
      <c r="P790" s="134">
        <f t="shared" si="319"/>
        <v>0</v>
      </c>
      <c r="Q790" s="134">
        <f t="shared" si="319"/>
        <v>0</v>
      </c>
      <c r="R790" s="134"/>
      <c r="S790" s="134"/>
      <c r="T790" s="134"/>
      <c r="U790" s="134"/>
      <c r="V790" s="134">
        <f t="shared" si="319"/>
        <v>0</v>
      </c>
      <c r="W790" s="134">
        <f t="shared" si="319"/>
        <v>0</v>
      </c>
      <c r="X790" s="175"/>
      <c r="Y790" s="83"/>
    </row>
    <row r="791" spans="1:25" ht="0.6" hidden="1" customHeight="1">
      <c r="A791" s="540" t="s">
        <v>171</v>
      </c>
      <c r="B791" s="175" t="s">
        <v>91</v>
      </c>
      <c r="C791" s="175">
        <v>176</v>
      </c>
      <c r="D791" s="175" t="s">
        <v>16</v>
      </c>
      <c r="E791" s="175">
        <v>6100404</v>
      </c>
      <c r="F791" s="175">
        <v>244</v>
      </c>
      <c r="G791" s="75"/>
      <c r="H791" s="75"/>
      <c r="I791" s="75"/>
      <c r="J791" s="75"/>
      <c r="K791" s="75">
        <v>1.2</v>
      </c>
      <c r="L791" s="135">
        <v>9.1</v>
      </c>
      <c r="M791" s="135">
        <v>9.1</v>
      </c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75"/>
      <c r="Y791" s="541" t="s">
        <v>427</v>
      </c>
    </row>
    <row r="792" spans="1:25" s="56" customFormat="1" ht="24.6" hidden="1" customHeight="1">
      <c r="A792" s="540"/>
      <c r="B792" s="175" t="s">
        <v>299</v>
      </c>
      <c r="C792" s="175"/>
      <c r="D792" s="175"/>
      <c r="E792" s="175"/>
      <c r="F792" s="175"/>
      <c r="G792" s="75">
        <f>SUM(H792:K792)</f>
        <v>11123.6</v>
      </c>
      <c r="H792" s="75">
        <v>0</v>
      </c>
      <c r="I792" s="75">
        <v>6999</v>
      </c>
      <c r="J792" s="75">
        <f>5979.5-1876.4+21.5</f>
        <v>4124.6000000000004</v>
      </c>
      <c r="K792" s="75"/>
      <c r="L792" s="135">
        <v>19735.5</v>
      </c>
      <c r="M792" s="135">
        <v>19735.5</v>
      </c>
      <c r="N792" s="135"/>
      <c r="O792" s="135"/>
      <c r="P792" s="135">
        <f>296.1-296.1</f>
        <v>0</v>
      </c>
      <c r="Q792" s="135">
        <f>6000-6000</f>
        <v>0</v>
      </c>
      <c r="R792" s="135"/>
      <c r="S792" s="135"/>
      <c r="T792" s="135"/>
      <c r="U792" s="135"/>
      <c r="V792" s="135"/>
      <c r="W792" s="135"/>
      <c r="X792" s="175"/>
      <c r="Y792" s="541"/>
    </row>
    <row r="793" spans="1:25" s="56" customFormat="1" ht="24.6" hidden="1" customHeight="1">
      <c r="A793" s="536" t="s">
        <v>312</v>
      </c>
      <c r="B793" s="175" t="s">
        <v>91</v>
      </c>
      <c r="C793" s="175"/>
      <c r="D793" s="175"/>
      <c r="E793" s="175"/>
      <c r="F793" s="175"/>
      <c r="G793" s="75"/>
      <c r="H793" s="75"/>
      <c r="I793" s="75"/>
      <c r="J793" s="75"/>
      <c r="K793" s="7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75"/>
      <c r="Y793" s="541" t="s">
        <v>428</v>
      </c>
    </row>
    <row r="794" spans="1:25" ht="24.6" hidden="1" customHeight="1">
      <c r="A794" s="538"/>
      <c r="B794" s="175" t="s">
        <v>299</v>
      </c>
      <c r="C794" s="175"/>
      <c r="D794" s="175"/>
      <c r="E794" s="175"/>
      <c r="F794" s="175"/>
      <c r="G794" s="75"/>
      <c r="H794" s="75"/>
      <c r="I794" s="75"/>
      <c r="J794" s="75"/>
      <c r="K794" s="7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75"/>
      <c r="Y794" s="541"/>
    </row>
    <row r="795" spans="1:25" ht="24.9" customHeight="1">
      <c r="A795" s="539" t="s">
        <v>130</v>
      </c>
      <c r="B795" s="83" t="s">
        <v>91</v>
      </c>
      <c r="C795" s="83"/>
      <c r="D795" s="83"/>
      <c r="E795" s="83"/>
      <c r="F795" s="83"/>
      <c r="G795" s="81">
        <f>G797+G799</f>
        <v>0</v>
      </c>
      <c r="H795" s="81">
        <f t="shared" ref="H795:W796" si="320">H797+H799</f>
        <v>0</v>
      </c>
      <c r="I795" s="81">
        <f t="shared" si="320"/>
        <v>0</v>
      </c>
      <c r="J795" s="81">
        <f t="shared" si="320"/>
        <v>0</v>
      </c>
      <c r="K795" s="81">
        <f t="shared" si="320"/>
        <v>0</v>
      </c>
      <c r="L795" s="134">
        <f t="shared" si="320"/>
        <v>12.145</v>
      </c>
      <c r="M795" s="134">
        <f t="shared" si="320"/>
        <v>12.1</v>
      </c>
      <c r="N795" s="134">
        <f t="shared" si="320"/>
        <v>0</v>
      </c>
      <c r="O795" s="134">
        <f t="shared" si="320"/>
        <v>0</v>
      </c>
      <c r="P795" s="134">
        <f t="shared" si="320"/>
        <v>0</v>
      </c>
      <c r="Q795" s="134">
        <f t="shared" si="320"/>
        <v>12.8</v>
      </c>
      <c r="R795" s="134">
        <f t="shared" si="320"/>
        <v>0</v>
      </c>
      <c r="S795" s="134">
        <f t="shared" si="320"/>
        <v>0</v>
      </c>
      <c r="T795" s="134">
        <f t="shared" si="320"/>
        <v>12.8</v>
      </c>
      <c r="U795" s="134"/>
      <c r="V795" s="134">
        <f t="shared" si="320"/>
        <v>0</v>
      </c>
      <c r="W795" s="134">
        <f t="shared" si="320"/>
        <v>0</v>
      </c>
      <c r="X795" s="175"/>
      <c r="Y795" s="83"/>
    </row>
    <row r="796" spans="1:25" ht="24.9" customHeight="1">
      <c r="A796" s="539"/>
      <c r="B796" s="83" t="s">
        <v>299</v>
      </c>
      <c r="C796" s="83"/>
      <c r="D796" s="83"/>
      <c r="E796" s="83"/>
      <c r="F796" s="83"/>
      <c r="G796" s="81">
        <f>G798+G800</f>
        <v>0</v>
      </c>
      <c r="H796" s="81">
        <f t="shared" si="320"/>
        <v>0</v>
      </c>
      <c r="I796" s="81">
        <f t="shared" si="320"/>
        <v>0</v>
      </c>
      <c r="J796" s="81">
        <f t="shared" si="320"/>
        <v>0</v>
      </c>
      <c r="K796" s="81">
        <f t="shared" si="320"/>
        <v>0</v>
      </c>
      <c r="L796" s="134">
        <f t="shared" si="320"/>
        <v>60644.4</v>
      </c>
      <c r="M796" s="134">
        <f t="shared" si="320"/>
        <v>60644.4</v>
      </c>
      <c r="N796" s="134">
        <f t="shared" si="320"/>
        <v>0</v>
      </c>
      <c r="O796" s="134">
        <f t="shared" si="320"/>
        <v>0</v>
      </c>
      <c r="P796" s="134">
        <f t="shared" si="320"/>
        <v>0</v>
      </c>
      <c r="Q796" s="134">
        <f t="shared" si="320"/>
        <v>24537.7</v>
      </c>
      <c r="R796" s="134">
        <f t="shared" si="320"/>
        <v>0</v>
      </c>
      <c r="S796" s="134">
        <f t="shared" si="320"/>
        <v>0</v>
      </c>
      <c r="T796" s="134">
        <f t="shared" si="320"/>
        <v>24537.7</v>
      </c>
      <c r="U796" s="134"/>
      <c r="V796" s="134">
        <f t="shared" si="320"/>
        <v>0</v>
      </c>
      <c r="W796" s="134">
        <f t="shared" si="320"/>
        <v>0</v>
      </c>
      <c r="X796" s="175"/>
      <c r="Y796" s="83"/>
    </row>
    <row r="797" spans="1:25" ht="24.9" customHeight="1">
      <c r="A797" s="540" t="s">
        <v>165</v>
      </c>
      <c r="B797" s="175" t="s">
        <v>91</v>
      </c>
      <c r="C797" s="175">
        <v>176</v>
      </c>
      <c r="D797" s="175" t="s">
        <v>16</v>
      </c>
      <c r="E797" s="175">
        <v>6100404</v>
      </c>
      <c r="F797" s="175">
        <v>244</v>
      </c>
      <c r="G797" s="75">
        <v>0</v>
      </c>
      <c r="H797" s="75">
        <v>0</v>
      </c>
      <c r="I797" s="75">
        <v>0</v>
      </c>
      <c r="J797" s="75">
        <v>0</v>
      </c>
      <c r="K797" s="75">
        <f>G797-H797-I797-J797</f>
        <v>0</v>
      </c>
      <c r="L797" s="135">
        <v>8.6</v>
      </c>
      <c r="M797" s="135">
        <v>8.6</v>
      </c>
      <c r="N797" s="135"/>
      <c r="O797" s="135"/>
      <c r="P797" s="135"/>
      <c r="Q797" s="135">
        <v>12.8</v>
      </c>
      <c r="R797" s="135"/>
      <c r="S797" s="135"/>
      <c r="T797" s="135">
        <v>12.8</v>
      </c>
      <c r="U797" s="135"/>
      <c r="V797" s="135">
        <v>0</v>
      </c>
      <c r="W797" s="135"/>
      <c r="X797" s="175"/>
      <c r="Y797" s="541" t="s">
        <v>635</v>
      </c>
    </row>
    <row r="798" spans="1:25" s="56" customFormat="1" ht="24" customHeight="1">
      <c r="A798" s="540"/>
      <c r="B798" s="175" t="s">
        <v>299</v>
      </c>
      <c r="C798" s="175"/>
      <c r="D798" s="175"/>
      <c r="E798" s="175"/>
      <c r="F798" s="175"/>
      <c r="G798" s="75"/>
      <c r="H798" s="75"/>
      <c r="I798" s="75"/>
      <c r="J798" s="75"/>
      <c r="K798" s="75"/>
      <c r="L798" s="135">
        <v>18907.599999999999</v>
      </c>
      <c r="M798" s="135">
        <v>18907.599999999999</v>
      </c>
      <c r="N798" s="135"/>
      <c r="O798" s="135"/>
      <c r="P798" s="135">
        <f>1124.7-1124.7</f>
        <v>0</v>
      </c>
      <c r="Q798" s="135">
        <f>T798</f>
        <v>24537.7</v>
      </c>
      <c r="R798" s="135"/>
      <c r="S798" s="135"/>
      <c r="T798" s="135">
        <f>24611.4-73.7</f>
        <v>24537.7</v>
      </c>
      <c r="U798" s="135"/>
      <c r="V798" s="135">
        <v>0</v>
      </c>
      <c r="W798" s="135"/>
      <c r="X798" s="175"/>
      <c r="Y798" s="541"/>
    </row>
    <row r="799" spans="1:25" s="56" customFormat="1" ht="1.2" hidden="1" customHeight="1">
      <c r="A799" s="540" t="s">
        <v>206</v>
      </c>
      <c r="B799" s="175" t="s">
        <v>91</v>
      </c>
      <c r="C799" s="175">
        <v>176</v>
      </c>
      <c r="D799" s="175" t="s">
        <v>16</v>
      </c>
      <c r="E799" s="175">
        <v>6100404</v>
      </c>
      <c r="F799" s="175">
        <v>244</v>
      </c>
      <c r="G799" s="75">
        <v>0</v>
      </c>
      <c r="H799" s="75">
        <v>0</v>
      </c>
      <c r="I799" s="75">
        <v>0</v>
      </c>
      <c r="J799" s="75">
        <f>G799</f>
        <v>0</v>
      </c>
      <c r="K799" s="75">
        <f>G799-H799-I799-J799</f>
        <v>0</v>
      </c>
      <c r="L799" s="135">
        <v>3.5449999999999999</v>
      </c>
      <c r="M799" s="135">
        <v>3.5</v>
      </c>
      <c r="N799" s="135"/>
      <c r="O799" s="135"/>
      <c r="P799" s="135"/>
      <c r="Q799" s="135">
        <v>0</v>
      </c>
      <c r="R799" s="135"/>
      <c r="S799" s="135"/>
      <c r="T799" s="135"/>
      <c r="U799" s="135"/>
      <c r="V799" s="135"/>
      <c r="W799" s="135"/>
      <c r="X799" s="175"/>
      <c r="Y799" s="541" t="s">
        <v>318</v>
      </c>
    </row>
    <row r="800" spans="1:25" ht="24.6" hidden="1" customHeight="1">
      <c r="A800" s="540"/>
      <c r="B800" s="175" t="s">
        <v>299</v>
      </c>
      <c r="C800" s="175"/>
      <c r="D800" s="175"/>
      <c r="E800" s="175"/>
      <c r="F800" s="175"/>
      <c r="G800" s="75"/>
      <c r="H800" s="75"/>
      <c r="I800" s="75"/>
      <c r="J800" s="75"/>
      <c r="K800" s="75"/>
      <c r="L800" s="135">
        <v>41736.800000000003</v>
      </c>
      <c r="M800" s="135">
        <v>41736.800000000003</v>
      </c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75"/>
      <c r="Y800" s="541"/>
    </row>
    <row r="801" spans="1:25" ht="0.6" customHeight="1">
      <c r="A801" s="539" t="s">
        <v>132</v>
      </c>
      <c r="B801" s="83" t="s">
        <v>91</v>
      </c>
      <c r="C801" s="83"/>
      <c r="D801" s="83"/>
      <c r="E801" s="83"/>
      <c r="F801" s="83"/>
      <c r="G801" s="81">
        <f>G803</f>
        <v>1.6930000000000001</v>
      </c>
      <c r="H801" s="81">
        <f t="shared" ref="H801:W802" si="321">H803</f>
        <v>0</v>
      </c>
      <c r="I801" s="81">
        <f t="shared" si="321"/>
        <v>0</v>
      </c>
      <c r="J801" s="81">
        <f t="shared" si="321"/>
        <v>0</v>
      </c>
      <c r="K801" s="81">
        <f t="shared" si="321"/>
        <v>1.6930000000000001</v>
      </c>
      <c r="L801" s="134">
        <f t="shared" si="321"/>
        <v>0</v>
      </c>
      <c r="M801" s="134"/>
      <c r="N801" s="134"/>
      <c r="O801" s="134"/>
      <c r="P801" s="134"/>
      <c r="Q801" s="134">
        <f t="shared" si="321"/>
        <v>0</v>
      </c>
      <c r="R801" s="134"/>
      <c r="S801" s="134"/>
      <c r="T801" s="134"/>
      <c r="U801" s="134"/>
      <c r="V801" s="134">
        <f t="shared" si="321"/>
        <v>0</v>
      </c>
      <c r="W801" s="134">
        <f t="shared" si="321"/>
        <v>0</v>
      </c>
      <c r="X801" s="175"/>
      <c r="Y801" s="83"/>
    </row>
    <row r="802" spans="1:25" s="56" customFormat="1" ht="25.95" hidden="1" customHeight="1">
      <c r="A802" s="539"/>
      <c r="B802" s="83" t="s">
        <v>299</v>
      </c>
      <c r="C802" s="83"/>
      <c r="D802" s="83"/>
      <c r="E802" s="83"/>
      <c r="F802" s="83"/>
      <c r="G802" s="81">
        <f>G804</f>
        <v>20000</v>
      </c>
      <c r="H802" s="81">
        <f t="shared" si="321"/>
        <v>0</v>
      </c>
      <c r="I802" s="81">
        <f t="shared" si="321"/>
        <v>0</v>
      </c>
      <c r="J802" s="81">
        <f t="shared" si="321"/>
        <v>5000</v>
      </c>
      <c r="K802" s="81">
        <f t="shared" si="321"/>
        <v>15000</v>
      </c>
      <c r="L802" s="134">
        <f t="shared" si="321"/>
        <v>0</v>
      </c>
      <c r="M802" s="134"/>
      <c r="N802" s="134"/>
      <c r="O802" s="134"/>
      <c r="P802" s="134"/>
      <c r="Q802" s="134">
        <f t="shared" si="321"/>
        <v>0</v>
      </c>
      <c r="R802" s="134"/>
      <c r="S802" s="134"/>
      <c r="T802" s="134"/>
      <c r="U802" s="134"/>
      <c r="V802" s="134">
        <f t="shared" si="321"/>
        <v>0</v>
      </c>
      <c r="W802" s="134">
        <f t="shared" si="321"/>
        <v>0</v>
      </c>
      <c r="X802" s="175"/>
      <c r="Y802" s="83"/>
    </row>
    <row r="803" spans="1:25" ht="21" hidden="1" customHeight="1">
      <c r="A803" s="540" t="s">
        <v>173</v>
      </c>
      <c r="B803" s="175" t="s">
        <v>91</v>
      </c>
      <c r="C803" s="175">
        <v>176</v>
      </c>
      <c r="D803" s="175" t="s">
        <v>16</v>
      </c>
      <c r="E803" s="175">
        <v>6100404</v>
      </c>
      <c r="F803" s="175">
        <v>244</v>
      </c>
      <c r="G803" s="75">
        <f>SUM(H803:K803)</f>
        <v>1.6930000000000001</v>
      </c>
      <c r="H803" s="75">
        <v>0</v>
      </c>
      <c r="I803" s="75"/>
      <c r="J803" s="75"/>
      <c r="K803" s="75">
        <v>1.6930000000000001</v>
      </c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75"/>
      <c r="Y803" s="541" t="s">
        <v>307</v>
      </c>
    </row>
    <row r="804" spans="1:25" s="56" customFormat="1" ht="24.6" hidden="1" customHeight="1">
      <c r="A804" s="540"/>
      <c r="B804" s="175" t="s">
        <v>299</v>
      </c>
      <c r="C804" s="175"/>
      <c r="D804" s="175"/>
      <c r="E804" s="175"/>
      <c r="F804" s="175"/>
      <c r="G804" s="75">
        <f>SUM(H804:K804)</f>
        <v>20000</v>
      </c>
      <c r="H804" s="75"/>
      <c r="I804" s="75"/>
      <c r="J804" s="75">
        <v>5000</v>
      </c>
      <c r="K804" s="75">
        <v>15000</v>
      </c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75"/>
      <c r="Y804" s="541"/>
    </row>
    <row r="805" spans="1:25" s="56" customFormat="1" ht="0.6" hidden="1" customHeight="1">
      <c r="A805" s="176" t="s">
        <v>134</v>
      </c>
      <c r="B805" s="83"/>
      <c r="C805" s="83"/>
      <c r="D805" s="83"/>
      <c r="E805" s="83"/>
      <c r="F805" s="83"/>
      <c r="G805" s="81">
        <f>G806</f>
        <v>0</v>
      </c>
      <c r="H805" s="81">
        <f t="shared" ref="H805:Q805" si="322">H806</f>
        <v>0</v>
      </c>
      <c r="I805" s="81">
        <f t="shared" si="322"/>
        <v>0</v>
      </c>
      <c r="J805" s="81">
        <f t="shared" si="322"/>
        <v>0</v>
      </c>
      <c r="K805" s="81">
        <f t="shared" si="322"/>
        <v>0</v>
      </c>
      <c r="L805" s="134">
        <f t="shared" si="322"/>
        <v>0</v>
      </c>
      <c r="M805" s="134"/>
      <c r="N805" s="134"/>
      <c r="O805" s="134"/>
      <c r="P805" s="134"/>
      <c r="Q805" s="134">
        <f t="shared" si="322"/>
        <v>0</v>
      </c>
      <c r="R805" s="134"/>
      <c r="S805" s="134"/>
      <c r="T805" s="134"/>
      <c r="U805" s="134"/>
      <c r="V805" s="134"/>
      <c r="W805" s="134"/>
      <c r="X805" s="175"/>
      <c r="Y805" s="83"/>
    </row>
    <row r="806" spans="1:25" ht="27" hidden="1" customHeight="1">
      <c r="A806" s="181" t="s">
        <v>174</v>
      </c>
      <c r="B806" s="175" t="s">
        <v>34</v>
      </c>
      <c r="C806" s="175">
        <v>176</v>
      </c>
      <c r="D806" s="175" t="s">
        <v>16</v>
      </c>
      <c r="E806" s="175">
        <v>6100404</v>
      </c>
      <c r="F806" s="175">
        <v>244</v>
      </c>
      <c r="G806" s="75">
        <v>0</v>
      </c>
      <c r="H806" s="75">
        <v>0</v>
      </c>
      <c r="I806" s="75">
        <v>0</v>
      </c>
      <c r="J806" s="75">
        <v>0</v>
      </c>
      <c r="K806" s="75">
        <v>0</v>
      </c>
      <c r="L806" s="135"/>
      <c r="M806" s="135"/>
      <c r="N806" s="135"/>
      <c r="O806" s="135"/>
      <c r="P806" s="135"/>
      <c r="Q806" s="135">
        <v>0</v>
      </c>
      <c r="R806" s="135"/>
      <c r="S806" s="135"/>
      <c r="T806" s="135"/>
      <c r="U806" s="135"/>
      <c r="V806" s="135"/>
      <c r="W806" s="135"/>
      <c r="X806" s="175"/>
      <c r="Y806" s="175"/>
    </row>
    <row r="807" spans="1:25" ht="24.75" customHeight="1">
      <c r="A807" s="539" t="s">
        <v>105</v>
      </c>
      <c r="B807" s="83" t="s">
        <v>91</v>
      </c>
      <c r="C807" s="83"/>
      <c r="D807" s="83"/>
      <c r="E807" s="83"/>
      <c r="F807" s="83"/>
      <c r="G807" s="81">
        <f>G809+G811</f>
        <v>0</v>
      </c>
      <c r="H807" s="81">
        <f t="shared" ref="H807:W808" si="323">H809+H811</f>
        <v>0</v>
      </c>
      <c r="I807" s="81">
        <f t="shared" si="323"/>
        <v>0</v>
      </c>
      <c r="J807" s="81">
        <f t="shared" si="323"/>
        <v>0</v>
      </c>
      <c r="K807" s="81">
        <f t="shared" si="323"/>
        <v>0.86</v>
      </c>
      <c r="L807" s="134">
        <f t="shared" si="323"/>
        <v>0</v>
      </c>
      <c r="M807" s="134"/>
      <c r="N807" s="134"/>
      <c r="O807" s="134"/>
      <c r="P807" s="134"/>
      <c r="Q807" s="134">
        <f t="shared" si="323"/>
        <v>5</v>
      </c>
      <c r="R807" s="134">
        <f t="shared" si="323"/>
        <v>0</v>
      </c>
      <c r="S807" s="134">
        <f t="shared" si="323"/>
        <v>0</v>
      </c>
      <c r="T807" s="134">
        <f t="shared" si="323"/>
        <v>0</v>
      </c>
      <c r="U807" s="134">
        <f t="shared" si="323"/>
        <v>5</v>
      </c>
      <c r="V807" s="134">
        <f t="shared" si="323"/>
        <v>0</v>
      </c>
      <c r="W807" s="134">
        <f t="shared" si="323"/>
        <v>0</v>
      </c>
      <c r="X807" s="175"/>
      <c r="Y807" s="83"/>
    </row>
    <row r="808" spans="1:25" ht="24.9" customHeight="1">
      <c r="A808" s="539"/>
      <c r="B808" s="83" t="s">
        <v>299</v>
      </c>
      <c r="C808" s="83"/>
      <c r="D808" s="83"/>
      <c r="E808" s="83"/>
      <c r="F808" s="83"/>
      <c r="G808" s="81">
        <f>G810+G812</f>
        <v>25847.599999999999</v>
      </c>
      <c r="H808" s="81">
        <f t="shared" si="323"/>
        <v>10533.3</v>
      </c>
      <c r="I808" s="81">
        <f t="shared" si="323"/>
        <v>2985</v>
      </c>
      <c r="J808" s="81">
        <f t="shared" si="323"/>
        <v>5000</v>
      </c>
      <c r="K808" s="81">
        <f t="shared" si="323"/>
        <v>7329.2999999999993</v>
      </c>
      <c r="L808" s="134">
        <f t="shared" si="323"/>
        <v>0</v>
      </c>
      <c r="M808" s="134"/>
      <c r="N808" s="134"/>
      <c r="O808" s="134"/>
      <c r="P808" s="134"/>
      <c r="Q808" s="134">
        <f t="shared" si="323"/>
        <v>132832.5</v>
      </c>
      <c r="R808" s="134">
        <f t="shared" si="323"/>
        <v>0</v>
      </c>
      <c r="S808" s="134">
        <f t="shared" si="323"/>
        <v>0</v>
      </c>
      <c r="T808" s="134">
        <f t="shared" si="323"/>
        <v>0</v>
      </c>
      <c r="U808" s="134">
        <f t="shared" si="323"/>
        <v>132832.5</v>
      </c>
      <c r="V808" s="134">
        <f t="shared" si="323"/>
        <v>0</v>
      </c>
      <c r="W808" s="134">
        <f t="shared" si="323"/>
        <v>0</v>
      </c>
      <c r="X808" s="175"/>
      <c r="Y808" s="83"/>
    </row>
    <row r="809" spans="1:25" ht="24" customHeight="1">
      <c r="A809" s="540" t="s">
        <v>175</v>
      </c>
      <c r="B809" s="175" t="s">
        <v>91</v>
      </c>
      <c r="C809" s="175">
        <v>176</v>
      </c>
      <c r="D809" s="175" t="s">
        <v>16</v>
      </c>
      <c r="E809" s="175">
        <v>6100404</v>
      </c>
      <c r="F809" s="175">
        <v>244</v>
      </c>
      <c r="G809" s="75"/>
      <c r="H809" s="75"/>
      <c r="I809" s="75"/>
      <c r="J809" s="75"/>
      <c r="K809" s="75">
        <v>0.86</v>
      </c>
      <c r="L809" s="135"/>
      <c r="M809" s="135"/>
      <c r="N809" s="135"/>
      <c r="O809" s="135"/>
      <c r="P809" s="135"/>
      <c r="Q809" s="135">
        <v>5</v>
      </c>
      <c r="R809" s="135"/>
      <c r="S809" s="135"/>
      <c r="T809" s="135"/>
      <c r="U809" s="135">
        <v>5</v>
      </c>
      <c r="V809" s="135"/>
      <c r="W809" s="135"/>
      <c r="X809" s="175"/>
      <c r="Y809" s="541" t="s">
        <v>451</v>
      </c>
    </row>
    <row r="810" spans="1:25" s="56" customFormat="1" ht="24" customHeight="1">
      <c r="A810" s="540"/>
      <c r="B810" s="175" t="s">
        <v>299</v>
      </c>
      <c r="C810" s="175"/>
      <c r="D810" s="175"/>
      <c r="E810" s="175"/>
      <c r="F810" s="175"/>
      <c r="G810" s="75">
        <f>SUM(H810:K810)</f>
        <v>25847.599999999999</v>
      </c>
      <c r="H810" s="75">
        <v>10533.3</v>
      </c>
      <c r="I810" s="75">
        <v>2985</v>
      </c>
      <c r="J810" s="75">
        <v>5000</v>
      </c>
      <c r="K810" s="75">
        <f>8433.3-1104</f>
        <v>7329.2999999999993</v>
      </c>
      <c r="L810" s="135"/>
      <c r="M810" s="135"/>
      <c r="N810" s="135"/>
      <c r="O810" s="135"/>
      <c r="P810" s="135"/>
      <c r="Q810" s="135">
        <f>U810</f>
        <v>132832.5</v>
      </c>
      <c r="R810" s="135"/>
      <c r="S810" s="135"/>
      <c r="T810" s="135"/>
      <c r="U810" s="135">
        <f>134687.4-1854.9</f>
        <v>132832.5</v>
      </c>
      <c r="V810" s="135"/>
      <c r="W810" s="135"/>
      <c r="X810" s="175"/>
      <c r="Y810" s="541"/>
    </row>
    <row r="811" spans="1:25" s="56" customFormat="1" ht="24.6" hidden="1" customHeight="1">
      <c r="A811" s="536" t="s">
        <v>313</v>
      </c>
      <c r="B811" s="175" t="s">
        <v>91</v>
      </c>
      <c r="C811" s="175"/>
      <c r="D811" s="175"/>
      <c r="E811" s="175"/>
      <c r="F811" s="175"/>
      <c r="G811" s="75"/>
      <c r="H811" s="75"/>
      <c r="I811" s="75"/>
      <c r="J811" s="75"/>
      <c r="K811" s="7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75"/>
      <c r="Y811" s="541" t="s">
        <v>307</v>
      </c>
    </row>
    <row r="812" spans="1:25" ht="24.6" hidden="1" customHeight="1">
      <c r="A812" s="538"/>
      <c r="B812" s="175" t="s">
        <v>299</v>
      </c>
      <c r="C812" s="175"/>
      <c r="D812" s="175"/>
      <c r="E812" s="175"/>
      <c r="F812" s="175"/>
      <c r="G812" s="75"/>
      <c r="H812" s="75"/>
      <c r="I812" s="75"/>
      <c r="J812" s="75"/>
      <c r="K812" s="7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75"/>
      <c r="Y812" s="541"/>
    </row>
    <row r="813" spans="1:25" ht="24.6" customHeight="1">
      <c r="A813" s="539" t="s">
        <v>137</v>
      </c>
      <c r="B813" s="83" t="s">
        <v>91</v>
      </c>
      <c r="C813" s="83"/>
      <c r="D813" s="83"/>
      <c r="E813" s="83"/>
      <c r="F813" s="83"/>
      <c r="G813" s="81">
        <f>G815</f>
        <v>0</v>
      </c>
      <c r="H813" s="81">
        <f t="shared" ref="H813:L813" si="324">H815</f>
        <v>0</v>
      </c>
      <c r="I813" s="81">
        <f t="shared" si="324"/>
        <v>0</v>
      </c>
      <c r="J813" s="81">
        <f t="shared" si="324"/>
        <v>0</v>
      </c>
      <c r="K813" s="81">
        <f t="shared" si="324"/>
        <v>0</v>
      </c>
      <c r="L813" s="134">
        <f t="shared" si="324"/>
        <v>0</v>
      </c>
      <c r="M813" s="134"/>
      <c r="N813" s="134"/>
      <c r="O813" s="134"/>
      <c r="P813" s="134"/>
      <c r="Q813" s="134">
        <f>Q815</f>
        <v>0</v>
      </c>
      <c r="R813" s="134"/>
      <c r="S813" s="134"/>
      <c r="T813" s="134"/>
      <c r="U813" s="134"/>
      <c r="V813" s="134">
        <f t="shared" ref="V813:W813" si="325">V815</f>
        <v>0</v>
      </c>
      <c r="W813" s="134">
        <f t="shared" si="325"/>
        <v>0</v>
      </c>
      <c r="X813" s="175"/>
      <c r="Y813" s="83"/>
    </row>
    <row r="814" spans="1:25" s="56" customFormat="1" ht="24.6" customHeight="1">
      <c r="A814" s="539"/>
      <c r="B814" s="83" t="s">
        <v>299</v>
      </c>
      <c r="C814" s="83"/>
      <c r="D814" s="83"/>
      <c r="E814" s="83"/>
      <c r="F814" s="83"/>
      <c r="G814" s="81"/>
      <c r="H814" s="81"/>
      <c r="I814" s="81"/>
      <c r="J814" s="81"/>
      <c r="K814" s="81"/>
      <c r="L814" s="134"/>
      <c r="M814" s="134"/>
      <c r="N814" s="134"/>
      <c r="O814" s="134"/>
      <c r="P814" s="134"/>
      <c r="Q814" s="134">
        <f>Q816</f>
        <v>1062.9000000000001</v>
      </c>
      <c r="R814" s="134">
        <f t="shared" ref="R814:U814" si="326">R816</f>
        <v>0</v>
      </c>
      <c r="S814" s="134">
        <f t="shared" si="326"/>
        <v>0</v>
      </c>
      <c r="T814" s="134">
        <f t="shared" si="326"/>
        <v>1062.9000000000001</v>
      </c>
      <c r="U814" s="134">
        <f t="shared" si="326"/>
        <v>0</v>
      </c>
      <c r="V814" s="134">
        <f t="shared" ref="V814:W814" si="327">V816</f>
        <v>0</v>
      </c>
      <c r="W814" s="134">
        <f t="shared" si="327"/>
        <v>0</v>
      </c>
      <c r="X814" s="175"/>
      <c r="Y814" s="83"/>
    </row>
    <row r="815" spans="1:25" s="56" customFormat="1" ht="24.6" customHeight="1">
      <c r="A815" s="540" t="s">
        <v>176</v>
      </c>
      <c r="B815" s="175" t="s">
        <v>91</v>
      </c>
      <c r="C815" s="175">
        <v>176</v>
      </c>
      <c r="D815" s="175" t="s">
        <v>16</v>
      </c>
      <c r="E815" s="175">
        <v>6100404</v>
      </c>
      <c r="F815" s="175">
        <v>244</v>
      </c>
      <c r="G815" s="75"/>
      <c r="H815" s="75"/>
      <c r="I815" s="75"/>
      <c r="J815" s="75">
        <v>0</v>
      </c>
      <c r="K815" s="75">
        <v>0</v>
      </c>
      <c r="L815" s="135">
        <v>0</v>
      </c>
      <c r="M815" s="135"/>
      <c r="N815" s="135"/>
      <c r="O815" s="135"/>
      <c r="P815" s="135"/>
      <c r="Q815" s="135">
        <v>0</v>
      </c>
      <c r="R815" s="135"/>
      <c r="S815" s="135"/>
      <c r="T815" s="135"/>
      <c r="U815" s="135"/>
      <c r="V815" s="135"/>
      <c r="W815" s="135"/>
      <c r="X815" s="175"/>
      <c r="Y815" s="533" t="s">
        <v>367</v>
      </c>
    </row>
    <row r="816" spans="1:25" ht="24.6" customHeight="1">
      <c r="A816" s="540"/>
      <c r="B816" s="175" t="s">
        <v>299</v>
      </c>
      <c r="C816" s="175"/>
      <c r="D816" s="175"/>
      <c r="E816" s="175"/>
      <c r="F816" s="175"/>
      <c r="G816" s="75"/>
      <c r="H816" s="75"/>
      <c r="I816" s="75"/>
      <c r="J816" s="75"/>
      <c r="K816" s="75"/>
      <c r="L816" s="135"/>
      <c r="M816" s="135"/>
      <c r="N816" s="135"/>
      <c r="O816" s="135"/>
      <c r="P816" s="135"/>
      <c r="Q816" s="135">
        <f>T816</f>
        <v>1062.9000000000001</v>
      </c>
      <c r="R816" s="135"/>
      <c r="S816" s="135"/>
      <c r="T816" s="135">
        <f>1407.2-344.3</f>
        <v>1062.9000000000001</v>
      </c>
      <c r="U816" s="135"/>
      <c r="V816" s="135"/>
      <c r="W816" s="135"/>
      <c r="X816" s="175"/>
      <c r="Y816" s="535"/>
    </row>
    <row r="817" spans="1:25" ht="24.6" customHeight="1">
      <c r="A817" s="539" t="s">
        <v>178</v>
      </c>
      <c r="B817" s="83" t="s">
        <v>91</v>
      </c>
      <c r="C817" s="83"/>
      <c r="D817" s="83"/>
      <c r="E817" s="83"/>
      <c r="F817" s="83"/>
      <c r="G817" s="81">
        <f>G819</f>
        <v>0</v>
      </c>
      <c r="H817" s="81">
        <f t="shared" ref="H817:W817" si="328">H819</f>
        <v>0</v>
      </c>
      <c r="I817" s="81">
        <f t="shared" si="328"/>
        <v>0</v>
      </c>
      <c r="J817" s="81">
        <f t="shared" si="328"/>
        <v>0</v>
      </c>
      <c r="K817" s="81">
        <f t="shared" si="328"/>
        <v>0</v>
      </c>
      <c r="L817" s="134">
        <f t="shared" si="328"/>
        <v>0</v>
      </c>
      <c r="M817" s="134"/>
      <c r="N817" s="134"/>
      <c r="O817" s="134"/>
      <c r="P817" s="134"/>
      <c r="Q817" s="134">
        <f>Q821</f>
        <v>5.6</v>
      </c>
      <c r="R817" s="134">
        <f t="shared" ref="R817:U817" si="329">R821</f>
        <v>0</v>
      </c>
      <c r="S817" s="134">
        <f t="shared" si="329"/>
        <v>0</v>
      </c>
      <c r="T817" s="134">
        <f t="shared" si="329"/>
        <v>5.6</v>
      </c>
      <c r="U817" s="134">
        <f t="shared" si="329"/>
        <v>0</v>
      </c>
      <c r="V817" s="134">
        <f t="shared" si="328"/>
        <v>0</v>
      </c>
      <c r="W817" s="134">
        <f t="shared" si="328"/>
        <v>1</v>
      </c>
      <c r="X817" s="175"/>
      <c r="Y817" s="83"/>
    </row>
    <row r="818" spans="1:25" s="56" customFormat="1" ht="24.9" customHeight="1">
      <c r="A818" s="539"/>
      <c r="B818" s="83" t="s">
        <v>299</v>
      </c>
      <c r="C818" s="83"/>
      <c r="D818" s="83"/>
      <c r="E818" s="83"/>
      <c r="F818" s="83"/>
      <c r="G818" s="81"/>
      <c r="H818" s="81"/>
      <c r="I818" s="81"/>
      <c r="J818" s="81"/>
      <c r="K818" s="81"/>
      <c r="L818" s="134"/>
      <c r="M818" s="134"/>
      <c r="N818" s="134"/>
      <c r="O818" s="134"/>
      <c r="P818" s="134"/>
      <c r="Q818" s="134">
        <f>Q820+Q822</f>
        <v>31248.799999999999</v>
      </c>
      <c r="R818" s="134">
        <f t="shared" ref="R818:U818" si="330">R820+R822</f>
        <v>0</v>
      </c>
      <c r="S818" s="134">
        <f t="shared" si="330"/>
        <v>0</v>
      </c>
      <c r="T818" s="134">
        <f t="shared" si="330"/>
        <v>31248.799999999999</v>
      </c>
      <c r="U818" s="134">
        <f t="shared" si="330"/>
        <v>0</v>
      </c>
      <c r="V818" s="134">
        <f t="shared" ref="V818:W818" si="331">V820</f>
        <v>0</v>
      </c>
      <c r="W818" s="134">
        <f t="shared" si="331"/>
        <v>17397.5</v>
      </c>
      <c r="X818" s="175"/>
      <c r="Y818" s="83"/>
    </row>
    <row r="819" spans="1:25" s="56" customFormat="1" ht="24.9" customHeight="1">
      <c r="A819" s="540" t="s">
        <v>177</v>
      </c>
      <c r="B819" s="175" t="s">
        <v>91</v>
      </c>
      <c r="C819" s="175">
        <v>176</v>
      </c>
      <c r="D819" s="175" t="s">
        <v>16</v>
      </c>
      <c r="E819" s="175">
        <v>6100404</v>
      </c>
      <c r="F819" s="175">
        <v>244</v>
      </c>
      <c r="G819" s="75">
        <v>0</v>
      </c>
      <c r="H819" s="75">
        <v>0</v>
      </c>
      <c r="I819" s="75">
        <v>0</v>
      </c>
      <c r="J819" s="75">
        <v>0</v>
      </c>
      <c r="K819" s="75">
        <v>0</v>
      </c>
      <c r="L819" s="135">
        <v>0</v>
      </c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>
        <v>1</v>
      </c>
      <c r="X819" s="175"/>
      <c r="Y819" s="533" t="s">
        <v>41</v>
      </c>
    </row>
    <row r="820" spans="1:25" ht="24.9" customHeight="1">
      <c r="A820" s="540"/>
      <c r="B820" s="175" t="s">
        <v>299</v>
      </c>
      <c r="C820" s="175"/>
      <c r="D820" s="175"/>
      <c r="E820" s="175"/>
      <c r="F820" s="175"/>
      <c r="G820" s="75"/>
      <c r="H820" s="75"/>
      <c r="I820" s="75"/>
      <c r="J820" s="75"/>
      <c r="K820" s="7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>
        <v>17397.5</v>
      </c>
      <c r="X820" s="175"/>
      <c r="Y820" s="535"/>
    </row>
    <row r="821" spans="1:25" ht="24.9" customHeight="1">
      <c r="A821" s="536" t="s">
        <v>483</v>
      </c>
      <c r="B821" s="205" t="s">
        <v>91</v>
      </c>
      <c r="C821" s="205"/>
      <c r="D821" s="205"/>
      <c r="E821" s="205"/>
      <c r="F821" s="205"/>
      <c r="G821" s="75"/>
      <c r="H821" s="75"/>
      <c r="I821" s="75"/>
      <c r="J821" s="75"/>
      <c r="K821" s="75"/>
      <c r="L821" s="135"/>
      <c r="M821" s="135"/>
      <c r="N821" s="135"/>
      <c r="O821" s="135"/>
      <c r="P821" s="135"/>
      <c r="Q821" s="135">
        <v>8.3000000000000007</v>
      </c>
      <c r="R821" s="135"/>
      <c r="S821" s="135"/>
      <c r="T821" s="135">
        <v>8.3000000000000007</v>
      </c>
      <c r="U821" s="135"/>
      <c r="V821" s="135"/>
      <c r="W821" s="135"/>
      <c r="X821" s="205"/>
      <c r="Y821" s="533" t="s">
        <v>484</v>
      </c>
    </row>
    <row r="822" spans="1:25" ht="24.9" customHeight="1">
      <c r="A822" s="538"/>
      <c r="B822" s="205" t="s">
        <v>299</v>
      </c>
      <c r="C822" s="205"/>
      <c r="D822" s="205"/>
      <c r="E822" s="205"/>
      <c r="F822" s="205"/>
      <c r="G822" s="75"/>
      <c r="H822" s="75"/>
      <c r="I822" s="75"/>
      <c r="J822" s="75"/>
      <c r="K822" s="75"/>
      <c r="L822" s="135"/>
      <c r="M822" s="135"/>
      <c r="N822" s="135"/>
      <c r="O822" s="135"/>
      <c r="P822" s="135"/>
      <c r="Q822" s="135">
        <f>T822</f>
        <v>31248.799999999999</v>
      </c>
      <c r="R822" s="135"/>
      <c r="S822" s="135"/>
      <c r="T822" s="135">
        <f>32200-483-468.2</f>
        <v>31248.799999999999</v>
      </c>
      <c r="U822" s="135"/>
      <c r="V822" s="135"/>
      <c r="W822" s="135"/>
      <c r="X822" s="205"/>
      <c r="Y822" s="535"/>
    </row>
    <row r="823" spans="1:25" ht="24.9" customHeight="1">
      <c r="A823" s="539" t="s">
        <v>106</v>
      </c>
      <c r="B823" s="83" t="s">
        <v>91</v>
      </c>
      <c r="C823" s="83"/>
      <c r="D823" s="83"/>
      <c r="E823" s="83"/>
      <c r="F823" s="83"/>
      <c r="G823" s="81">
        <f t="shared" ref="G823:U823" si="332">G827+G831+G839+G843+G847+G859</f>
        <v>0</v>
      </c>
      <c r="H823" s="81">
        <f t="shared" si="332"/>
        <v>0</v>
      </c>
      <c r="I823" s="81">
        <f t="shared" si="332"/>
        <v>0</v>
      </c>
      <c r="J823" s="81">
        <f t="shared" si="332"/>
        <v>0</v>
      </c>
      <c r="K823" s="81">
        <f t="shared" si="332"/>
        <v>0</v>
      </c>
      <c r="L823" s="134">
        <f t="shared" si="332"/>
        <v>39.095999999999997</v>
      </c>
      <c r="M823" s="134">
        <f t="shared" si="332"/>
        <v>0</v>
      </c>
      <c r="N823" s="134">
        <f t="shared" si="332"/>
        <v>33.536000000000001</v>
      </c>
      <c r="O823" s="134">
        <f t="shared" si="332"/>
        <v>1</v>
      </c>
      <c r="P823" s="134">
        <f t="shared" si="332"/>
        <v>4.5599999999999996</v>
      </c>
      <c r="Q823" s="134">
        <f t="shared" si="332"/>
        <v>20.399999999999999</v>
      </c>
      <c r="R823" s="134">
        <f t="shared" si="332"/>
        <v>0</v>
      </c>
      <c r="S823" s="134">
        <f t="shared" si="332"/>
        <v>0</v>
      </c>
      <c r="T823" s="134">
        <f t="shared" si="332"/>
        <v>17.2</v>
      </c>
      <c r="U823" s="134">
        <f t="shared" si="332"/>
        <v>3.2</v>
      </c>
      <c r="V823" s="134">
        <f>V827+V831+V835+V839+V843+V847+V851+V859</f>
        <v>30.689999999999998</v>
      </c>
      <c r="W823" s="134">
        <f>W827+W831+W835+W839+W843+W847+W851+W855+W859</f>
        <v>19.75</v>
      </c>
      <c r="X823" s="175"/>
      <c r="Y823" s="83"/>
    </row>
    <row r="824" spans="1:25" ht="24.9" customHeight="1">
      <c r="A824" s="539"/>
      <c r="B824" s="83" t="s">
        <v>460</v>
      </c>
      <c r="C824" s="83"/>
      <c r="D824" s="83"/>
      <c r="E824" s="83"/>
      <c r="F824" s="83"/>
      <c r="G824" s="81"/>
      <c r="H824" s="81"/>
      <c r="I824" s="81"/>
      <c r="J824" s="81"/>
      <c r="K824" s="81"/>
      <c r="L824" s="134"/>
      <c r="M824" s="134"/>
      <c r="N824" s="134"/>
      <c r="O824" s="134"/>
      <c r="P824" s="134"/>
      <c r="Q824" s="134">
        <f>Q825+Q826</f>
        <v>186073.60000000001</v>
      </c>
      <c r="R824" s="134">
        <f t="shared" ref="R824:U824" si="333">R825+R826</f>
        <v>0</v>
      </c>
      <c r="S824" s="134">
        <f t="shared" si="333"/>
        <v>0</v>
      </c>
      <c r="T824" s="134">
        <f t="shared" si="333"/>
        <v>115132</v>
      </c>
      <c r="U824" s="134">
        <f t="shared" si="333"/>
        <v>70941.600000000006</v>
      </c>
      <c r="V824" s="134">
        <f t="shared" ref="V824:W824" si="334">V825+V826</f>
        <v>141769</v>
      </c>
      <c r="W824" s="134">
        <f t="shared" si="334"/>
        <v>94054.1</v>
      </c>
      <c r="X824" s="175"/>
      <c r="Y824" s="83"/>
    </row>
    <row r="825" spans="1:25" ht="24.9" customHeight="1">
      <c r="A825" s="539"/>
      <c r="B825" s="83" t="s">
        <v>457</v>
      </c>
      <c r="C825" s="83"/>
      <c r="D825" s="83"/>
      <c r="E825" s="83"/>
      <c r="F825" s="83"/>
      <c r="G825" s="81"/>
      <c r="H825" s="81"/>
      <c r="I825" s="81"/>
      <c r="J825" s="81"/>
      <c r="K825" s="81"/>
      <c r="L825" s="134"/>
      <c r="M825" s="134"/>
      <c r="N825" s="134"/>
      <c r="O825" s="134"/>
      <c r="P825" s="134"/>
      <c r="Q825" s="134">
        <f>Q829+Q833+Q841+Q845+Q849+Q861</f>
        <v>104433.60000000001</v>
      </c>
      <c r="R825" s="134">
        <f t="shared" ref="R825:U825" si="335">R829+R833+R841+R845+R849+R861</f>
        <v>0</v>
      </c>
      <c r="S825" s="134">
        <f t="shared" si="335"/>
        <v>0</v>
      </c>
      <c r="T825" s="134">
        <f t="shared" si="335"/>
        <v>79492</v>
      </c>
      <c r="U825" s="134">
        <f t="shared" si="335"/>
        <v>24941.599999999999</v>
      </c>
      <c r="V825" s="134">
        <f>V829+V833+V837+V841+V845+V849+V861+V853</f>
        <v>78709</v>
      </c>
      <c r="W825" s="134">
        <f>W829+W833+W837+W841+W845+W849+W853+W857+W861</f>
        <v>94054.1</v>
      </c>
      <c r="X825" s="175"/>
      <c r="Y825" s="83"/>
    </row>
    <row r="826" spans="1:25" ht="24.9" customHeight="1">
      <c r="A826" s="539"/>
      <c r="B826" s="83" t="s">
        <v>478</v>
      </c>
      <c r="C826" s="83"/>
      <c r="D826" s="83"/>
      <c r="E826" s="83"/>
      <c r="F826" s="83"/>
      <c r="G826" s="81">
        <f t="shared" ref="G826:P826" si="336">G830+G834+G842+G846+G850+G862</f>
        <v>0</v>
      </c>
      <c r="H826" s="81">
        <f t="shared" si="336"/>
        <v>0</v>
      </c>
      <c r="I826" s="81">
        <f t="shared" si="336"/>
        <v>0</v>
      </c>
      <c r="J826" s="81">
        <f t="shared" si="336"/>
        <v>0</v>
      </c>
      <c r="K826" s="81">
        <f t="shared" si="336"/>
        <v>0</v>
      </c>
      <c r="L826" s="134">
        <f t="shared" si="336"/>
        <v>131011.4</v>
      </c>
      <c r="M826" s="134">
        <f t="shared" si="336"/>
        <v>25576.199999999997</v>
      </c>
      <c r="N826" s="134">
        <f t="shared" si="336"/>
        <v>44632.5</v>
      </c>
      <c r="O826" s="134">
        <f t="shared" si="336"/>
        <v>13888.300000000001</v>
      </c>
      <c r="P826" s="134">
        <f t="shared" si="336"/>
        <v>46914.400000000001</v>
      </c>
      <c r="Q826" s="134">
        <f>Q830+Q834+Q842+Q850+Q862</f>
        <v>81640</v>
      </c>
      <c r="R826" s="134">
        <f t="shared" ref="R826:U826" si="337">R830+R834+R842+R850+R862</f>
        <v>0</v>
      </c>
      <c r="S826" s="134">
        <f t="shared" si="337"/>
        <v>0</v>
      </c>
      <c r="T826" s="134">
        <f t="shared" si="337"/>
        <v>35640</v>
      </c>
      <c r="U826" s="134">
        <f t="shared" si="337"/>
        <v>46000</v>
      </c>
      <c r="V826" s="134">
        <f>V830+V834+V842+V850+V862+V838</f>
        <v>63060</v>
      </c>
      <c r="W826" s="134">
        <f>W830+W834+W842+W850+W862</f>
        <v>0</v>
      </c>
      <c r="X826" s="175"/>
      <c r="Y826" s="83"/>
    </row>
    <row r="827" spans="1:25" ht="24.9" customHeight="1">
      <c r="A827" s="540" t="s">
        <v>429</v>
      </c>
      <c r="B827" s="175" t="s">
        <v>91</v>
      </c>
      <c r="C827" s="175">
        <v>176</v>
      </c>
      <c r="D827" s="175" t="s">
        <v>16</v>
      </c>
      <c r="E827" s="175">
        <v>6100404</v>
      </c>
      <c r="F827" s="175">
        <v>244</v>
      </c>
      <c r="G827" s="75">
        <v>0</v>
      </c>
      <c r="H827" s="75">
        <v>0</v>
      </c>
      <c r="I827" s="75">
        <v>0</v>
      </c>
      <c r="J827" s="75">
        <v>0</v>
      </c>
      <c r="K827" s="75">
        <v>0</v>
      </c>
      <c r="L827" s="135">
        <v>10</v>
      </c>
      <c r="M827" s="135"/>
      <c r="N827" s="135">
        <v>10</v>
      </c>
      <c r="O827" s="135">
        <v>0</v>
      </c>
      <c r="P827" s="135"/>
      <c r="Q827" s="135">
        <v>8.5</v>
      </c>
      <c r="R827" s="135"/>
      <c r="S827" s="135"/>
      <c r="T827" s="135">
        <v>8.5</v>
      </c>
      <c r="U827" s="135"/>
      <c r="V827" s="135"/>
      <c r="W827" s="135"/>
      <c r="X827" s="175"/>
      <c r="Y827" s="541" t="s">
        <v>640</v>
      </c>
    </row>
    <row r="828" spans="1:25" ht="24.9" customHeight="1">
      <c r="A828" s="540"/>
      <c r="B828" s="175" t="s">
        <v>460</v>
      </c>
      <c r="C828" s="175"/>
      <c r="D828" s="175"/>
      <c r="E828" s="175"/>
      <c r="F828" s="175"/>
      <c r="G828" s="75"/>
      <c r="H828" s="75"/>
      <c r="I828" s="75"/>
      <c r="J828" s="75"/>
      <c r="K828" s="75"/>
      <c r="L828" s="135"/>
      <c r="M828" s="135"/>
      <c r="N828" s="135"/>
      <c r="O828" s="135"/>
      <c r="P828" s="135"/>
      <c r="Q828" s="157">
        <f>Q829+Q830</f>
        <v>12774.7</v>
      </c>
      <c r="R828" s="157"/>
      <c r="S828" s="157"/>
      <c r="T828" s="157">
        <f>T829</f>
        <v>12774.7</v>
      </c>
      <c r="U828" s="157"/>
      <c r="V828" s="157">
        <f t="shared" ref="V828:W828" si="338">V829+V830</f>
        <v>0</v>
      </c>
      <c r="W828" s="157">
        <f t="shared" si="338"/>
        <v>0</v>
      </c>
      <c r="X828" s="175"/>
      <c r="Y828" s="541"/>
    </row>
    <row r="829" spans="1:25" ht="24.9" customHeight="1">
      <c r="A829" s="540"/>
      <c r="B829" s="175" t="s">
        <v>457</v>
      </c>
      <c r="C829" s="175"/>
      <c r="D829" s="175"/>
      <c r="E829" s="175"/>
      <c r="F829" s="175"/>
      <c r="G829" s="75"/>
      <c r="H829" s="75"/>
      <c r="I829" s="75"/>
      <c r="J829" s="75"/>
      <c r="K829" s="75"/>
      <c r="L829" s="135"/>
      <c r="M829" s="135"/>
      <c r="N829" s="135"/>
      <c r="O829" s="135"/>
      <c r="P829" s="135"/>
      <c r="Q829" s="157">
        <f>T829</f>
        <v>12774.7</v>
      </c>
      <c r="R829" s="157"/>
      <c r="S829" s="157"/>
      <c r="T829" s="157">
        <f>16184.9-67-3343.2</f>
        <v>12774.7</v>
      </c>
      <c r="U829" s="157"/>
      <c r="V829" s="157"/>
      <c r="W829" s="135"/>
      <c r="X829" s="175"/>
      <c r="Y829" s="541"/>
    </row>
    <row r="830" spans="1:25" ht="24.6" hidden="1" customHeight="1">
      <c r="A830" s="540"/>
      <c r="B830" s="175" t="s">
        <v>477</v>
      </c>
      <c r="C830" s="175"/>
      <c r="D830" s="175"/>
      <c r="E830" s="175"/>
      <c r="F830" s="175"/>
      <c r="G830" s="75"/>
      <c r="H830" s="75"/>
      <c r="I830" s="75"/>
      <c r="J830" s="75"/>
      <c r="K830" s="75"/>
      <c r="L830" s="134">
        <f>18866.4</f>
        <v>18866.400000000001</v>
      </c>
      <c r="M830" s="135">
        <v>13604.9</v>
      </c>
      <c r="N830" s="135">
        <v>5261.5</v>
      </c>
      <c r="O830" s="135"/>
      <c r="P830" s="135"/>
      <c r="Q830" s="135"/>
      <c r="R830" s="135"/>
      <c r="S830" s="135"/>
      <c r="T830" s="135"/>
      <c r="U830" s="135"/>
      <c r="V830" s="135"/>
      <c r="W830" s="135"/>
      <c r="X830" s="175"/>
      <c r="Y830" s="541"/>
    </row>
    <row r="831" spans="1:25" ht="24.9" customHeight="1">
      <c r="A831" s="536" t="s">
        <v>97</v>
      </c>
      <c r="B831" s="175" t="s">
        <v>91</v>
      </c>
      <c r="C831" s="175">
        <v>176</v>
      </c>
      <c r="D831" s="175" t="s">
        <v>16</v>
      </c>
      <c r="E831" s="175">
        <v>6100404</v>
      </c>
      <c r="F831" s="175">
        <v>244</v>
      </c>
      <c r="G831" s="75">
        <v>0</v>
      </c>
      <c r="H831" s="75">
        <v>0</v>
      </c>
      <c r="I831" s="75">
        <v>0</v>
      </c>
      <c r="J831" s="75">
        <v>0</v>
      </c>
      <c r="K831" s="75">
        <v>0</v>
      </c>
      <c r="L831" s="134">
        <v>1</v>
      </c>
      <c r="M831" s="135"/>
      <c r="N831" s="135"/>
      <c r="O831" s="135">
        <v>1</v>
      </c>
      <c r="P831" s="135"/>
      <c r="Q831" s="135">
        <v>3.2</v>
      </c>
      <c r="R831" s="135"/>
      <c r="S831" s="135"/>
      <c r="T831" s="135"/>
      <c r="U831" s="135">
        <v>3.2</v>
      </c>
      <c r="V831" s="135">
        <v>2.4500000000000002</v>
      </c>
      <c r="W831" s="135">
        <v>2</v>
      </c>
      <c r="X831" s="175"/>
      <c r="Y831" s="533" t="s">
        <v>644</v>
      </c>
    </row>
    <row r="832" spans="1:25" ht="24.9" customHeight="1">
      <c r="A832" s="537"/>
      <c r="B832" s="175" t="s">
        <v>460</v>
      </c>
      <c r="C832" s="175"/>
      <c r="D832" s="175"/>
      <c r="E832" s="175"/>
      <c r="F832" s="175"/>
      <c r="G832" s="75"/>
      <c r="H832" s="75"/>
      <c r="I832" s="75"/>
      <c r="J832" s="75"/>
      <c r="K832" s="75"/>
      <c r="L832" s="134"/>
      <c r="M832" s="135"/>
      <c r="N832" s="135"/>
      <c r="O832" s="135"/>
      <c r="P832" s="135"/>
      <c r="Q832" s="135">
        <f>Q833+Q834</f>
        <v>42340.6</v>
      </c>
      <c r="R832" s="135">
        <f t="shared" ref="R832:U832" si="339">R833+R834</f>
        <v>0</v>
      </c>
      <c r="S832" s="135">
        <f t="shared" si="339"/>
        <v>0</v>
      </c>
      <c r="T832" s="135">
        <f t="shared" si="339"/>
        <v>23139</v>
      </c>
      <c r="U832" s="135">
        <f t="shared" si="339"/>
        <v>19201.599999999999</v>
      </c>
      <c r="V832" s="135">
        <f t="shared" ref="V832:W832" si="340">V833+V834</f>
        <v>55684.2</v>
      </c>
      <c r="W832" s="135">
        <f t="shared" si="340"/>
        <v>42000</v>
      </c>
      <c r="X832" s="175"/>
      <c r="Y832" s="534"/>
    </row>
    <row r="833" spans="1:25" ht="24.9" customHeight="1">
      <c r="A833" s="537"/>
      <c r="B833" s="175" t="s">
        <v>457</v>
      </c>
      <c r="C833" s="175"/>
      <c r="D833" s="175"/>
      <c r="E833" s="175"/>
      <c r="F833" s="175"/>
      <c r="G833" s="75"/>
      <c r="H833" s="75"/>
      <c r="I833" s="75"/>
      <c r="J833" s="75"/>
      <c r="K833" s="75"/>
      <c r="L833" s="134"/>
      <c r="M833" s="135"/>
      <c r="N833" s="135"/>
      <c r="O833" s="135"/>
      <c r="P833" s="135"/>
      <c r="Q833" s="135">
        <f>T833+U833</f>
        <v>42340.6</v>
      </c>
      <c r="R833" s="135"/>
      <c r="S833" s="135"/>
      <c r="T833" s="135">
        <v>23139</v>
      </c>
      <c r="U833" s="135">
        <f>19901.1-696.5-3</f>
        <v>19201.599999999999</v>
      </c>
      <c r="V833" s="135">
        <v>35684.199999999997</v>
      </c>
      <c r="W833" s="135">
        <v>42000</v>
      </c>
      <c r="X833" s="175"/>
      <c r="Y833" s="534"/>
    </row>
    <row r="834" spans="1:25" ht="24.9" customHeight="1">
      <c r="A834" s="538"/>
      <c r="B834" s="175" t="s">
        <v>477</v>
      </c>
      <c r="C834" s="175"/>
      <c r="D834" s="175"/>
      <c r="E834" s="175"/>
      <c r="F834" s="175"/>
      <c r="G834" s="75"/>
      <c r="H834" s="75"/>
      <c r="I834" s="75"/>
      <c r="J834" s="75"/>
      <c r="K834" s="75"/>
      <c r="L834" s="134">
        <v>13888.3</v>
      </c>
      <c r="M834" s="135"/>
      <c r="N834" s="135"/>
      <c r="O834" s="135">
        <f>20044.4-6156.1</f>
        <v>13888.300000000001</v>
      </c>
      <c r="P834" s="135"/>
      <c r="Q834" s="135"/>
      <c r="R834" s="135"/>
      <c r="S834" s="135"/>
      <c r="T834" s="135"/>
      <c r="U834" s="135"/>
      <c r="V834" s="135">
        <v>20000</v>
      </c>
      <c r="W834" s="135"/>
      <c r="X834" s="175"/>
      <c r="Y834" s="535"/>
    </row>
    <row r="835" spans="1:25" ht="24.9" customHeight="1">
      <c r="A835" s="536" t="s">
        <v>639</v>
      </c>
      <c r="B835" s="415" t="s">
        <v>91</v>
      </c>
      <c r="C835" s="415"/>
      <c r="D835" s="415"/>
      <c r="E835" s="415"/>
      <c r="F835" s="415"/>
      <c r="G835" s="75"/>
      <c r="H835" s="75"/>
      <c r="I835" s="75"/>
      <c r="J835" s="75"/>
      <c r="K835" s="75"/>
      <c r="L835" s="134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>
        <v>10.7</v>
      </c>
      <c r="W835" s="135"/>
      <c r="X835" s="415"/>
      <c r="Y835" s="533" t="s">
        <v>642</v>
      </c>
    </row>
    <row r="836" spans="1:25" ht="24.9" customHeight="1">
      <c r="A836" s="537"/>
      <c r="B836" s="415" t="s">
        <v>460</v>
      </c>
      <c r="C836" s="415"/>
      <c r="D836" s="415"/>
      <c r="E836" s="415"/>
      <c r="F836" s="415"/>
      <c r="G836" s="75"/>
      <c r="H836" s="75"/>
      <c r="I836" s="75"/>
      <c r="J836" s="75"/>
      <c r="K836" s="75"/>
      <c r="L836" s="134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>
        <f>V837+V838</f>
        <v>35040</v>
      </c>
      <c r="W836" s="135"/>
      <c r="X836" s="415"/>
      <c r="Y836" s="534"/>
    </row>
    <row r="837" spans="1:25" ht="24.9" customHeight="1">
      <c r="A837" s="537"/>
      <c r="B837" s="415" t="s">
        <v>457</v>
      </c>
      <c r="C837" s="415"/>
      <c r="D837" s="415"/>
      <c r="E837" s="415"/>
      <c r="F837" s="415"/>
      <c r="G837" s="75"/>
      <c r="H837" s="75"/>
      <c r="I837" s="75"/>
      <c r="J837" s="75"/>
      <c r="K837" s="75"/>
      <c r="L837" s="134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>
        <v>20040</v>
      </c>
      <c r="W837" s="135"/>
      <c r="X837" s="415"/>
      <c r="Y837" s="534"/>
    </row>
    <row r="838" spans="1:25" ht="24.9" customHeight="1">
      <c r="A838" s="538"/>
      <c r="B838" s="415" t="s">
        <v>477</v>
      </c>
      <c r="C838" s="415"/>
      <c r="D838" s="415"/>
      <c r="E838" s="415"/>
      <c r="F838" s="415"/>
      <c r="G838" s="75"/>
      <c r="H838" s="75"/>
      <c r="I838" s="75"/>
      <c r="J838" s="75"/>
      <c r="K838" s="75"/>
      <c r="L838" s="134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>
        <v>15000</v>
      </c>
      <c r="W838" s="135"/>
      <c r="X838" s="415"/>
      <c r="Y838" s="535"/>
    </row>
    <row r="839" spans="1:25" ht="24.9" customHeight="1">
      <c r="A839" s="540" t="s">
        <v>276</v>
      </c>
      <c r="B839" s="175" t="s">
        <v>91</v>
      </c>
      <c r="C839" s="175">
        <v>176</v>
      </c>
      <c r="D839" s="175" t="s">
        <v>16</v>
      </c>
      <c r="E839" s="175">
        <v>6100404</v>
      </c>
      <c r="F839" s="175">
        <v>244</v>
      </c>
      <c r="G839" s="75">
        <v>0</v>
      </c>
      <c r="H839" s="75">
        <v>0</v>
      </c>
      <c r="I839" s="75">
        <v>0</v>
      </c>
      <c r="J839" s="75">
        <v>0</v>
      </c>
      <c r="K839" s="75">
        <v>0</v>
      </c>
      <c r="L839" s="134">
        <v>4.5599999999999996</v>
      </c>
      <c r="M839" s="135"/>
      <c r="N839" s="135"/>
      <c r="O839" s="135"/>
      <c r="P839" s="135">
        <v>4.5599999999999996</v>
      </c>
      <c r="Q839" s="135">
        <v>2.5</v>
      </c>
      <c r="R839" s="135"/>
      <c r="S839" s="135"/>
      <c r="T839" s="135">
        <v>2.5</v>
      </c>
      <c r="U839" s="135"/>
      <c r="V839" s="135"/>
      <c r="W839" s="135"/>
      <c r="X839" s="175"/>
      <c r="Y839" s="533" t="s">
        <v>439</v>
      </c>
    </row>
    <row r="840" spans="1:25" ht="24.9" customHeight="1">
      <c r="A840" s="540"/>
      <c r="B840" s="175" t="s">
        <v>460</v>
      </c>
      <c r="C840" s="175"/>
      <c r="D840" s="175"/>
      <c r="E840" s="175"/>
      <c r="F840" s="175"/>
      <c r="G840" s="75"/>
      <c r="H840" s="75"/>
      <c r="I840" s="75"/>
      <c r="J840" s="75"/>
      <c r="K840" s="75"/>
      <c r="L840" s="134"/>
      <c r="M840" s="135"/>
      <c r="N840" s="135"/>
      <c r="O840" s="135"/>
      <c r="P840" s="135"/>
      <c r="Q840" s="135">
        <f>Q841+Q842</f>
        <v>53835.8</v>
      </c>
      <c r="R840" s="135"/>
      <c r="S840" s="135"/>
      <c r="T840" s="135">
        <v>54810</v>
      </c>
      <c r="U840" s="135"/>
      <c r="V840" s="135"/>
      <c r="W840" s="135"/>
      <c r="X840" s="175"/>
      <c r="Y840" s="534"/>
    </row>
    <row r="841" spans="1:25" ht="24.9" customHeight="1">
      <c r="A841" s="540"/>
      <c r="B841" s="175" t="s">
        <v>457</v>
      </c>
      <c r="C841" s="175"/>
      <c r="D841" s="175"/>
      <c r="E841" s="175"/>
      <c r="F841" s="175"/>
      <c r="G841" s="75"/>
      <c r="H841" s="75"/>
      <c r="I841" s="75"/>
      <c r="J841" s="75"/>
      <c r="K841" s="75"/>
      <c r="L841" s="134"/>
      <c r="M841" s="135"/>
      <c r="N841" s="135"/>
      <c r="O841" s="135"/>
      <c r="P841" s="135"/>
      <c r="Q841" s="135">
        <f>T841</f>
        <v>18195.8</v>
      </c>
      <c r="R841" s="135"/>
      <c r="S841" s="135"/>
      <c r="T841" s="135">
        <f>18810-188-426.2</f>
        <v>18195.8</v>
      </c>
      <c r="U841" s="135"/>
      <c r="V841" s="135"/>
      <c r="W841" s="135"/>
      <c r="X841" s="175"/>
      <c r="Y841" s="534"/>
    </row>
    <row r="842" spans="1:25" ht="30.6" customHeight="1">
      <c r="A842" s="540"/>
      <c r="B842" s="175" t="s">
        <v>477</v>
      </c>
      <c r="C842" s="175"/>
      <c r="D842" s="175"/>
      <c r="E842" s="175"/>
      <c r="F842" s="175"/>
      <c r="G842" s="75"/>
      <c r="H842" s="75"/>
      <c r="I842" s="75"/>
      <c r="J842" s="75"/>
      <c r="K842" s="75"/>
      <c r="L842" s="134">
        <f>P842</f>
        <v>46914.400000000001</v>
      </c>
      <c r="M842" s="135"/>
      <c r="N842" s="135"/>
      <c r="O842" s="135"/>
      <c r="P842" s="135">
        <f>45914.4+1000</f>
        <v>46914.400000000001</v>
      </c>
      <c r="Q842" s="135">
        <f>T842</f>
        <v>35640</v>
      </c>
      <c r="R842" s="135"/>
      <c r="S842" s="135"/>
      <c r="T842" s="135">
        <f>36000-360</f>
        <v>35640</v>
      </c>
      <c r="U842" s="135"/>
      <c r="V842" s="135"/>
      <c r="W842" s="135"/>
      <c r="X842" s="175"/>
      <c r="Y842" s="535"/>
    </row>
    <row r="843" spans="1:25" ht="30.6" customHeight="1">
      <c r="A843" s="540" t="s">
        <v>483</v>
      </c>
      <c r="B843" s="175" t="s">
        <v>91</v>
      </c>
      <c r="C843" s="175">
        <v>176</v>
      </c>
      <c r="D843" s="175" t="s">
        <v>16</v>
      </c>
      <c r="E843" s="175">
        <v>6100404</v>
      </c>
      <c r="F843" s="175">
        <v>244</v>
      </c>
      <c r="G843" s="75">
        <v>0</v>
      </c>
      <c r="H843" s="75">
        <v>0</v>
      </c>
      <c r="I843" s="75">
        <v>0</v>
      </c>
      <c r="J843" s="75">
        <v>0</v>
      </c>
      <c r="K843" s="75">
        <v>0</v>
      </c>
      <c r="L843" s="134">
        <v>6.8860000000000001</v>
      </c>
      <c r="M843" s="135"/>
      <c r="N843" s="135">
        <v>6.8860000000000001</v>
      </c>
      <c r="O843" s="135"/>
      <c r="P843" s="135"/>
      <c r="Q843" s="135">
        <v>3.5</v>
      </c>
      <c r="R843" s="135"/>
      <c r="S843" s="135"/>
      <c r="T843" s="135">
        <v>3.5</v>
      </c>
      <c r="U843" s="135"/>
      <c r="V843" s="135"/>
      <c r="W843" s="135"/>
      <c r="X843" s="175"/>
      <c r="Y843" s="541" t="s">
        <v>318</v>
      </c>
    </row>
    <row r="844" spans="1:25" ht="30.6" customHeight="1">
      <c r="A844" s="540"/>
      <c r="B844" s="175" t="s">
        <v>460</v>
      </c>
      <c r="C844" s="175"/>
      <c r="D844" s="175"/>
      <c r="E844" s="175"/>
      <c r="F844" s="175"/>
      <c r="G844" s="75"/>
      <c r="H844" s="75"/>
      <c r="I844" s="75"/>
      <c r="J844" s="75"/>
      <c r="K844" s="75"/>
      <c r="L844" s="134"/>
      <c r="M844" s="135"/>
      <c r="N844" s="135"/>
      <c r="O844" s="135"/>
      <c r="P844" s="135"/>
      <c r="Q844" s="135">
        <f>Q845+Q846</f>
        <v>11868.9</v>
      </c>
      <c r="R844" s="135"/>
      <c r="S844" s="135"/>
      <c r="T844" s="135">
        <v>12230</v>
      </c>
      <c r="U844" s="135"/>
      <c r="V844" s="135">
        <f t="shared" ref="V844:W844" si="341">V845+V846</f>
        <v>0</v>
      </c>
      <c r="W844" s="135">
        <f t="shared" si="341"/>
        <v>0</v>
      </c>
      <c r="X844" s="175"/>
      <c r="Y844" s="541"/>
    </row>
    <row r="845" spans="1:25" ht="30.6" customHeight="1">
      <c r="A845" s="540"/>
      <c r="B845" s="175" t="s">
        <v>457</v>
      </c>
      <c r="C845" s="175"/>
      <c r="D845" s="175"/>
      <c r="E845" s="175"/>
      <c r="F845" s="175"/>
      <c r="G845" s="75"/>
      <c r="H845" s="75"/>
      <c r="I845" s="75"/>
      <c r="J845" s="75"/>
      <c r="K845" s="75"/>
      <c r="L845" s="134"/>
      <c r="M845" s="135"/>
      <c r="N845" s="135"/>
      <c r="O845" s="135"/>
      <c r="P845" s="135"/>
      <c r="Q845" s="135">
        <f>T845</f>
        <v>11868.9</v>
      </c>
      <c r="R845" s="135"/>
      <c r="S845" s="135"/>
      <c r="T845" s="135">
        <f>12230-183.4-177.7</f>
        <v>11868.9</v>
      </c>
      <c r="U845" s="135"/>
      <c r="V845" s="135"/>
      <c r="W845" s="135"/>
      <c r="X845" s="175"/>
      <c r="Y845" s="541"/>
    </row>
    <row r="846" spans="1:25" ht="0.6" customHeight="1">
      <c r="A846" s="540"/>
      <c r="B846" s="175" t="s">
        <v>458</v>
      </c>
      <c r="C846" s="175"/>
      <c r="D846" s="175"/>
      <c r="E846" s="175"/>
      <c r="F846" s="175"/>
      <c r="G846" s="75"/>
      <c r="H846" s="75"/>
      <c r="I846" s="75"/>
      <c r="J846" s="75"/>
      <c r="K846" s="75"/>
      <c r="L846" s="134">
        <f>18570.7</f>
        <v>18570.7</v>
      </c>
      <c r="M846" s="135">
        <v>11971.3</v>
      </c>
      <c r="N846" s="135">
        <v>6599.4</v>
      </c>
      <c r="O846" s="135"/>
      <c r="P846" s="135"/>
      <c r="Q846" s="135"/>
      <c r="R846" s="135"/>
      <c r="S846" s="135"/>
      <c r="T846" s="135"/>
      <c r="U846" s="135"/>
      <c r="V846" s="135"/>
      <c r="W846" s="135"/>
      <c r="X846" s="175"/>
      <c r="Y846" s="541"/>
    </row>
    <row r="847" spans="1:25" ht="24.9" customHeight="1">
      <c r="A847" s="540" t="s">
        <v>351</v>
      </c>
      <c r="B847" s="175" t="s">
        <v>91</v>
      </c>
      <c r="C847" s="175"/>
      <c r="D847" s="175"/>
      <c r="E847" s="175"/>
      <c r="F847" s="175"/>
      <c r="G847" s="75"/>
      <c r="H847" s="75"/>
      <c r="I847" s="75"/>
      <c r="J847" s="75"/>
      <c r="K847" s="75">
        <v>0</v>
      </c>
      <c r="L847" s="134">
        <v>16.649999999999999</v>
      </c>
      <c r="M847" s="135"/>
      <c r="N847" s="135">
        <v>16.649999999999999</v>
      </c>
      <c r="O847" s="135"/>
      <c r="P847" s="135"/>
      <c r="Q847" s="135"/>
      <c r="R847" s="135"/>
      <c r="S847" s="135"/>
      <c r="T847" s="135"/>
      <c r="U847" s="135"/>
      <c r="V847" s="135">
        <v>5.9</v>
      </c>
      <c r="W847" s="135">
        <v>4.45</v>
      </c>
      <c r="X847" s="175"/>
      <c r="Y847" s="541" t="s">
        <v>468</v>
      </c>
    </row>
    <row r="848" spans="1:25" ht="24.9" customHeight="1">
      <c r="A848" s="540"/>
      <c r="B848" s="175" t="s">
        <v>460</v>
      </c>
      <c r="C848" s="175"/>
      <c r="D848" s="175"/>
      <c r="E848" s="175"/>
      <c r="F848" s="175"/>
      <c r="G848" s="75"/>
      <c r="H848" s="75"/>
      <c r="I848" s="75"/>
      <c r="J848" s="75"/>
      <c r="K848" s="75"/>
      <c r="L848" s="134"/>
      <c r="M848" s="135"/>
      <c r="N848" s="135"/>
      <c r="O848" s="135"/>
      <c r="P848" s="135"/>
      <c r="Q848" s="135">
        <f>Q849</f>
        <v>13513.599999999999</v>
      </c>
      <c r="R848" s="135">
        <f t="shared" ref="R848:U848" si="342">R849</f>
        <v>0</v>
      </c>
      <c r="S848" s="135">
        <f t="shared" si="342"/>
        <v>0</v>
      </c>
      <c r="T848" s="135">
        <f t="shared" si="342"/>
        <v>13513.599999999999</v>
      </c>
      <c r="U848" s="135">
        <f t="shared" si="342"/>
        <v>0</v>
      </c>
      <c r="V848" s="157">
        <f>V849+V850</f>
        <v>6524.7999999999993</v>
      </c>
      <c r="W848" s="157">
        <f>W849+W850</f>
        <v>7000.3</v>
      </c>
      <c r="X848" s="175"/>
      <c r="Y848" s="541"/>
    </row>
    <row r="849" spans="1:25" ht="24.9" customHeight="1">
      <c r="A849" s="540"/>
      <c r="B849" s="175" t="s">
        <v>457</v>
      </c>
      <c r="C849" s="175"/>
      <c r="D849" s="175"/>
      <c r="E849" s="175"/>
      <c r="F849" s="175"/>
      <c r="G849" s="75"/>
      <c r="H849" s="75"/>
      <c r="I849" s="75"/>
      <c r="J849" s="75"/>
      <c r="K849" s="75"/>
      <c r="L849" s="134"/>
      <c r="M849" s="135"/>
      <c r="N849" s="135"/>
      <c r="O849" s="135"/>
      <c r="P849" s="135"/>
      <c r="Q849" s="135">
        <f>T849</f>
        <v>13513.599999999999</v>
      </c>
      <c r="R849" s="135"/>
      <c r="S849" s="135"/>
      <c r="T849" s="135">
        <f>8583.8+4929.8</f>
        <v>13513.599999999999</v>
      </c>
      <c r="U849" s="135"/>
      <c r="V849" s="157">
        <f>15174.8-8650</f>
        <v>6524.7999999999993</v>
      </c>
      <c r="W849" s="157">
        <v>7000.3</v>
      </c>
      <c r="X849" s="175"/>
      <c r="Y849" s="541"/>
    </row>
    <row r="850" spans="1:25" s="56" customFormat="1" ht="0.6" customHeight="1">
      <c r="A850" s="540"/>
      <c r="B850" s="175" t="s">
        <v>477</v>
      </c>
      <c r="C850" s="175"/>
      <c r="D850" s="175"/>
      <c r="E850" s="175"/>
      <c r="F850" s="175"/>
      <c r="G850" s="75"/>
      <c r="H850" s="75"/>
      <c r="I850" s="75"/>
      <c r="J850" s="75"/>
      <c r="K850" s="75"/>
      <c r="L850" s="134">
        <v>32771.599999999999</v>
      </c>
      <c r="M850" s="135"/>
      <c r="N850" s="135">
        <v>32771.599999999999</v>
      </c>
      <c r="O850" s="135"/>
      <c r="P850" s="135"/>
      <c r="Q850" s="135">
        <v>0</v>
      </c>
      <c r="R850" s="135"/>
      <c r="S850" s="135"/>
      <c r="T850" s="135"/>
      <c r="U850" s="135"/>
      <c r="V850" s="135">
        <v>0</v>
      </c>
      <c r="W850" s="135"/>
      <c r="X850" s="175"/>
      <c r="Y850" s="541"/>
    </row>
    <row r="851" spans="1:25" s="56" customFormat="1" ht="24.9" customHeight="1">
      <c r="A851" s="536" t="s">
        <v>643</v>
      </c>
      <c r="B851" s="415" t="s">
        <v>91</v>
      </c>
      <c r="C851" s="415"/>
      <c r="D851" s="415"/>
      <c r="E851" s="415"/>
      <c r="F851" s="415"/>
      <c r="G851" s="75"/>
      <c r="H851" s="75"/>
      <c r="I851" s="75"/>
      <c r="J851" s="75"/>
      <c r="K851" s="75"/>
      <c r="L851" s="134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>
        <v>3.8</v>
      </c>
      <c r="W851" s="135"/>
      <c r="X851" s="415"/>
      <c r="Y851" s="533" t="s">
        <v>645</v>
      </c>
    </row>
    <row r="852" spans="1:25" s="56" customFormat="1" ht="24.9" customHeight="1">
      <c r="A852" s="537"/>
      <c r="B852" s="415" t="s">
        <v>299</v>
      </c>
      <c r="C852" s="415"/>
      <c r="D852" s="415"/>
      <c r="E852" s="415"/>
      <c r="F852" s="415"/>
      <c r="G852" s="75"/>
      <c r="H852" s="75"/>
      <c r="I852" s="75"/>
      <c r="J852" s="75"/>
      <c r="K852" s="75"/>
      <c r="L852" s="134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>
        <f>V853+V854</f>
        <v>14760</v>
      </c>
      <c r="W852" s="135"/>
      <c r="X852" s="415"/>
      <c r="Y852" s="534"/>
    </row>
    <row r="853" spans="1:25" s="56" customFormat="1" ht="24.9" customHeight="1">
      <c r="A853" s="537"/>
      <c r="B853" s="415" t="s">
        <v>457</v>
      </c>
      <c r="C853" s="415"/>
      <c r="D853" s="415"/>
      <c r="E853" s="415"/>
      <c r="F853" s="415"/>
      <c r="G853" s="75"/>
      <c r="H853" s="75"/>
      <c r="I853" s="75"/>
      <c r="J853" s="75"/>
      <c r="K853" s="75"/>
      <c r="L853" s="134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>
        <v>14760</v>
      </c>
      <c r="W853" s="135"/>
      <c r="X853" s="415"/>
      <c r="Y853" s="534"/>
    </row>
    <row r="854" spans="1:25" s="56" customFormat="1" ht="24.6" hidden="1" customHeight="1">
      <c r="A854" s="538"/>
      <c r="B854" s="415" t="s">
        <v>477</v>
      </c>
      <c r="C854" s="415"/>
      <c r="D854" s="415"/>
      <c r="E854" s="415"/>
      <c r="F854" s="415"/>
      <c r="G854" s="75"/>
      <c r="H854" s="75"/>
      <c r="I854" s="75"/>
      <c r="J854" s="75"/>
      <c r="K854" s="75"/>
      <c r="L854" s="134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415"/>
      <c r="Y854" s="535"/>
    </row>
    <row r="855" spans="1:25" s="56" customFormat="1" ht="24.9" customHeight="1">
      <c r="A855" s="536" t="s">
        <v>637</v>
      </c>
      <c r="B855" s="415" t="s">
        <v>91</v>
      </c>
      <c r="C855" s="415"/>
      <c r="D855" s="415"/>
      <c r="E855" s="415"/>
      <c r="F855" s="415"/>
      <c r="G855" s="75"/>
      <c r="H855" s="75"/>
      <c r="I855" s="75"/>
      <c r="J855" s="75"/>
      <c r="K855" s="75"/>
      <c r="L855" s="134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>
        <v>11.3</v>
      </c>
      <c r="X855" s="415"/>
      <c r="Y855" s="533" t="s">
        <v>646</v>
      </c>
    </row>
    <row r="856" spans="1:25" s="56" customFormat="1" ht="24.9" customHeight="1">
      <c r="A856" s="537"/>
      <c r="B856" s="415" t="s">
        <v>299</v>
      </c>
      <c r="C856" s="415"/>
      <c r="D856" s="415"/>
      <c r="E856" s="415"/>
      <c r="F856" s="415"/>
      <c r="G856" s="75"/>
      <c r="H856" s="75"/>
      <c r="I856" s="75"/>
      <c r="J856" s="75"/>
      <c r="K856" s="75"/>
      <c r="L856" s="134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>
        <f>W857</f>
        <v>17000</v>
      </c>
      <c r="X856" s="415"/>
      <c r="Y856" s="534"/>
    </row>
    <row r="857" spans="1:25" s="56" customFormat="1" ht="24.9" customHeight="1">
      <c r="A857" s="537"/>
      <c r="B857" s="415" t="s">
        <v>457</v>
      </c>
      <c r="C857" s="415"/>
      <c r="D857" s="415"/>
      <c r="E857" s="415"/>
      <c r="F857" s="415"/>
      <c r="G857" s="75"/>
      <c r="H857" s="75"/>
      <c r="I857" s="75"/>
      <c r="J857" s="75"/>
      <c r="K857" s="75"/>
      <c r="L857" s="134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>
        <v>17000</v>
      </c>
      <c r="X857" s="415"/>
      <c r="Y857" s="534"/>
    </row>
    <row r="858" spans="1:25" s="56" customFormat="1" ht="0.6" customHeight="1">
      <c r="A858" s="538"/>
      <c r="B858" s="415" t="s">
        <v>477</v>
      </c>
      <c r="C858" s="415"/>
      <c r="D858" s="415"/>
      <c r="E858" s="415"/>
      <c r="F858" s="415"/>
      <c r="G858" s="75"/>
      <c r="H858" s="75"/>
      <c r="I858" s="75"/>
      <c r="J858" s="75"/>
      <c r="K858" s="75"/>
      <c r="L858" s="134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415"/>
      <c r="Y858" s="535"/>
    </row>
    <row r="859" spans="1:25" s="56" customFormat="1" ht="24.9" customHeight="1">
      <c r="A859" s="540" t="s">
        <v>207</v>
      </c>
      <c r="B859" s="175" t="s">
        <v>91</v>
      </c>
      <c r="C859" s="175">
        <v>176</v>
      </c>
      <c r="D859" s="175" t="s">
        <v>16</v>
      </c>
      <c r="E859" s="175">
        <v>6100404</v>
      </c>
      <c r="F859" s="175">
        <v>244</v>
      </c>
      <c r="G859" s="75">
        <v>0</v>
      </c>
      <c r="H859" s="75">
        <v>0</v>
      </c>
      <c r="I859" s="75">
        <v>0</v>
      </c>
      <c r="J859" s="75">
        <v>0</v>
      </c>
      <c r="K859" s="75">
        <v>0</v>
      </c>
      <c r="L859" s="135">
        <v>0</v>
      </c>
      <c r="M859" s="135"/>
      <c r="N859" s="135"/>
      <c r="O859" s="135"/>
      <c r="P859" s="135"/>
      <c r="Q859" s="135"/>
      <c r="R859" s="135"/>
      <c r="S859" s="135"/>
      <c r="T859" s="135"/>
      <c r="U859" s="135"/>
      <c r="V859" s="135">
        <v>7.84</v>
      </c>
      <c r="W859" s="135">
        <v>2</v>
      </c>
      <c r="X859" s="175"/>
      <c r="Y859" s="541" t="s">
        <v>641</v>
      </c>
    </row>
    <row r="860" spans="1:25" s="56" customFormat="1" ht="24.9" customHeight="1">
      <c r="A860" s="540"/>
      <c r="B860" s="175" t="s">
        <v>299</v>
      </c>
      <c r="C860" s="175"/>
      <c r="D860" s="175"/>
      <c r="E860" s="175"/>
      <c r="F860" s="175"/>
      <c r="G860" s="75"/>
      <c r="H860" s="75"/>
      <c r="I860" s="75"/>
      <c r="J860" s="75"/>
      <c r="K860" s="75"/>
      <c r="L860" s="135"/>
      <c r="M860" s="135"/>
      <c r="N860" s="135"/>
      <c r="O860" s="135"/>
      <c r="P860" s="135"/>
      <c r="Q860" s="135">
        <f>Q861+Q862</f>
        <v>51740</v>
      </c>
      <c r="R860" s="135">
        <f t="shared" ref="R860:U860" si="343">R861+R862</f>
        <v>0</v>
      </c>
      <c r="S860" s="135">
        <f t="shared" si="343"/>
        <v>0</v>
      </c>
      <c r="T860" s="135">
        <f t="shared" si="343"/>
        <v>0</v>
      </c>
      <c r="U860" s="135">
        <f t="shared" si="343"/>
        <v>51740</v>
      </c>
      <c r="V860" s="135">
        <f>V861+V862</f>
        <v>29760</v>
      </c>
      <c r="W860" s="135">
        <f>W861+W862</f>
        <v>28053.8</v>
      </c>
      <c r="X860" s="175"/>
      <c r="Y860" s="541"/>
    </row>
    <row r="861" spans="1:25" s="56" customFormat="1" ht="24.9" customHeight="1">
      <c r="A861" s="540"/>
      <c r="B861" s="175" t="s">
        <v>457</v>
      </c>
      <c r="C861" s="175"/>
      <c r="D861" s="175"/>
      <c r="E861" s="175"/>
      <c r="F861" s="175"/>
      <c r="G861" s="75"/>
      <c r="H861" s="75"/>
      <c r="I861" s="75"/>
      <c r="J861" s="75"/>
      <c r="K861" s="75"/>
      <c r="L861" s="135"/>
      <c r="M861" s="135"/>
      <c r="N861" s="135"/>
      <c r="O861" s="135"/>
      <c r="P861" s="135"/>
      <c r="Q861" s="135">
        <f>U861</f>
        <v>5740</v>
      </c>
      <c r="R861" s="135"/>
      <c r="S861" s="135"/>
      <c r="T861" s="135"/>
      <c r="U861" s="135">
        <f>6000-260</f>
        <v>5740</v>
      </c>
      <c r="V861" s="135">
        <v>1700</v>
      </c>
      <c r="W861" s="135">
        <v>28053.8</v>
      </c>
      <c r="X861" s="175"/>
      <c r="Y861" s="541"/>
    </row>
    <row r="862" spans="1:25" ht="24.9" customHeight="1">
      <c r="A862" s="540"/>
      <c r="B862" s="175" t="s">
        <v>477</v>
      </c>
      <c r="C862" s="175"/>
      <c r="D862" s="175"/>
      <c r="E862" s="175"/>
      <c r="F862" s="175"/>
      <c r="G862" s="75"/>
      <c r="H862" s="75"/>
      <c r="I862" s="75"/>
      <c r="J862" s="75"/>
      <c r="K862" s="75"/>
      <c r="L862" s="135"/>
      <c r="M862" s="135"/>
      <c r="N862" s="135"/>
      <c r="O862" s="135"/>
      <c r="P862" s="135"/>
      <c r="Q862" s="135">
        <v>46000</v>
      </c>
      <c r="R862" s="135"/>
      <c r="S862" s="135"/>
      <c r="T862" s="135"/>
      <c r="U862" s="135">
        <v>46000</v>
      </c>
      <c r="V862" s="135">
        <v>28060</v>
      </c>
      <c r="W862" s="135"/>
      <c r="X862" s="175"/>
      <c r="Y862" s="541"/>
    </row>
    <row r="863" spans="1:25" ht="24.9" customHeight="1">
      <c r="A863" s="539" t="s">
        <v>107</v>
      </c>
      <c r="B863" s="83" t="s">
        <v>91</v>
      </c>
      <c r="C863" s="83"/>
      <c r="D863" s="83"/>
      <c r="E863" s="83"/>
      <c r="F863" s="83"/>
      <c r="G863" s="81">
        <f>G865</f>
        <v>0</v>
      </c>
      <c r="H863" s="81">
        <f t="shared" ref="H863:W864" si="344">H865</f>
        <v>0</v>
      </c>
      <c r="I863" s="81">
        <f t="shared" si="344"/>
        <v>0</v>
      </c>
      <c r="J863" s="81">
        <f t="shared" si="344"/>
        <v>0</v>
      </c>
      <c r="K863" s="81">
        <f t="shared" si="344"/>
        <v>0</v>
      </c>
      <c r="L863" s="134">
        <f t="shared" si="344"/>
        <v>8.6</v>
      </c>
      <c r="M863" s="134">
        <f t="shared" si="344"/>
        <v>0</v>
      </c>
      <c r="N863" s="134">
        <f t="shared" si="344"/>
        <v>8.6</v>
      </c>
      <c r="O863" s="134">
        <f t="shared" si="344"/>
        <v>0</v>
      </c>
      <c r="P863" s="134">
        <f t="shared" si="344"/>
        <v>0</v>
      </c>
      <c r="Q863" s="134">
        <f t="shared" si="344"/>
        <v>0</v>
      </c>
      <c r="R863" s="134"/>
      <c r="S863" s="134"/>
      <c r="T863" s="134"/>
      <c r="U863" s="134"/>
      <c r="V863" s="134">
        <f t="shared" si="344"/>
        <v>0</v>
      </c>
      <c r="W863" s="134">
        <f t="shared" si="344"/>
        <v>10.199999999999999</v>
      </c>
      <c r="X863" s="175"/>
      <c r="Y863" s="83"/>
    </row>
    <row r="864" spans="1:25" s="56" customFormat="1" ht="24.9" customHeight="1">
      <c r="A864" s="539"/>
      <c r="B864" s="83" t="s">
        <v>299</v>
      </c>
      <c r="C864" s="83"/>
      <c r="D864" s="83"/>
      <c r="E864" s="83"/>
      <c r="F864" s="83"/>
      <c r="G864" s="81">
        <f>G866</f>
        <v>0</v>
      </c>
      <c r="H864" s="81">
        <f t="shared" si="344"/>
        <v>0</v>
      </c>
      <c r="I864" s="81">
        <f t="shared" si="344"/>
        <v>0</v>
      </c>
      <c r="J864" s="81">
        <f t="shared" si="344"/>
        <v>0</v>
      </c>
      <c r="K864" s="81">
        <f t="shared" si="344"/>
        <v>0</v>
      </c>
      <c r="L864" s="134">
        <f t="shared" si="344"/>
        <v>18527.400000000001</v>
      </c>
      <c r="M864" s="134">
        <f t="shared" si="344"/>
        <v>0</v>
      </c>
      <c r="N864" s="134">
        <f t="shared" si="344"/>
        <v>18527.400000000001</v>
      </c>
      <c r="O864" s="134">
        <f t="shared" si="344"/>
        <v>0</v>
      </c>
      <c r="P864" s="134">
        <f t="shared" si="344"/>
        <v>0</v>
      </c>
      <c r="Q864" s="134">
        <f t="shared" si="344"/>
        <v>0</v>
      </c>
      <c r="R864" s="134"/>
      <c r="S864" s="134"/>
      <c r="T864" s="134"/>
      <c r="U864" s="134"/>
      <c r="V864" s="134">
        <f t="shared" si="344"/>
        <v>0</v>
      </c>
      <c r="W864" s="134">
        <f t="shared" si="344"/>
        <v>25398.2</v>
      </c>
      <c r="X864" s="175"/>
      <c r="Y864" s="83"/>
    </row>
    <row r="865" spans="1:25" s="56" customFormat="1" ht="24.9" customHeight="1">
      <c r="A865" s="540" t="s">
        <v>179</v>
      </c>
      <c r="B865" s="175" t="s">
        <v>91</v>
      </c>
      <c r="C865" s="175">
        <v>176</v>
      </c>
      <c r="D865" s="175" t="s">
        <v>16</v>
      </c>
      <c r="E865" s="175">
        <v>6100404</v>
      </c>
      <c r="F865" s="175">
        <v>244</v>
      </c>
      <c r="G865" s="75">
        <v>0</v>
      </c>
      <c r="H865" s="75">
        <v>0</v>
      </c>
      <c r="I865" s="75">
        <v>0</v>
      </c>
      <c r="J865" s="75">
        <v>0</v>
      </c>
      <c r="K865" s="75">
        <v>0</v>
      </c>
      <c r="L865" s="135">
        <v>8.6</v>
      </c>
      <c r="M865" s="135"/>
      <c r="N865" s="135">
        <v>8.6</v>
      </c>
      <c r="O865" s="135"/>
      <c r="P865" s="135"/>
      <c r="Q865" s="135"/>
      <c r="R865" s="135"/>
      <c r="S865" s="135"/>
      <c r="T865" s="135"/>
      <c r="U865" s="135"/>
      <c r="V865" s="135"/>
      <c r="W865" s="135">
        <v>10.199999999999999</v>
      </c>
      <c r="X865" s="175"/>
      <c r="Y865" s="541" t="s">
        <v>648</v>
      </c>
    </row>
    <row r="866" spans="1:25" ht="24.9" customHeight="1">
      <c r="A866" s="540"/>
      <c r="B866" s="175" t="s">
        <v>299</v>
      </c>
      <c r="C866" s="175"/>
      <c r="D866" s="175"/>
      <c r="E866" s="175"/>
      <c r="F866" s="175"/>
      <c r="G866" s="75"/>
      <c r="H866" s="75"/>
      <c r="I866" s="75"/>
      <c r="J866" s="75"/>
      <c r="K866" s="75"/>
      <c r="L866" s="135">
        <v>18527.400000000001</v>
      </c>
      <c r="M866" s="135"/>
      <c r="N866" s="135">
        <v>18527.400000000001</v>
      </c>
      <c r="O866" s="135"/>
      <c r="P866" s="135"/>
      <c r="Q866" s="135"/>
      <c r="R866" s="135"/>
      <c r="S866" s="135"/>
      <c r="T866" s="135"/>
      <c r="U866" s="135"/>
      <c r="V866" s="135"/>
      <c r="W866" s="135">
        <v>25398.2</v>
      </c>
      <c r="X866" s="175"/>
      <c r="Y866" s="541"/>
    </row>
    <row r="867" spans="1:25" ht="24.6" hidden="1" customHeight="1">
      <c r="A867" s="539" t="s">
        <v>180</v>
      </c>
      <c r="B867" s="83" t="s">
        <v>91</v>
      </c>
      <c r="C867" s="83"/>
      <c r="D867" s="83"/>
      <c r="E867" s="83"/>
      <c r="F867" s="83"/>
      <c r="G867" s="81">
        <f>G869</f>
        <v>0</v>
      </c>
      <c r="H867" s="81">
        <f t="shared" ref="H867:V868" si="345">H869</f>
        <v>0</v>
      </c>
      <c r="I867" s="81">
        <f t="shared" si="345"/>
        <v>0</v>
      </c>
      <c r="J867" s="81">
        <f t="shared" si="345"/>
        <v>0</v>
      </c>
      <c r="K867" s="81">
        <f t="shared" si="345"/>
        <v>0</v>
      </c>
      <c r="L867" s="134">
        <f t="shared" si="345"/>
        <v>8</v>
      </c>
      <c r="M867" s="134">
        <f t="shared" si="345"/>
        <v>0</v>
      </c>
      <c r="N867" s="134">
        <f t="shared" si="345"/>
        <v>0</v>
      </c>
      <c r="O867" s="134">
        <f t="shared" si="345"/>
        <v>8</v>
      </c>
      <c r="P867" s="134">
        <f t="shared" si="345"/>
        <v>0</v>
      </c>
      <c r="Q867" s="134">
        <f t="shared" si="345"/>
        <v>0</v>
      </c>
      <c r="R867" s="134"/>
      <c r="S867" s="134"/>
      <c r="T867" s="134"/>
      <c r="U867" s="134"/>
      <c r="V867" s="134">
        <f t="shared" si="345"/>
        <v>0</v>
      </c>
      <c r="W867" s="134"/>
      <c r="X867" s="175"/>
      <c r="Y867" s="83"/>
    </row>
    <row r="868" spans="1:25" s="56" customFormat="1" ht="24.6" hidden="1" customHeight="1">
      <c r="A868" s="539"/>
      <c r="B868" s="83" t="s">
        <v>299</v>
      </c>
      <c r="C868" s="83"/>
      <c r="D868" s="83"/>
      <c r="E868" s="83"/>
      <c r="F868" s="83"/>
      <c r="G868" s="81">
        <f>G870</f>
        <v>0</v>
      </c>
      <c r="H868" s="81">
        <f t="shared" si="345"/>
        <v>0</v>
      </c>
      <c r="I868" s="81">
        <f t="shared" si="345"/>
        <v>0</v>
      </c>
      <c r="J868" s="81">
        <f t="shared" si="345"/>
        <v>0</v>
      </c>
      <c r="K868" s="81">
        <f t="shared" si="345"/>
        <v>0</v>
      </c>
      <c r="L868" s="134">
        <f t="shared" si="345"/>
        <v>17020.2</v>
      </c>
      <c r="M868" s="134">
        <f t="shared" si="345"/>
        <v>0</v>
      </c>
      <c r="N868" s="134">
        <f t="shared" si="345"/>
        <v>0</v>
      </c>
      <c r="O868" s="134">
        <f t="shared" si="345"/>
        <v>17020.2</v>
      </c>
      <c r="P868" s="134">
        <f t="shared" si="345"/>
        <v>0</v>
      </c>
      <c r="Q868" s="134">
        <f t="shared" si="345"/>
        <v>0</v>
      </c>
      <c r="R868" s="134"/>
      <c r="S868" s="134"/>
      <c r="T868" s="134"/>
      <c r="U868" s="134"/>
      <c r="V868" s="134">
        <f t="shared" si="345"/>
        <v>0</v>
      </c>
      <c r="W868" s="134"/>
      <c r="X868" s="175"/>
      <c r="Y868" s="83"/>
    </row>
    <row r="869" spans="1:25" s="56" customFormat="1" ht="24" hidden="1" customHeight="1">
      <c r="A869" s="540" t="s">
        <v>173</v>
      </c>
      <c r="B869" s="175" t="s">
        <v>91</v>
      </c>
      <c r="C869" s="175">
        <v>176</v>
      </c>
      <c r="D869" s="175" t="s">
        <v>16</v>
      </c>
      <c r="E869" s="175">
        <v>6100404</v>
      </c>
      <c r="F869" s="175">
        <v>244</v>
      </c>
      <c r="G869" s="75">
        <v>0</v>
      </c>
      <c r="H869" s="75">
        <v>0</v>
      </c>
      <c r="I869" s="75">
        <v>0</v>
      </c>
      <c r="J869" s="75">
        <v>0</v>
      </c>
      <c r="K869" s="75">
        <v>0</v>
      </c>
      <c r="L869" s="135">
        <v>8</v>
      </c>
      <c r="M869" s="135"/>
      <c r="N869" s="135"/>
      <c r="O869" s="135">
        <v>8</v>
      </c>
      <c r="P869" s="135"/>
      <c r="Q869" s="135"/>
      <c r="R869" s="135"/>
      <c r="S869" s="135"/>
      <c r="T869" s="135"/>
      <c r="U869" s="135"/>
      <c r="V869" s="135"/>
      <c r="W869" s="135"/>
      <c r="X869" s="175"/>
      <c r="Y869" s="541" t="s">
        <v>369</v>
      </c>
    </row>
    <row r="870" spans="1:25" ht="24.6" hidden="1" customHeight="1">
      <c r="A870" s="540"/>
      <c r="B870" s="175" t="s">
        <v>299</v>
      </c>
      <c r="C870" s="175"/>
      <c r="D870" s="175"/>
      <c r="E870" s="175"/>
      <c r="F870" s="175"/>
      <c r="G870" s="75"/>
      <c r="H870" s="75"/>
      <c r="I870" s="75"/>
      <c r="J870" s="75"/>
      <c r="K870" s="75"/>
      <c r="L870" s="135">
        <v>17020.2</v>
      </c>
      <c r="M870" s="135"/>
      <c r="N870" s="135"/>
      <c r="O870" s="135">
        <v>17020.2</v>
      </c>
      <c r="P870" s="135"/>
      <c r="Q870" s="135"/>
      <c r="R870" s="135"/>
      <c r="S870" s="135"/>
      <c r="T870" s="135"/>
      <c r="U870" s="135"/>
      <c r="V870" s="135"/>
      <c r="W870" s="135"/>
      <c r="X870" s="175"/>
      <c r="Y870" s="541"/>
    </row>
    <row r="871" spans="1:25" ht="24.6" customHeight="1">
      <c r="A871" s="539" t="s">
        <v>108</v>
      </c>
      <c r="B871" s="83" t="s">
        <v>91</v>
      </c>
      <c r="C871" s="83"/>
      <c r="D871" s="83"/>
      <c r="E871" s="83"/>
      <c r="F871" s="83"/>
      <c r="G871" s="81">
        <f>G873+G875</f>
        <v>0</v>
      </c>
      <c r="H871" s="81">
        <f t="shared" ref="H871:W872" si="346">H873+H875</f>
        <v>0</v>
      </c>
      <c r="I871" s="81">
        <f t="shared" si="346"/>
        <v>0</v>
      </c>
      <c r="J871" s="81">
        <f t="shared" si="346"/>
        <v>0</v>
      </c>
      <c r="K871" s="81">
        <f t="shared" si="346"/>
        <v>0</v>
      </c>
      <c r="L871" s="134">
        <f t="shared" si="346"/>
        <v>0</v>
      </c>
      <c r="M871" s="134"/>
      <c r="N871" s="134"/>
      <c r="O871" s="134"/>
      <c r="P871" s="134"/>
      <c r="Q871" s="134">
        <f t="shared" si="346"/>
        <v>0</v>
      </c>
      <c r="R871" s="134"/>
      <c r="S871" s="134"/>
      <c r="T871" s="134"/>
      <c r="U871" s="134"/>
      <c r="V871" s="134">
        <f t="shared" si="346"/>
        <v>0</v>
      </c>
      <c r="W871" s="134">
        <f t="shared" si="346"/>
        <v>3</v>
      </c>
      <c r="X871" s="175"/>
      <c r="Y871" s="83"/>
    </row>
    <row r="872" spans="1:25" ht="24.9" customHeight="1">
      <c r="A872" s="539"/>
      <c r="B872" s="83" t="s">
        <v>299</v>
      </c>
      <c r="C872" s="83"/>
      <c r="D872" s="83"/>
      <c r="E872" s="83"/>
      <c r="F872" s="83"/>
      <c r="G872" s="81">
        <f>G874+G876</f>
        <v>5975.1</v>
      </c>
      <c r="H872" s="81">
        <f t="shared" si="346"/>
        <v>5975.1</v>
      </c>
      <c r="I872" s="81">
        <f t="shared" si="346"/>
        <v>0</v>
      </c>
      <c r="J872" s="81">
        <f t="shared" si="346"/>
        <v>0</v>
      </c>
      <c r="K872" s="81">
        <f t="shared" si="346"/>
        <v>0</v>
      </c>
      <c r="L872" s="134">
        <f t="shared" si="346"/>
        <v>0</v>
      </c>
      <c r="M872" s="134"/>
      <c r="N872" s="134"/>
      <c r="O872" s="134"/>
      <c r="P872" s="134"/>
      <c r="Q872" s="134">
        <f t="shared" si="346"/>
        <v>0</v>
      </c>
      <c r="R872" s="134"/>
      <c r="S872" s="134"/>
      <c r="T872" s="134"/>
      <c r="U872" s="134"/>
      <c r="V872" s="134">
        <f t="shared" si="346"/>
        <v>0</v>
      </c>
      <c r="W872" s="134">
        <f t="shared" si="346"/>
        <v>7330.9</v>
      </c>
      <c r="X872" s="175"/>
      <c r="Y872" s="83"/>
    </row>
    <row r="873" spans="1:25" ht="24.9" hidden="1" customHeight="1">
      <c r="A873" s="540" t="s">
        <v>181</v>
      </c>
      <c r="B873" s="175" t="s">
        <v>91</v>
      </c>
      <c r="C873" s="175">
        <v>176</v>
      </c>
      <c r="D873" s="175" t="s">
        <v>16</v>
      </c>
      <c r="E873" s="175">
        <v>6100404</v>
      </c>
      <c r="F873" s="175">
        <v>244</v>
      </c>
      <c r="G873" s="75"/>
      <c r="H873" s="75"/>
      <c r="I873" s="75">
        <v>0</v>
      </c>
      <c r="J873" s="75"/>
      <c r="K873" s="75">
        <v>0</v>
      </c>
      <c r="L873" s="135">
        <v>0</v>
      </c>
      <c r="M873" s="135"/>
      <c r="N873" s="135"/>
      <c r="O873" s="135"/>
      <c r="P873" s="135"/>
      <c r="Q873" s="135">
        <v>0</v>
      </c>
      <c r="R873" s="135"/>
      <c r="S873" s="135"/>
      <c r="T873" s="135"/>
      <c r="U873" s="135"/>
      <c r="V873" s="135"/>
      <c r="W873" s="135"/>
      <c r="X873" s="175"/>
      <c r="Y873" s="541" t="s">
        <v>257</v>
      </c>
    </row>
    <row r="874" spans="1:25" s="56" customFormat="1" ht="24.9" hidden="1" customHeight="1">
      <c r="A874" s="540"/>
      <c r="B874" s="175" t="s">
        <v>299</v>
      </c>
      <c r="C874" s="175"/>
      <c r="D874" s="175"/>
      <c r="E874" s="175"/>
      <c r="F874" s="175"/>
      <c r="G874" s="75">
        <f>SUM(H874:K874)</f>
        <v>5975.1</v>
      </c>
      <c r="H874" s="75">
        <v>5975.1</v>
      </c>
      <c r="I874" s="75"/>
      <c r="J874" s="75"/>
      <c r="K874" s="7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75"/>
      <c r="Y874" s="541"/>
    </row>
    <row r="875" spans="1:25" s="56" customFormat="1" ht="24.9" customHeight="1">
      <c r="A875" s="540" t="s">
        <v>208</v>
      </c>
      <c r="B875" s="175" t="s">
        <v>91</v>
      </c>
      <c r="C875" s="175">
        <v>176</v>
      </c>
      <c r="D875" s="175" t="s">
        <v>16</v>
      </c>
      <c r="E875" s="175">
        <v>6100404</v>
      </c>
      <c r="F875" s="175">
        <v>244</v>
      </c>
      <c r="G875" s="75">
        <v>0</v>
      </c>
      <c r="H875" s="75">
        <v>0</v>
      </c>
      <c r="I875" s="75">
        <v>0</v>
      </c>
      <c r="J875" s="75">
        <v>0</v>
      </c>
      <c r="K875" s="75">
        <v>0</v>
      </c>
      <c r="L875" s="135">
        <v>0</v>
      </c>
      <c r="M875" s="135"/>
      <c r="N875" s="135"/>
      <c r="O875" s="135"/>
      <c r="P875" s="135"/>
      <c r="Q875" s="135">
        <v>0</v>
      </c>
      <c r="R875" s="135"/>
      <c r="S875" s="135"/>
      <c r="T875" s="135"/>
      <c r="U875" s="135"/>
      <c r="V875" s="135"/>
      <c r="W875" s="135">
        <v>3</v>
      </c>
      <c r="X875" s="175"/>
      <c r="Y875" s="541" t="s">
        <v>647</v>
      </c>
    </row>
    <row r="876" spans="1:25" ht="24.9" customHeight="1">
      <c r="A876" s="540"/>
      <c r="B876" s="175" t="s">
        <v>299</v>
      </c>
      <c r="C876" s="175"/>
      <c r="D876" s="175"/>
      <c r="E876" s="175"/>
      <c r="F876" s="175"/>
      <c r="G876" s="75"/>
      <c r="H876" s="75"/>
      <c r="I876" s="75"/>
      <c r="J876" s="75"/>
      <c r="K876" s="7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>
        <v>7330.9</v>
      </c>
      <c r="X876" s="175"/>
      <c r="Y876" s="541"/>
    </row>
    <row r="877" spans="1:25" ht="24.9" customHeight="1">
      <c r="A877" s="503" t="s">
        <v>143</v>
      </c>
      <c r="B877" s="83" t="s">
        <v>91</v>
      </c>
      <c r="C877" s="83"/>
      <c r="D877" s="83"/>
      <c r="E877" s="83"/>
      <c r="F877" s="83"/>
      <c r="G877" s="81">
        <f t="shared" ref="G877:O877" si="347">G881+G883+G885+G891</f>
        <v>0</v>
      </c>
      <c r="H877" s="81">
        <f t="shared" si="347"/>
        <v>0</v>
      </c>
      <c r="I877" s="81">
        <f t="shared" si="347"/>
        <v>0</v>
      </c>
      <c r="J877" s="81">
        <f t="shared" si="347"/>
        <v>0</v>
      </c>
      <c r="K877" s="81">
        <f t="shared" si="347"/>
        <v>0</v>
      </c>
      <c r="L877" s="134">
        <f t="shared" si="347"/>
        <v>27.15</v>
      </c>
      <c r="M877" s="134">
        <f t="shared" si="347"/>
        <v>25</v>
      </c>
      <c r="N877" s="134">
        <f t="shared" si="347"/>
        <v>0</v>
      </c>
      <c r="O877" s="134">
        <f t="shared" si="347"/>
        <v>2.15</v>
      </c>
      <c r="P877" s="134"/>
      <c r="Q877" s="134">
        <f>Q881+Q883+Q885+Q887</f>
        <v>29.39</v>
      </c>
      <c r="R877" s="134">
        <f t="shared" ref="R877:U877" si="348">R881+R883+R885+R887</f>
        <v>0</v>
      </c>
      <c r="S877" s="134">
        <f t="shared" si="348"/>
        <v>0</v>
      </c>
      <c r="T877" s="134">
        <f t="shared" si="348"/>
        <v>0</v>
      </c>
      <c r="U877" s="134">
        <f t="shared" si="348"/>
        <v>29.39</v>
      </c>
      <c r="V877" s="134">
        <f t="shared" ref="V877:W877" si="349">V881+V883+V885+V887+V891</f>
        <v>1.4</v>
      </c>
      <c r="W877" s="134">
        <f t="shared" si="349"/>
        <v>0</v>
      </c>
      <c r="X877" s="175"/>
      <c r="Y877" s="83"/>
    </row>
    <row r="878" spans="1:25" ht="24.9" customHeight="1">
      <c r="A878" s="504"/>
      <c r="B878" s="83" t="s">
        <v>460</v>
      </c>
      <c r="C878" s="83"/>
      <c r="D878" s="83"/>
      <c r="E878" s="83"/>
      <c r="F878" s="83"/>
      <c r="G878" s="81"/>
      <c r="H878" s="81"/>
      <c r="I878" s="81"/>
      <c r="J878" s="81"/>
      <c r="K878" s="81"/>
      <c r="L878" s="134"/>
      <c r="M878" s="134"/>
      <c r="N878" s="134"/>
      <c r="O878" s="134"/>
      <c r="P878" s="134"/>
      <c r="Q878" s="134">
        <f>Q879+Q880</f>
        <v>62074.1</v>
      </c>
      <c r="R878" s="134">
        <f t="shared" ref="R878:U878" si="350">R879+R880</f>
        <v>0</v>
      </c>
      <c r="S878" s="134">
        <f t="shared" si="350"/>
        <v>0</v>
      </c>
      <c r="T878" s="134">
        <f t="shared" si="350"/>
        <v>0</v>
      </c>
      <c r="U878" s="134">
        <f t="shared" si="350"/>
        <v>62074.1</v>
      </c>
      <c r="V878" s="134">
        <f t="shared" ref="V878:W878" si="351">V879+V880</f>
        <v>27404.2</v>
      </c>
      <c r="W878" s="134">
        <f t="shared" si="351"/>
        <v>0</v>
      </c>
      <c r="X878" s="175"/>
      <c r="Y878" s="83"/>
    </row>
    <row r="879" spans="1:25" ht="24.9" customHeight="1">
      <c r="A879" s="504"/>
      <c r="B879" s="83" t="s">
        <v>457</v>
      </c>
      <c r="C879" s="83"/>
      <c r="D879" s="83"/>
      <c r="E879" s="83"/>
      <c r="F879" s="83"/>
      <c r="G879" s="81"/>
      <c r="H879" s="81"/>
      <c r="I879" s="81"/>
      <c r="J879" s="81"/>
      <c r="K879" s="81"/>
      <c r="L879" s="134"/>
      <c r="M879" s="134"/>
      <c r="N879" s="134"/>
      <c r="O879" s="134"/>
      <c r="P879" s="134"/>
      <c r="Q879" s="134">
        <f>Q882+Q884+Q886+Q889+Q892</f>
        <v>29604.1</v>
      </c>
      <c r="R879" s="134">
        <f t="shared" ref="R879:U879" si="352">R882+R884+R886+R889+R892</f>
        <v>0</v>
      </c>
      <c r="S879" s="134">
        <f t="shared" si="352"/>
        <v>0</v>
      </c>
      <c r="T879" s="134">
        <f t="shared" si="352"/>
        <v>0</v>
      </c>
      <c r="U879" s="134">
        <f t="shared" si="352"/>
        <v>29604.1</v>
      </c>
      <c r="V879" s="134">
        <f t="shared" ref="V879:W879" si="353">V882+V884+V886+V889+V892</f>
        <v>27404.2</v>
      </c>
      <c r="W879" s="134">
        <f t="shared" si="353"/>
        <v>0</v>
      </c>
      <c r="X879" s="175"/>
      <c r="Y879" s="83"/>
    </row>
    <row r="880" spans="1:25" ht="24.9" customHeight="1">
      <c r="A880" s="506"/>
      <c r="B880" s="83" t="s">
        <v>477</v>
      </c>
      <c r="C880" s="83"/>
      <c r="D880" s="83"/>
      <c r="E880" s="83"/>
      <c r="F880" s="83"/>
      <c r="G880" s="81">
        <f t="shared" ref="G880:O880" si="354">G882+G884+G886+G892</f>
        <v>0</v>
      </c>
      <c r="H880" s="81">
        <f t="shared" si="354"/>
        <v>0</v>
      </c>
      <c r="I880" s="81">
        <f t="shared" si="354"/>
        <v>0</v>
      </c>
      <c r="J880" s="81">
        <f t="shared" si="354"/>
        <v>0</v>
      </c>
      <c r="K880" s="81">
        <f t="shared" si="354"/>
        <v>0</v>
      </c>
      <c r="L880" s="134">
        <f t="shared" si="354"/>
        <v>68521.3</v>
      </c>
      <c r="M880" s="134">
        <f t="shared" si="354"/>
        <v>45521.3</v>
      </c>
      <c r="N880" s="134">
        <f t="shared" si="354"/>
        <v>0</v>
      </c>
      <c r="O880" s="134">
        <f t="shared" si="354"/>
        <v>23000</v>
      </c>
      <c r="P880" s="134">
        <f>P882+P884+P886+P892</f>
        <v>0</v>
      </c>
      <c r="Q880" s="134">
        <f>Q890</f>
        <v>32470</v>
      </c>
      <c r="R880" s="134">
        <f t="shared" ref="R880:U880" si="355">R890</f>
        <v>0</v>
      </c>
      <c r="S880" s="134">
        <f t="shared" si="355"/>
        <v>0</v>
      </c>
      <c r="T880" s="134">
        <f t="shared" si="355"/>
        <v>0</v>
      </c>
      <c r="U880" s="134">
        <f t="shared" si="355"/>
        <v>32470</v>
      </c>
      <c r="V880" s="134">
        <f t="shared" ref="V880:W880" si="356">V890</f>
        <v>0</v>
      </c>
      <c r="W880" s="134">
        <f t="shared" si="356"/>
        <v>0</v>
      </c>
      <c r="X880" s="175"/>
      <c r="Y880" s="83"/>
    </row>
    <row r="881" spans="1:25" ht="0.6" customHeight="1">
      <c r="A881" s="557" t="s">
        <v>316</v>
      </c>
      <c r="B881" s="175" t="s">
        <v>91</v>
      </c>
      <c r="C881" s="175">
        <v>176</v>
      </c>
      <c r="D881" s="175" t="s">
        <v>16</v>
      </c>
      <c r="E881" s="175">
        <v>6100404</v>
      </c>
      <c r="F881" s="175">
        <v>244</v>
      </c>
      <c r="G881" s="75">
        <v>0</v>
      </c>
      <c r="H881" s="75">
        <v>0</v>
      </c>
      <c r="I881" s="75">
        <v>0</v>
      </c>
      <c r="J881" s="75">
        <f>G881</f>
        <v>0</v>
      </c>
      <c r="K881" s="75">
        <v>0</v>
      </c>
      <c r="L881" s="135">
        <v>25</v>
      </c>
      <c r="M881" s="135">
        <v>25</v>
      </c>
      <c r="N881" s="135"/>
      <c r="O881" s="135"/>
      <c r="P881" s="135"/>
      <c r="Q881" s="135">
        <v>0</v>
      </c>
      <c r="R881" s="135"/>
      <c r="S881" s="135"/>
      <c r="T881" s="135"/>
      <c r="U881" s="135"/>
      <c r="V881" s="135"/>
      <c r="W881" s="135"/>
      <c r="X881" s="175"/>
      <c r="Y881" s="541" t="s">
        <v>430</v>
      </c>
    </row>
    <row r="882" spans="1:25" ht="24.6" hidden="1" customHeight="1">
      <c r="A882" s="557"/>
      <c r="B882" s="175" t="s">
        <v>299</v>
      </c>
      <c r="C882" s="175"/>
      <c r="D882" s="175"/>
      <c r="E882" s="175"/>
      <c r="F882" s="175"/>
      <c r="G882" s="75"/>
      <c r="H882" s="75"/>
      <c r="I882" s="75"/>
      <c r="J882" s="75"/>
      <c r="K882" s="75"/>
      <c r="L882" s="135">
        <f>45521.3</f>
        <v>45521.3</v>
      </c>
      <c r="M882" s="135">
        <f>$L$882</f>
        <v>45521.3</v>
      </c>
      <c r="N882" s="135"/>
      <c r="O882" s="135"/>
      <c r="P882" s="135"/>
      <c r="Q882" s="135">
        <v>0</v>
      </c>
      <c r="R882" s="135"/>
      <c r="S882" s="135"/>
      <c r="T882" s="135"/>
      <c r="U882" s="135"/>
      <c r="V882" s="135"/>
      <c r="W882" s="135"/>
      <c r="X882" s="175"/>
      <c r="Y882" s="541"/>
    </row>
    <row r="883" spans="1:25" ht="22.95" customHeight="1">
      <c r="A883" s="557" t="s">
        <v>209</v>
      </c>
      <c r="B883" s="175" t="s">
        <v>91</v>
      </c>
      <c r="C883" s="175">
        <v>176</v>
      </c>
      <c r="D883" s="175" t="s">
        <v>16</v>
      </c>
      <c r="E883" s="175">
        <v>6100404</v>
      </c>
      <c r="F883" s="175">
        <v>244</v>
      </c>
      <c r="G883" s="75">
        <v>0</v>
      </c>
      <c r="H883" s="75">
        <v>0</v>
      </c>
      <c r="I883" s="75"/>
      <c r="J883" s="75">
        <v>0</v>
      </c>
      <c r="K883" s="75">
        <v>0</v>
      </c>
      <c r="L883" s="135">
        <v>2.15</v>
      </c>
      <c r="M883" s="135"/>
      <c r="N883" s="135"/>
      <c r="O883" s="135">
        <v>2.15</v>
      </c>
      <c r="P883" s="135"/>
      <c r="Q883" s="135"/>
      <c r="R883" s="135"/>
      <c r="S883" s="135"/>
      <c r="T883" s="135"/>
      <c r="U883" s="135"/>
      <c r="V883" s="135">
        <v>1.4</v>
      </c>
      <c r="W883" s="135"/>
      <c r="X883" s="175"/>
      <c r="Y883" s="541" t="s">
        <v>656</v>
      </c>
    </row>
    <row r="884" spans="1:25" ht="26.4" customHeight="1">
      <c r="A884" s="557"/>
      <c r="B884" s="175" t="s">
        <v>299</v>
      </c>
      <c r="C884" s="175"/>
      <c r="D884" s="175"/>
      <c r="E884" s="175"/>
      <c r="F884" s="175"/>
      <c r="G884" s="75"/>
      <c r="H884" s="75"/>
      <c r="I884" s="75"/>
      <c r="J884" s="75"/>
      <c r="K884" s="75"/>
      <c r="L884" s="135">
        <v>23000</v>
      </c>
      <c r="M884" s="135"/>
      <c r="N884" s="135"/>
      <c r="O884" s="135">
        <v>23000</v>
      </c>
      <c r="P884" s="135"/>
      <c r="Q884" s="135"/>
      <c r="R884" s="135"/>
      <c r="S884" s="135"/>
      <c r="T884" s="135"/>
      <c r="U884" s="135"/>
      <c r="V884" s="135">
        <f>18754.2+8650</f>
        <v>27404.2</v>
      </c>
      <c r="W884" s="135"/>
      <c r="X884" s="175"/>
      <c r="Y884" s="541"/>
    </row>
    <row r="885" spans="1:25" ht="1.2" hidden="1" customHeight="1">
      <c r="A885" s="542" t="s">
        <v>314</v>
      </c>
      <c r="B885" s="175" t="s">
        <v>91</v>
      </c>
      <c r="C885" s="175"/>
      <c r="D885" s="175"/>
      <c r="E885" s="175"/>
      <c r="F885" s="175"/>
      <c r="G885" s="75"/>
      <c r="H885" s="75"/>
      <c r="I885" s="75"/>
      <c r="J885" s="75"/>
      <c r="K885" s="7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75"/>
      <c r="Y885" s="541" t="s">
        <v>315</v>
      </c>
    </row>
    <row r="886" spans="1:25" s="56" customFormat="1" ht="24.6" hidden="1" customHeight="1">
      <c r="A886" s="542"/>
      <c r="B886" s="175" t="s">
        <v>299</v>
      </c>
      <c r="C886" s="175"/>
      <c r="D886" s="175"/>
      <c r="E886" s="175"/>
      <c r="F886" s="175"/>
      <c r="G886" s="75"/>
      <c r="H886" s="75"/>
      <c r="I886" s="75"/>
      <c r="J886" s="75"/>
      <c r="K886" s="7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75"/>
      <c r="Y886" s="541"/>
    </row>
    <row r="887" spans="1:25" s="56" customFormat="1" ht="24.6" customHeight="1">
      <c r="A887" s="546" t="s">
        <v>316</v>
      </c>
      <c r="B887" s="175" t="s">
        <v>91</v>
      </c>
      <c r="C887" s="175"/>
      <c r="D887" s="175"/>
      <c r="E887" s="175"/>
      <c r="F887" s="175"/>
      <c r="G887" s="75"/>
      <c r="H887" s="75"/>
      <c r="I887" s="75"/>
      <c r="J887" s="75"/>
      <c r="K887" s="75"/>
      <c r="L887" s="135"/>
      <c r="M887" s="135"/>
      <c r="N887" s="135"/>
      <c r="O887" s="135"/>
      <c r="P887" s="135"/>
      <c r="Q887" s="201">
        <v>26.09</v>
      </c>
      <c r="R887" s="201"/>
      <c r="S887" s="201"/>
      <c r="T887" s="201"/>
      <c r="U887" s="201">
        <v>26.09</v>
      </c>
      <c r="V887" s="201"/>
      <c r="W887" s="201"/>
      <c r="X887" s="175"/>
      <c r="Y887" s="533" t="s">
        <v>649</v>
      </c>
    </row>
    <row r="888" spans="1:25" s="56" customFormat="1" ht="24.6" customHeight="1">
      <c r="A888" s="547"/>
      <c r="B888" s="175" t="s">
        <v>460</v>
      </c>
      <c r="C888" s="175"/>
      <c r="D888" s="175"/>
      <c r="E888" s="175"/>
      <c r="F888" s="175"/>
      <c r="G888" s="75"/>
      <c r="H888" s="75"/>
      <c r="I888" s="75"/>
      <c r="J888" s="75"/>
      <c r="K888" s="75"/>
      <c r="L888" s="135"/>
      <c r="M888" s="135"/>
      <c r="N888" s="135"/>
      <c r="O888" s="135"/>
      <c r="P888" s="135"/>
      <c r="Q888" s="135">
        <f>Q889+Q890</f>
        <v>62074.1</v>
      </c>
      <c r="R888" s="135"/>
      <c r="S888" s="135"/>
      <c r="T888" s="135"/>
      <c r="U888" s="135">
        <v>64117.5</v>
      </c>
      <c r="V888" s="135">
        <f>V889+V890</f>
        <v>0</v>
      </c>
      <c r="W888" s="135">
        <f>W889+W890</f>
        <v>0</v>
      </c>
      <c r="X888" s="175"/>
      <c r="Y888" s="534"/>
    </row>
    <row r="889" spans="1:25" s="56" customFormat="1" ht="24.6" customHeight="1">
      <c r="A889" s="547"/>
      <c r="B889" s="175" t="s">
        <v>457</v>
      </c>
      <c r="C889" s="175"/>
      <c r="D889" s="175"/>
      <c r="E889" s="175"/>
      <c r="F889" s="175"/>
      <c r="G889" s="75"/>
      <c r="H889" s="75"/>
      <c r="I889" s="75"/>
      <c r="J889" s="75"/>
      <c r="K889" s="75"/>
      <c r="L889" s="135"/>
      <c r="M889" s="135"/>
      <c r="N889" s="135"/>
      <c r="O889" s="135"/>
      <c r="P889" s="135"/>
      <c r="Q889" s="135">
        <f>U889</f>
        <v>29604.1</v>
      </c>
      <c r="R889" s="135"/>
      <c r="S889" s="135"/>
      <c r="T889" s="135"/>
      <c r="U889" s="135">
        <f>32007.5-626.7-1776.7</f>
        <v>29604.1</v>
      </c>
      <c r="V889" s="135"/>
      <c r="W889" s="135"/>
      <c r="X889" s="175"/>
      <c r="Y889" s="534"/>
    </row>
    <row r="890" spans="1:25" s="56" customFormat="1" ht="24.6" customHeight="1">
      <c r="A890" s="548"/>
      <c r="B890" s="175" t="s">
        <v>477</v>
      </c>
      <c r="C890" s="175"/>
      <c r="D890" s="175"/>
      <c r="E890" s="175"/>
      <c r="F890" s="175"/>
      <c r="G890" s="75"/>
      <c r="H890" s="75"/>
      <c r="I890" s="75"/>
      <c r="J890" s="75"/>
      <c r="K890" s="75"/>
      <c r="L890" s="135"/>
      <c r="M890" s="135"/>
      <c r="N890" s="135"/>
      <c r="O890" s="135"/>
      <c r="P890" s="135"/>
      <c r="Q890" s="135">
        <f>U890</f>
        <v>32470</v>
      </c>
      <c r="R890" s="135"/>
      <c r="S890" s="135"/>
      <c r="T890" s="135"/>
      <c r="U890" s="135">
        <f>32110+360</f>
        <v>32470</v>
      </c>
      <c r="V890" s="135"/>
      <c r="W890" s="135"/>
      <c r="X890" s="175"/>
      <c r="Y890" s="535"/>
    </row>
    <row r="891" spans="1:25" s="56" customFormat="1" ht="0.6" customHeight="1">
      <c r="A891" s="543" t="s">
        <v>431</v>
      </c>
      <c r="B891" s="175" t="s">
        <v>91</v>
      </c>
      <c r="C891" s="175"/>
      <c r="D891" s="175"/>
      <c r="E891" s="175"/>
      <c r="F891" s="175"/>
      <c r="G891" s="75"/>
      <c r="H891" s="75"/>
      <c r="I891" s="75"/>
      <c r="J891" s="75"/>
      <c r="K891" s="75"/>
      <c r="L891" s="135"/>
      <c r="M891" s="135"/>
      <c r="N891" s="135"/>
      <c r="O891" s="135"/>
      <c r="P891" s="135"/>
      <c r="Q891" s="135">
        <v>0</v>
      </c>
      <c r="R891" s="135"/>
      <c r="S891" s="135"/>
      <c r="T891" s="135"/>
      <c r="U891" s="135"/>
      <c r="V891" s="135"/>
      <c r="W891" s="135"/>
      <c r="X891" s="175"/>
      <c r="Y891" s="541" t="s">
        <v>450</v>
      </c>
    </row>
    <row r="892" spans="1:25" ht="37.200000000000003" hidden="1" customHeight="1">
      <c r="A892" s="544"/>
      <c r="B892" s="175" t="s">
        <v>299</v>
      </c>
      <c r="C892" s="175"/>
      <c r="D892" s="175"/>
      <c r="E892" s="175"/>
      <c r="F892" s="175"/>
      <c r="G892" s="75"/>
      <c r="H892" s="75"/>
      <c r="I892" s="75"/>
      <c r="J892" s="75"/>
      <c r="K892" s="75"/>
      <c r="L892" s="135"/>
      <c r="M892" s="135"/>
      <c r="N892" s="135"/>
      <c r="O892" s="135"/>
      <c r="P892" s="135"/>
      <c r="Q892" s="135">
        <v>0</v>
      </c>
      <c r="R892" s="135"/>
      <c r="S892" s="135"/>
      <c r="T892" s="135"/>
      <c r="U892" s="135"/>
      <c r="V892" s="135"/>
      <c r="W892" s="135">
        <v>0</v>
      </c>
      <c r="X892" s="175"/>
      <c r="Y892" s="541"/>
    </row>
    <row r="893" spans="1:25" ht="0.6" hidden="1" customHeight="1">
      <c r="A893" s="545" t="s">
        <v>111</v>
      </c>
      <c r="B893" s="83" t="s">
        <v>91</v>
      </c>
      <c r="C893" s="83"/>
      <c r="D893" s="83"/>
      <c r="E893" s="83"/>
      <c r="F893" s="83"/>
      <c r="G893" s="81">
        <f>G895</f>
        <v>0</v>
      </c>
      <c r="H893" s="81">
        <f t="shared" ref="H893:Q893" si="357">H895</f>
        <v>0</v>
      </c>
      <c r="I893" s="81">
        <f t="shared" si="357"/>
        <v>0</v>
      </c>
      <c r="J893" s="81">
        <f t="shared" si="357"/>
        <v>0</v>
      </c>
      <c r="K893" s="81">
        <f t="shared" si="357"/>
        <v>0</v>
      </c>
      <c r="L893" s="134">
        <f t="shared" si="357"/>
        <v>0</v>
      </c>
      <c r="M893" s="134"/>
      <c r="N893" s="134"/>
      <c r="O893" s="134"/>
      <c r="P893" s="134"/>
      <c r="Q893" s="134">
        <f t="shared" si="357"/>
        <v>0</v>
      </c>
      <c r="R893" s="134"/>
      <c r="S893" s="134"/>
      <c r="T893" s="134"/>
      <c r="U893" s="134"/>
      <c r="V893" s="134"/>
      <c r="W893" s="134"/>
      <c r="X893" s="175"/>
      <c r="Y893" s="83"/>
    </row>
    <row r="894" spans="1:25" s="56" customFormat="1" ht="24.6" hidden="1" customHeight="1">
      <c r="A894" s="545"/>
      <c r="B894" s="83" t="s">
        <v>299</v>
      </c>
      <c r="C894" s="83"/>
      <c r="D894" s="83"/>
      <c r="E894" s="83"/>
      <c r="F894" s="83"/>
      <c r="G894" s="81"/>
      <c r="H894" s="81"/>
      <c r="I894" s="81"/>
      <c r="J894" s="81"/>
      <c r="K894" s="81"/>
      <c r="L894" s="134"/>
      <c r="M894" s="134"/>
      <c r="N894" s="134"/>
      <c r="O894" s="134"/>
      <c r="P894" s="134"/>
      <c r="Q894" s="134"/>
      <c r="R894" s="134"/>
      <c r="S894" s="134"/>
      <c r="T894" s="134"/>
      <c r="U894" s="134"/>
      <c r="V894" s="134"/>
      <c r="W894" s="134"/>
      <c r="X894" s="175"/>
      <c r="Y894" s="83"/>
    </row>
    <row r="895" spans="1:25" s="56" customFormat="1" ht="24.6" hidden="1" customHeight="1">
      <c r="A895" s="540" t="s">
        <v>182</v>
      </c>
      <c r="B895" s="175" t="s">
        <v>91</v>
      </c>
      <c r="C895" s="175">
        <v>176</v>
      </c>
      <c r="D895" s="175" t="s">
        <v>16</v>
      </c>
      <c r="E895" s="175">
        <v>6100404</v>
      </c>
      <c r="F895" s="175">
        <v>244</v>
      </c>
      <c r="G895" s="75">
        <v>0</v>
      </c>
      <c r="H895" s="75">
        <v>0</v>
      </c>
      <c r="I895" s="75">
        <v>0</v>
      </c>
      <c r="J895" s="75">
        <f>G895-I895</f>
        <v>0</v>
      </c>
      <c r="K895" s="75">
        <v>0</v>
      </c>
      <c r="L895" s="135"/>
      <c r="M895" s="135"/>
      <c r="N895" s="135"/>
      <c r="O895" s="135"/>
      <c r="P895" s="135"/>
      <c r="Q895" s="135">
        <v>0</v>
      </c>
      <c r="R895" s="135"/>
      <c r="S895" s="135"/>
      <c r="T895" s="135"/>
      <c r="U895" s="135"/>
      <c r="V895" s="135"/>
      <c r="W895" s="135"/>
      <c r="X895" s="175"/>
      <c r="Y895" s="175" t="s">
        <v>41</v>
      </c>
    </row>
    <row r="896" spans="1:25" ht="24.6" hidden="1" customHeight="1">
      <c r="A896" s="540"/>
      <c r="B896" s="175" t="s">
        <v>299</v>
      </c>
      <c r="C896" s="175"/>
      <c r="D896" s="175"/>
      <c r="E896" s="175"/>
      <c r="F896" s="175"/>
      <c r="G896" s="75"/>
      <c r="H896" s="75"/>
      <c r="I896" s="75"/>
      <c r="J896" s="75"/>
      <c r="K896" s="7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75"/>
      <c r="Y896" s="175"/>
    </row>
    <row r="897" spans="1:25" ht="24.6" customHeight="1">
      <c r="A897" s="539" t="s">
        <v>147</v>
      </c>
      <c r="B897" s="83" t="s">
        <v>91</v>
      </c>
      <c r="C897" s="83"/>
      <c r="D897" s="83"/>
      <c r="E897" s="83"/>
      <c r="F897" s="83"/>
      <c r="G897" s="81">
        <f>G899</f>
        <v>0</v>
      </c>
      <c r="H897" s="81">
        <f t="shared" ref="H897:W898" si="358">H899</f>
        <v>0</v>
      </c>
      <c r="I897" s="81">
        <f t="shared" si="358"/>
        <v>0</v>
      </c>
      <c r="J897" s="81">
        <f t="shared" si="358"/>
        <v>0</v>
      </c>
      <c r="K897" s="81">
        <f t="shared" si="358"/>
        <v>0</v>
      </c>
      <c r="L897" s="134">
        <f t="shared" si="358"/>
        <v>0</v>
      </c>
      <c r="M897" s="134"/>
      <c r="N897" s="134"/>
      <c r="O897" s="134"/>
      <c r="P897" s="134"/>
      <c r="Q897" s="134">
        <f t="shared" si="358"/>
        <v>0</v>
      </c>
      <c r="R897" s="134"/>
      <c r="S897" s="134"/>
      <c r="T897" s="134"/>
      <c r="U897" s="134"/>
      <c r="V897" s="134">
        <f t="shared" si="358"/>
        <v>11.5</v>
      </c>
      <c r="W897" s="134">
        <f t="shared" si="358"/>
        <v>0</v>
      </c>
      <c r="X897" s="175"/>
      <c r="Y897" s="83"/>
    </row>
    <row r="898" spans="1:25" ht="24.9" customHeight="1">
      <c r="A898" s="539"/>
      <c r="B898" s="83" t="s">
        <v>299</v>
      </c>
      <c r="C898" s="83"/>
      <c r="D898" s="83"/>
      <c r="E898" s="83"/>
      <c r="F898" s="83"/>
      <c r="G898" s="81">
        <f>G900</f>
        <v>0</v>
      </c>
      <c r="H898" s="81">
        <f t="shared" si="358"/>
        <v>0</v>
      </c>
      <c r="I898" s="81">
        <f t="shared" si="358"/>
        <v>0</v>
      </c>
      <c r="J898" s="81">
        <f t="shared" si="358"/>
        <v>0</v>
      </c>
      <c r="K898" s="81">
        <f t="shared" si="358"/>
        <v>0</v>
      </c>
      <c r="L898" s="134">
        <f t="shared" si="358"/>
        <v>0</v>
      </c>
      <c r="M898" s="134"/>
      <c r="N898" s="134"/>
      <c r="O898" s="134"/>
      <c r="P898" s="134"/>
      <c r="Q898" s="134">
        <f t="shared" si="358"/>
        <v>0</v>
      </c>
      <c r="R898" s="134"/>
      <c r="S898" s="134"/>
      <c r="T898" s="134"/>
      <c r="U898" s="134"/>
      <c r="V898" s="134">
        <f t="shared" si="358"/>
        <v>19933</v>
      </c>
      <c r="W898" s="134">
        <f t="shared" si="358"/>
        <v>10005.9</v>
      </c>
      <c r="X898" s="175"/>
      <c r="Y898" s="83"/>
    </row>
    <row r="899" spans="1:25" ht="24.9" customHeight="1">
      <c r="A899" s="540" t="s">
        <v>432</v>
      </c>
      <c r="B899" s="175" t="s">
        <v>91</v>
      </c>
      <c r="C899" s="175">
        <v>176</v>
      </c>
      <c r="D899" s="175" t="s">
        <v>16</v>
      </c>
      <c r="E899" s="175">
        <v>6100404</v>
      </c>
      <c r="F899" s="175">
        <v>244</v>
      </c>
      <c r="G899" s="75">
        <v>0</v>
      </c>
      <c r="H899" s="75">
        <v>0</v>
      </c>
      <c r="I899" s="75">
        <v>0</v>
      </c>
      <c r="J899" s="75">
        <v>0</v>
      </c>
      <c r="K899" s="75">
        <v>0</v>
      </c>
      <c r="L899" s="135">
        <v>0</v>
      </c>
      <c r="M899" s="135"/>
      <c r="N899" s="135"/>
      <c r="O899" s="135"/>
      <c r="P899" s="135"/>
      <c r="Q899" s="135"/>
      <c r="R899" s="135"/>
      <c r="S899" s="135"/>
      <c r="T899" s="135"/>
      <c r="U899" s="135"/>
      <c r="V899" s="135">
        <v>11.5</v>
      </c>
      <c r="W899" s="135"/>
      <c r="X899" s="175"/>
      <c r="Y899" s="541" t="s">
        <v>433</v>
      </c>
    </row>
    <row r="900" spans="1:25" ht="24">
      <c r="A900" s="540"/>
      <c r="B900" s="175" t="s">
        <v>299</v>
      </c>
      <c r="C900" s="175"/>
      <c r="D900" s="175"/>
      <c r="E900" s="175"/>
      <c r="F900" s="175"/>
      <c r="G900" s="75"/>
      <c r="H900" s="75"/>
      <c r="I900" s="75"/>
      <c r="J900" s="75"/>
      <c r="K900" s="7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>
        <v>19933</v>
      </c>
      <c r="W900" s="135">
        <v>10005.9</v>
      </c>
      <c r="X900" s="175"/>
      <c r="Y900" s="541"/>
    </row>
    <row r="901" spans="1:25" ht="24">
      <c r="A901" s="183" t="s">
        <v>33</v>
      </c>
      <c r="B901" s="175" t="s">
        <v>299</v>
      </c>
      <c r="C901" s="175">
        <v>176</v>
      </c>
      <c r="D901" s="175" t="s">
        <v>16</v>
      </c>
      <c r="E901" s="175">
        <v>6100404</v>
      </c>
      <c r="F901" s="175">
        <v>244</v>
      </c>
      <c r="G901" s="75">
        <f>SUM(H901:K901)</f>
        <v>686.9</v>
      </c>
      <c r="H901" s="75"/>
      <c r="I901" s="75"/>
      <c r="J901" s="75">
        <v>24.8</v>
      </c>
      <c r="K901" s="75">
        <v>662.1</v>
      </c>
      <c r="L901" s="135">
        <f>P901</f>
        <v>500</v>
      </c>
      <c r="M901" s="135"/>
      <c r="N901" s="135"/>
      <c r="O901" s="135"/>
      <c r="P901" s="135">
        <f>3000-1500-1000</f>
        <v>500</v>
      </c>
      <c r="Q901" s="134">
        <f>T901+U901</f>
        <v>365.59999999999997</v>
      </c>
      <c r="R901" s="134"/>
      <c r="S901" s="134"/>
      <c r="T901" s="135">
        <v>317.39999999999998</v>
      </c>
      <c r="U901" s="135">
        <v>48.2</v>
      </c>
      <c r="V901" s="134">
        <v>2000</v>
      </c>
      <c r="W901" s="134">
        <v>1500</v>
      </c>
      <c r="X901" s="175"/>
      <c r="Y901" s="175"/>
    </row>
    <row r="902" spans="1:25" ht="33.6" customHeight="1">
      <c r="A902" s="421" t="s">
        <v>252</v>
      </c>
      <c r="B902" s="420" t="s">
        <v>299</v>
      </c>
      <c r="C902" s="420"/>
      <c r="D902" s="420"/>
      <c r="E902" s="420"/>
      <c r="F902" s="420"/>
      <c r="G902" s="75"/>
      <c r="H902" s="75"/>
      <c r="I902" s="75"/>
      <c r="J902" s="75"/>
      <c r="K902" s="75"/>
      <c r="L902" s="135"/>
      <c r="M902" s="135"/>
      <c r="N902" s="135"/>
      <c r="O902" s="135"/>
      <c r="P902" s="135"/>
      <c r="Q902" s="134">
        <v>17229.599999999999</v>
      </c>
      <c r="R902" s="135">
        <v>17229.599999999999</v>
      </c>
      <c r="S902" s="134"/>
      <c r="T902" s="134"/>
      <c r="U902" s="134"/>
      <c r="V902" s="134"/>
      <c r="W902" s="134"/>
      <c r="X902" s="420"/>
      <c r="Y902" s="420" t="s">
        <v>485</v>
      </c>
    </row>
    <row r="903" spans="1:25" ht="21.6" customHeight="1">
      <c r="A903" s="503" t="s">
        <v>610</v>
      </c>
      <c r="B903" s="83" t="s">
        <v>91</v>
      </c>
      <c r="C903" s="395"/>
      <c r="D903" s="395"/>
      <c r="E903" s="395"/>
      <c r="F903" s="395"/>
      <c r="G903" s="75"/>
      <c r="H903" s="75"/>
      <c r="I903" s="75"/>
      <c r="J903" s="75"/>
      <c r="K903" s="75"/>
      <c r="L903" s="135"/>
      <c r="M903" s="135"/>
      <c r="N903" s="135"/>
      <c r="O903" s="135"/>
      <c r="P903" s="135"/>
      <c r="Q903" s="134">
        <f>Q911+Q921</f>
        <v>11.7</v>
      </c>
      <c r="R903" s="134">
        <f t="shared" ref="R903:U903" si="359">R911+R921</f>
        <v>0</v>
      </c>
      <c r="S903" s="134">
        <f t="shared" si="359"/>
        <v>0</v>
      </c>
      <c r="T903" s="134">
        <f t="shared" si="359"/>
        <v>11.7</v>
      </c>
      <c r="U903" s="134">
        <f t="shared" si="359"/>
        <v>0</v>
      </c>
      <c r="V903" s="135"/>
      <c r="W903" s="135"/>
      <c r="X903" s="395"/>
      <c r="Y903" s="395"/>
    </row>
    <row r="904" spans="1:25" ht="23.4" customHeight="1">
      <c r="A904" s="504"/>
      <c r="B904" s="83" t="s">
        <v>25</v>
      </c>
      <c r="C904" s="395"/>
      <c r="D904" s="395"/>
      <c r="E904" s="395"/>
      <c r="F904" s="395"/>
      <c r="G904" s="75"/>
      <c r="H904" s="75"/>
      <c r="I904" s="75"/>
      <c r="J904" s="75"/>
      <c r="K904" s="75"/>
      <c r="L904" s="135"/>
      <c r="M904" s="135"/>
      <c r="N904" s="135"/>
      <c r="O904" s="135"/>
      <c r="P904" s="135"/>
      <c r="Q904" s="134">
        <f>Q905/Q903</f>
        <v>15505.358270940174</v>
      </c>
      <c r="R904" s="134"/>
      <c r="S904" s="134"/>
      <c r="T904" s="134"/>
      <c r="U904" s="134"/>
      <c r="V904" s="135"/>
      <c r="W904" s="135"/>
      <c r="X904" s="395"/>
      <c r="Y904" s="395"/>
    </row>
    <row r="905" spans="1:25" ht="19.2" customHeight="1">
      <c r="A905" s="504"/>
      <c r="B905" s="83" t="s">
        <v>26</v>
      </c>
      <c r="C905" s="395"/>
      <c r="D905" s="395"/>
      <c r="E905" s="395"/>
      <c r="F905" s="395"/>
      <c r="G905" s="75"/>
      <c r="H905" s="75"/>
      <c r="I905" s="75"/>
      <c r="J905" s="75"/>
      <c r="K905" s="75"/>
      <c r="L905" s="135"/>
      <c r="M905" s="135"/>
      <c r="N905" s="135"/>
      <c r="O905" s="135"/>
      <c r="P905" s="135"/>
      <c r="Q905" s="134">
        <f>Q907+Q908+Q909</f>
        <v>181412.69177000003</v>
      </c>
      <c r="R905" s="134">
        <f t="shared" ref="R905:U905" si="360">R907+R908+R909</f>
        <v>20000</v>
      </c>
      <c r="S905" s="134">
        <f t="shared" si="360"/>
        <v>43283.4</v>
      </c>
      <c r="T905" s="134">
        <f t="shared" si="360"/>
        <v>118129.29177000001</v>
      </c>
      <c r="U905" s="134">
        <f t="shared" si="360"/>
        <v>0</v>
      </c>
      <c r="V905" s="135"/>
      <c r="W905" s="135"/>
      <c r="X905" s="395"/>
      <c r="Y905" s="395"/>
    </row>
    <row r="906" spans="1:25" ht="19.2" customHeight="1">
      <c r="A906" s="504"/>
      <c r="B906" s="83" t="s">
        <v>10</v>
      </c>
      <c r="C906" s="395"/>
      <c r="D906" s="395"/>
      <c r="E906" s="395"/>
      <c r="F906" s="395"/>
      <c r="G906" s="75"/>
      <c r="H906" s="75"/>
      <c r="I906" s="75"/>
      <c r="J906" s="75"/>
      <c r="K906" s="75"/>
      <c r="L906" s="135"/>
      <c r="M906" s="135"/>
      <c r="N906" s="135"/>
      <c r="O906" s="135"/>
      <c r="P906" s="135"/>
      <c r="Q906" s="134"/>
      <c r="R906" s="134"/>
      <c r="S906" s="134"/>
      <c r="T906" s="134"/>
      <c r="U906" s="134"/>
      <c r="V906" s="135"/>
      <c r="W906" s="135"/>
      <c r="X906" s="395"/>
      <c r="Y906" s="395"/>
    </row>
    <row r="907" spans="1:25" ht="19.2" customHeight="1">
      <c r="A907" s="504"/>
      <c r="B907" s="83" t="s">
        <v>11</v>
      </c>
      <c r="C907" s="395"/>
      <c r="D907" s="395"/>
      <c r="E907" s="395"/>
      <c r="F907" s="395"/>
      <c r="G907" s="75"/>
      <c r="H907" s="75"/>
      <c r="I907" s="75"/>
      <c r="J907" s="75"/>
      <c r="K907" s="75"/>
      <c r="L907" s="135"/>
      <c r="M907" s="135"/>
      <c r="N907" s="135"/>
      <c r="O907" s="135"/>
      <c r="P907" s="135"/>
      <c r="Q907" s="134">
        <f>Q913+Q923</f>
        <v>86565.891770000017</v>
      </c>
      <c r="R907" s="134">
        <f t="shared" ref="R907:U907" si="361">R913+R923</f>
        <v>20000</v>
      </c>
      <c r="S907" s="134">
        <f t="shared" si="361"/>
        <v>3753.4</v>
      </c>
      <c r="T907" s="134">
        <f t="shared" si="361"/>
        <v>62812.491770000008</v>
      </c>
      <c r="U907" s="134">
        <f t="shared" si="361"/>
        <v>0</v>
      </c>
      <c r="V907" s="135"/>
      <c r="W907" s="135"/>
      <c r="X907" s="395"/>
      <c r="Y907" s="395"/>
    </row>
    <row r="908" spans="1:25" ht="19.2" customHeight="1">
      <c r="A908" s="504"/>
      <c r="B908" s="83" t="s">
        <v>658</v>
      </c>
      <c r="C908" s="395"/>
      <c r="D908" s="395"/>
      <c r="E908" s="395"/>
      <c r="F908" s="395"/>
      <c r="G908" s="75"/>
      <c r="H908" s="75"/>
      <c r="I908" s="75"/>
      <c r="J908" s="75"/>
      <c r="K908" s="75"/>
      <c r="L908" s="135"/>
      <c r="M908" s="135"/>
      <c r="N908" s="135"/>
      <c r="O908" s="135"/>
      <c r="P908" s="135"/>
      <c r="Q908" s="134">
        <f>Q914+Q924</f>
        <v>92697.8</v>
      </c>
      <c r="R908" s="134">
        <f t="shared" ref="R908:U908" si="362">R914+R924</f>
        <v>0</v>
      </c>
      <c r="S908" s="134">
        <f t="shared" si="362"/>
        <v>37970</v>
      </c>
      <c r="T908" s="134">
        <f t="shared" si="362"/>
        <v>54727.8</v>
      </c>
      <c r="U908" s="134">
        <f t="shared" si="362"/>
        <v>0</v>
      </c>
      <c r="V908" s="135"/>
      <c r="W908" s="135"/>
      <c r="X908" s="395"/>
      <c r="Y908" s="395"/>
    </row>
    <row r="909" spans="1:25" ht="19.2" customHeight="1">
      <c r="A909" s="504"/>
      <c r="B909" s="83" t="s">
        <v>614</v>
      </c>
      <c r="C909" s="395"/>
      <c r="D909" s="395"/>
      <c r="E909" s="395"/>
      <c r="F909" s="395"/>
      <c r="G909" s="75"/>
      <c r="H909" s="75"/>
      <c r="I909" s="75"/>
      <c r="J909" s="75"/>
      <c r="K909" s="75"/>
      <c r="L909" s="135"/>
      <c r="M909" s="135"/>
      <c r="N909" s="135"/>
      <c r="O909" s="135"/>
      <c r="P909" s="135"/>
      <c r="Q909" s="134">
        <f>Q915+Q925</f>
        <v>2149</v>
      </c>
      <c r="R909" s="134">
        <f t="shared" ref="R909:U909" si="363">R915+R925</f>
        <v>0</v>
      </c>
      <c r="S909" s="134">
        <f t="shared" si="363"/>
        <v>1560</v>
      </c>
      <c r="T909" s="134">
        <f t="shared" si="363"/>
        <v>589.00000000000011</v>
      </c>
      <c r="U909" s="134">
        <f t="shared" si="363"/>
        <v>0</v>
      </c>
      <c r="V909" s="135"/>
      <c r="W909" s="135"/>
      <c r="X909" s="395"/>
      <c r="Y909" s="395"/>
    </row>
    <row r="910" spans="1:25" ht="22.2" customHeight="1">
      <c r="A910" s="506"/>
      <c r="B910" s="83" t="s">
        <v>81</v>
      </c>
      <c r="C910" s="395"/>
      <c r="D910" s="395"/>
      <c r="E910" s="395"/>
      <c r="F910" s="395"/>
      <c r="G910" s="75"/>
      <c r="H910" s="75"/>
      <c r="I910" s="75"/>
      <c r="J910" s="75"/>
      <c r="K910" s="75"/>
      <c r="L910" s="135"/>
      <c r="M910" s="135"/>
      <c r="N910" s="135"/>
      <c r="O910" s="135"/>
      <c r="P910" s="135"/>
      <c r="Q910" s="134"/>
      <c r="R910" s="134"/>
      <c r="S910" s="134"/>
      <c r="T910" s="134"/>
      <c r="U910" s="134"/>
      <c r="V910" s="135"/>
      <c r="W910" s="135"/>
      <c r="X910" s="395"/>
      <c r="Y910" s="395"/>
    </row>
    <row r="911" spans="1:25" ht="24.6" customHeight="1">
      <c r="A911" s="503" t="s">
        <v>104</v>
      </c>
      <c r="B911" s="83" t="s">
        <v>91</v>
      </c>
      <c r="C911" s="395"/>
      <c r="D911" s="395"/>
      <c r="E911" s="395"/>
      <c r="F911" s="395"/>
      <c r="G911" s="75"/>
      <c r="H911" s="75"/>
      <c r="I911" s="75"/>
      <c r="J911" s="75"/>
      <c r="K911" s="75"/>
      <c r="L911" s="135"/>
      <c r="M911" s="135"/>
      <c r="N911" s="135"/>
      <c r="O911" s="135"/>
      <c r="P911" s="135"/>
      <c r="Q911" s="134">
        <f>Q916</f>
        <v>4.5999999999999996</v>
      </c>
      <c r="R911" s="134"/>
      <c r="S911" s="134"/>
      <c r="T911" s="134">
        <f>T916</f>
        <v>4.5999999999999996</v>
      </c>
      <c r="U911" s="134">
        <f>U916</f>
        <v>0</v>
      </c>
      <c r="V911" s="135"/>
      <c r="W911" s="135"/>
      <c r="X911" s="395"/>
      <c r="Y911" s="395"/>
    </row>
    <row r="912" spans="1:25" ht="24" customHeight="1">
      <c r="A912" s="504"/>
      <c r="B912" s="83" t="s">
        <v>287</v>
      </c>
      <c r="C912" s="395"/>
      <c r="D912" s="395"/>
      <c r="E912" s="395"/>
      <c r="F912" s="395"/>
      <c r="G912" s="75"/>
      <c r="H912" s="75"/>
      <c r="I912" s="75"/>
      <c r="J912" s="75"/>
      <c r="K912" s="75"/>
      <c r="L912" s="135"/>
      <c r="M912" s="135"/>
      <c r="N912" s="135"/>
      <c r="O912" s="135"/>
      <c r="P912" s="135"/>
      <c r="Q912" s="134">
        <f>Q915+Q914+Q913</f>
        <v>100752.69177</v>
      </c>
      <c r="R912" s="134">
        <f t="shared" ref="R912:U912" si="364">R915+R914+R913</f>
        <v>0</v>
      </c>
      <c r="S912" s="134">
        <f t="shared" si="364"/>
        <v>15970</v>
      </c>
      <c r="T912" s="134">
        <f t="shared" si="364"/>
        <v>84782.691770000005</v>
      </c>
      <c r="U912" s="134">
        <f t="shared" si="364"/>
        <v>0</v>
      </c>
      <c r="V912" s="135"/>
      <c r="W912" s="135"/>
      <c r="X912" s="395"/>
      <c r="Y912" s="395"/>
    </row>
    <row r="913" spans="1:25" ht="22.2" customHeight="1">
      <c r="A913" s="504"/>
      <c r="B913" s="83" t="s">
        <v>11</v>
      </c>
      <c r="C913" s="395"/>
      <c r="D913" s="395"/>
      <c r="E913" s="395"/>
      <c r="F913" s="395"/>
      <c r="G913" s="75"/>
      <c r="H913" s="75"/>
      <c r="I913" s="75"/>
      <c r="J913" s="75"/>
      <c r="K913" s="75"/>
      <c r="L913" s="135"/>
      <c r="M913" s="135"/>
      <c r="N913" s="135"/>
      <c r="O913" s="135"/>
      <c r="P913" s="135"/>
      <c r="Q913" s="134">
        <f>Q918</f>
        <v>48030.791770000003</v>
      </c>
      <c r="R913" s="134">
        <f t="shared" ref="R913:U913" si="365">R918</f>
        <v>0</v>
      </c>
      <c r="S913" s="134">
        <f t="shared" si="365"/>
        <v>0</v>
      </c>
      <c r="T913" s="134">
        <f t="shared" si="365"/>
        <v>48030.791770000003</v>
      </c>
      <c r="U913" s="134">
        <f t="shared" si="365"/>
        <v>0</v>
      </c>
      <c r="V913" s="135"/>
      <c r="W913" s="135"/>
      <c r="X913" s="395"/>
      <c r="Y913" s="395"/>
    </row>
    <row r="914" spans="1:25" ht="22.2" customHeight="1">
      <c r="A914" s="504"/>
      <c r="B914" s="83" t="s">
        <v>35</v>
      </c>
      <c r="C914" s="395"/>
      <c r="D914" s="395"/>
      <c r="E914" s="395"/>
      <c r="F914" s="395"/>
      <c r="G914" s="75"/>
      <c r="H914" s="75"/>
      <c r="I914" s="75"/>
      <c r="J914" s="75"/>
      <c r="K914" s="75"/>
      <c r="L914" s="135"/>
      <c r="M914" s="135"/>
      <c r="N914" s="135"/>
      <c r="O914" s="135"/>
      <c r="P914" s="135"/>
      <c r="Q914" s="134">
        <f>Q919</f>
        <v>52132.9</v>
      </c>
      <c r="R914" s="134">
        <f t="shared" ref="R914:U914" si="366">R919</f>
        <v>0</v>
      </c>
      <c r="S914" s="134">
        <f t="shared" si="366"/>
        <v>15970</v>
      </c>
      <c r="T914" s="134">
        <f t="shared" si="366"/>
        <v>36162.9</v>
      </c>
      <c r="U914" s="134">
        <f t="shared" si="366"/>
        <v>0</v>
      </c>
      <c r="V914" s="135"/>
      <c r="W914" s="135"/>
      <c r="X914" s="395"/>
      <c r="Y914" s="395"/>
    </row>
    <row r="915" spans="1:25" ht="22.2" customHeight="1">
      <c r="A915" s="506"/>
      <c r="B915" s="83" t="s">
        <v>613</v>
      </c>
      <c r="C915" s="395"/>
      <c r="D915" s="395"/>
      <c r="E915" s="395"/>
      <c r="F915" s="395"/>
      <c r="G915" s="75"/>
      <c r="H915" s="75"/>
      <c r="I915" s="75"/>
      <c r="J915" s="75"/>
      <c r="K915" s="75"/>
      <c r="L915" s="135"/>
      <c r="M915" s="135"/>
      <c r="N915" s="135"/>
      <c r="O915" s="135"/>
      <c r="P915" s="135"/>
      <c r="Q915" s="134">
        <f>Q920</f>
        <v>589.00000000000011</v>
      </c>
      <c r="R915" s="134">
        <f t="shared" ref="R915:U915" si="367">R920</f>
        <v>0</v>
      </c>
      <c r="S915" s="134">
        <f t="shared" si="367"/>
        <v>0</v>
      </c>
      <c r="T915" s="134">
        <f t="shared" si="367"/>
        <v>589.00000000000011</v>
      </c>
      <c r="U915" s="134">
        <f t="shared" si="367"/>
        <v>0</v>
      </c>
      <c r="V915" s="135"/>
      <c r="W915" s="135"/>
      <c r="X915" s="395"/>
      <c r="Y915" s="395"/>
    </row>
    <row r="916" spans="1:25" ht="22.2" customHeight="1">
      <c r="A916" s="536" t="s">
        <v>611</v>
      </c>
      <c r="B916" s="395" t="s">
        <v>91</v>
      </c>
      <c r="C916" s="395"/>
      <c r="D916" s="395"/>
      <c r="E916" s="395"/>
      <c r="F916" s="395"/>
      <c r="G916" s="75"/>
      <c r="H916" s="75"/>
      <c r="I916" s="75"/>
      <c r="J916" s="75"/>
      <c r="K916" s="75"/>
      <c r="L916" s="135"/>
      <c r="M916" s="135"/>
      <c r="N916" s="135"/>
      <c r="O916" s="135"/>
      <c r="P916" s="135"/>
      <c r="Q916" s="135">
        <v>4.5999999999999996</v>
      </c>
      <c r="R916" s="134"/>
      <c r="S916" s="134"/>
      <c r="T916" s="135">
        <v>4.5999999999999996</v>
      </c>
      <c r="U916" s="135"/>
      <c r="V916" s="135"/>
      <c r="W916" s="135"/>
      <c r="X916" s="395"/>
      <c r="Y916" s="533" t="s">
        <v>651</v>
      </c>
    </row>
    <row r="917" spans="1:25" ht="22.2" customHeight="1">
      <c r="A917" s="537"/>
      <c r="B917" s="395" t="s">
        <v>287</v>
      </c>
      <c r="C917" s="395"/>
      <c r="D917" s="395"/>
      <c r="E917" s="395"/>
      <c r="F917" s="395"/>
      <c r="G917" s="75"/>
      <c r="H917" s="75"/>
      <c r="I917" s="75"/>
      <c r="J917" s="75"/>
      <c r="K917" s="75"/>
      <c r="L917" s="135"/>
      <c r="M917" s="135"/>
      <c r="N917" s="135"/>
      <c r="O917" s="135"/>
      <c r="P917" s="135"/>
      <c r="Q917" s="135">
        <f>Q918+Q919+Q920</f>
        <v>100752.69177</v>
      </c>
      <c r="R917" s="135">
        <f t="shared" ref="R917:U917" si="368">R918+R919+R920</f>
        <v>0</v>
      </c>
      <c r="S917" s="135">
        <f t="shared" si="368"/>
        <v>15970</v>
      </c>
      <c r="T917" s="135">
        <f t="shared" si="368"/>
        <v>84782.691770000005</v>
      </c>
      <c r="U917" s="135">
        <f t="shared" si="368"/>
        <v>0</v>
      </c>
      <c r="V917" s="135"/>
      <c r="W917" s="135"/>
      <c r="X917" s="395"/>
      <c r="Y917" s="534"/>
    </row>
    <row r="918" spans="1:25" ht="22.2" customHeight="1">
      <c r="A918" s="537"/>
      <c r="B918" s="395" t="s">
        <v>11</v>
      </c>
      <c r="C918" s="395"/>
      <c r="D918" s="395"/>
      <c r="E918" s="395"/>
      <c r="F918" s="395"/>
      <c r="G918" s="75"/>
      <c r="H918" s="75"/>
      <c r="I918" s="75"/>
      <c r="J918" s="75"/>
      <c r="K918" s="75"/>
      <c r="L918" s="135"/>
      <c r="M918" s="135"/>
      <c r="N918" s="135"/>
      <c r="O918" s="135"/>
      <c r="P918" s="135"/>
      <c r="Q918" s="135">
        <f>T918</f>
        <v>48030.791770000003</v>
      </c>
      <c r="R918" s="134"/>
      <c r="S918" s="135"/>
      <c r="T918" s="135">
        <v>48030.791770000003</v>
      </c>
      <c r="U918" s="134"/>
      <c r="V918" s="135"/>
      <c r="W918" s="135"/>
      <c r="X918" s="395"/>
      <c r="Y918" s="534"/>
    </row>
    <row r="919" spans="1:25" ht="22.2" customHeight="1">
      <c r="A919" s="537"/>
      <c r="B919" s="396" t="s">
        <v>35</v>
      </c>
      <c r="C919" s="396"/>
      <c r="D919" s="396"/>
      <c r="E919" s="396"/>
      <c r="F919" s="396"/>
      <c r="G919" s="143"/>
      <c r="H919" s="143"/>
      <c r="I919" s="143"/>
      <c r="J919" s="143"/>
      <c r="K919" s="143"/>
      <c r="L919" s="144"/>
      <c r="M919" s="144"/>
      <c r="N919" s="144"/>
      <c r="O919" s="144"/>
      <c r="P919" s="144"/>
      <c r="Q919" s="144">
        <f>S919+T919</f>
        <v>52132.9</v>
      </c>
      <c r="R919" s="402"/>
      <c r="S919" s="144">
        <v>15970</v>
      </c>
      <c r="T919" s="144">
        <f>37263.4-1100.5</f>
        <v>36162.9</v>
      </c>
      <c r="U919" s="402"/>
      <c r="V919" s="144"/>
      <c r="W919" s="144"/>
      <c r="X919" s="396"/>
      <c r="Y919" s="534"/>
    </row>
    <row r="920" spans="1:25" ht="22.2" customHeight="1">
      <c r="A920" s="538"/>
      <c r="B920" s="396" t="s">
        <v>613</v>
      </c>
      <c r="C920" s="396"/>
      <c r="D920" s="396"/>
      <c r="E920" s="396"/>
      <c r="F920" s="396"/>
      <c r="G920" s="143"/>
      <c r="H920" s="143"/>
      <c r="I920" s="143"/>
      <c r="J920" s="143"/>
      <c r="K920" s="143"/>
      <c r="L920" s="144"/>
      <c r="M920" s="144"/>
      <c r="N920" s="144"/>
      <c r="O920" s="144"/>
      <c r="P920" s="144"/>
      <c r="Q920" s="144">
        <f>T920</f>
        <v>589.00000000000011</v>
      </c>
      <c r="R920" s="402"/>
      <c r="S920" s="402"/>
      <c r="T920" s="144">
        <f>1588.93-999.93</f>
        <v>589.00000000000011</v>
      </c>
      <c r="U920" s="402"/>
      <c r="V920" s="144"/>
      <c r="W920" s="144"/>
      <c r="X920" s="396"/>
      <c r="Y920" s="535"/>
    </row>
    <row r="921" spans="1:25" ht="22.2" customHeight="1">
      <c r="A921" s="503" t="s">
        <v>108</v>
      </c>
      <c r="B921" s="403" t="s">
        <v>91</v>
      </c>
      <c r="C921" s="396"/>
      <c r="D921" s="396"/>
      <c r="E921" s="396"/>
      <c r="F921" s="396"/>
      <c r="G921" s="143"/>
      <c r="H921" s="143"/>
      <c r="I921" s="143"/>
      <c r="J921" s="143"/>
      <c r="K921" s="143"/>
      <c r="L921" s="144"/>
      <c r="M921" s="144"/>
      <c r="N921" s="144"/>
      <c r="O921" s="144"/>
      <c r="P921" s="144"/>
      <c r="Q921" s="402">
        <f>Q926</f>
        <v>7.1</v>
      </c>
      <c r="R921" s="402"/>
      <c r="S921" s="402"/>
      <c r="T921" s="402">
        <f>T926</f>
        <v>7.1</v>
      </c>
      <c r="U921" s="402">
        <f>U926</f>
        <v>0</v>
      </c>
      <c r="V921" s="144"/>
      <c r="W921" s="144"/>
      <c r="X921" s="396"/>
      <c r="Y921" s="396"/>
    </row>
    <row r="922" spans="1:25" ht="22.2" customHeight="1">
      <c r="A922" s="504"/>
      <c r="B922" s="403" t="s">
        <v>287</v>
      </c>
      <c r="C922" s="396"/>
      <c r="D922" s="396"/>
      <c r="E922" s="396"/>
      <c r="F922" s="396"/>
      <c r="G922" s="143"/>
      <c r="H922" s="143"/>
      <c r="I922" s="143"/>
      <c r="J922" s="143"/>
      <c r="K922" s="143"/>
      <c r="L922" s="144"/>
      <c r="M922" s="144"/>
      <c r="N922" s="144"/>
      <c r="O922" s="144"/>
      <c r="P922" s="144"/>
      <c r="Q922" s="402">
        <f>Q925+Q924+Q923</f>
        <v>80660</v>
      </c>
      <c r="R922" s="402">
        <f t="shared" ref="R922:U922" si="369">R925+R924+R923</f>
        <v>20000</v>
      </c>
      <c r="S922" s="402">
        <f t="shared" si="369"/>
        <v>27313.4</v>
      </c>
      <c r="T922" s="402">
        <f t="shared" si="369"/>
        <v>33346.600000000006</v>
      </c>
      <c r="U922" s="402">
        <f t="shared" si="369"/>
        <v>0</v>
      </c>
      <c r="V922" s="144"/>
      <c r="W922" s="144"/>
      <c r="X922" s="396"/>
      <c r="Y922" s="396"/>
    </row>
    <row r="923" spans="1:25" ht="22.2" customHeight="1">
      <c r="A923" s="504"/>
      <c r="B923" s="403" t="s">
        <v>11</v>
      </c>
      <c r="C923" s="396"/>
      <c r="D923" s="396"/>
      <c r="E923" s="396"/>
      <c r="F923" s="396"/>
      <c r="G923" s="143"/>
      <c r="H923" s="143"/>
      <c r="I923" s="143"/>
      <c r="J923" s="143"/>
      <c r="K923" s="143"/>
      <c r="L923" s="144"/>
      <c r="M923" s="144"/>
      <c r="N923" s="144"/>
      <c r="O923" s="144"/>
      <c r="P923" s="144"/>
      <c r="Q923" s="402">
        <f>Q928</f>
        <v>38535.100000000006</v>
      </c>
      <c r="R923" s="402">
        <f t="shared" ref="R923:U923" si="370">R928</f>
        <v>20000</v>
      </c>
      <c r="S923" s="402">
        <f t="shared" si="370"/>
        <v>3753.4</v>
      </c>
      <c r="T923" s="402">
        <f t="shared" si="370"/>
        <v>14781.7</v>
      </c>
      <c r="U923" s="402">
        <f t="shared" si="370"/>
        <v>0</v>
      </c>
      <c r="V923" s="144"/>
      <c r="W923" s="144"/>
      <c r="X923" s="396"/>
      <c r="Y923" s="396"/>
    </row>
    <row r="924" spans="1:25" ht="22.2" customHeight="1">
      <c r="A924" s="504"/>
      <c r="B924" s="403" t="s">
        <v>35</v>
      </c>
      <c r="C924" s="396"/>
      <c r="D924" s="396"/>
      <c r="E924" s="396"/>
      <c r="F924" s="396"/>
      <c r="G924" s="143"/>
      <c r="H924" s="143"/>
      <c r="I924" s="143"/>
      <c r="J924" s="143"/>
      <c r="K924" s="143"/>
      <c r="L924" s="144"/>
      <c r="M924" s="144"/>
      <c r="N924" s="144"/>
      <c r="O924" s="144"/>
      <c r="P924" s="144"/>
      <c r="Q924" s="402">
        <f>Q929</f>
        <v>40564.9</v>
      </c>
      <c r="R924" s="402">
        <f t="shared" ref="R924:U924" si="371">R929</f>
        <v>0</v>
      </c>
      <c r="S924" s="402">
        <f t="shared" si="371"/>
        <v>22000</v>
      </c>
      <c r="T924" s="402">
        <f t="shared" si="371"/>
        <v>18564.900000000001</v>
      </c>
      <c r="U924" s="402">
        <f t="shared" si="371"/>
        <v>0</v>
      </c>
      <c r="V924" s="144"/>
      <c r="W924" s="144"/>
      <c r="X924" s="396"/>
      <c r="Y924" s="396"/>
    </row>
    <row r="925" spans="1:25" ht="22.2" customHeight="1">
      <c r="A925" s="506"/>
      <c r="B925" s="403" t="s">
        <v>613</v>
      </c>
      <c r="C925" s="396"/>
      <c r="D925" s="396"/>
      <c r="E925" s="396"/>
      <c r="F925" s="396"/>
      <c r="G925" s="143"/>
      <c r="H925" s="143"/>
      <c r="I925" s="143"/>
      <c r="J925" s="143"/>
      <c r="K925" s="143"/>
      <c r="L925" s="144"/>
      <c r="M925" s="144"/>
      <c r="N925" s="144"/>
      <c r="O925" s="144"/>
      <c r="P925" s="144"/>
      <c r="Q925" s="402">
        <f>Q930</f>
        <v>1560</v>
      </c>
      <c r="R925" s="402">
        <f t="shared" ref="R925:U925" si="372">R930</f>
        <v>0</v>
      </c>
      <c r="S925" s="402">
        <f t="shared" si="372"/>
        <v>1560</v>
      </c>
      <c r="T925" s="402">
        <f t="shared" si="372"/>
        <v>0</v>
      </c>
      <c r="U925" s="402">
        <f t="shared" si="372"/>
        <v>0</v>
      </c>
      <c r="V925" s="144"/>
      <c r="W925" s="144"/>
      <c r="X925" s="396"/>
      <c r="Y925" s="396"/>
    </row>
    <row r="926" spans="1:25" ht="22.2" customHeight="1">
      <c r="A926" s="536" t="s">
        <v>612</v>
      </c>
      <c r="B926" s="396" t="s">
        <v>91</v>
      </c>
      <c r="C926" s="396"/>
      <c r="D926" s="396"/>
      <c r="E926" s="396"/>
      <c r="F926" s="396"/>
      <c r="G926" s="143"/>
      <c r="H926" s="143"/>
      <c r="I926" s="143"/>
      <c r="J926" s="143"/>
      <c r="K926" s="143"/>
      <c r="L926" s="144"/>
      <c r="M926" s="144"/>
      <c r="N926" s="144"/>
      <c r="O926" s="144"/>
      <c r="P926" s="144"/>
      <c r="Q926" s="144">
        <v>7.1</v>
      </c>
      <c r="R926" s="402"/>
      <c r="S926" s="402"/>
      <c r="T926" s="144">
        <v>7.1</v>
      </c>
      <c r="U926" s="144"/>
      <c r="V926" s="144"/>
      <c r="W926" s="144"/>
      <c r="X926" s="396"/>
      <c r="Y926" s="533" t="s">
        <v>652</v>
      </c>
    </row>
    <row r="927" spans="1:25" ht="22.2" customHeight="1">
      <c r="A927" s="537"/>
      <c r="B927" s="396" t="s">
        <v>287</v>
      </c>
      <c r="C927" s="396"/>
      <c r="D927" s="396"/>
      <c r="E927" s="396"/>
      <c r="F927" s="396"/>
      <c r="G927" s="143"/>
      <c r="H927" s="143"/>
      <c r="I927" s="143"/>
      <c r="J927" s="143"/>
      <c r="K927" s="143"/>
      <c r="L927" s="144"/>
      <c r="M927" s="144"/>
      <c r="N927" s="144"/>
      <c r="O927" s="144"/>
      <c r="P927" s="144"/>
      <c r="Q927" s="144">
        <f>Q928+Q929+Q930</f>
        <v>80660</v>
      </c>
      <c r="R927" s="144">
        <f t="shared" ref="R927:U927" si="373">R928+R929+R930</f>
        <v>20000</v>
      </c>
      <c r="S927" s="144">
        <f t="shared" si="373"/>
        <v>27313.4</v>
      </c>
      <c r="T927" s="144">
        <f t="shared" si="373"/>
        <v>33346.600000000006</v>
      </c>
      <c r="U927" s="144">
        <f t="shared" si="373"/>
        <v>0</v>
      </c>
      <c r="V927" s="144"/>
      <c r="W927" s="144"/>
      <c r="X927" s="396"/>
      <c r="Y927" s="534"/>
    </row>
    <row r="928" spans="1:25" ht="22.2" customHeight="1">
      <c r="A928" s="537"/>
      <c r="B928" s="396" t="s">
        <v>11</v>
      </c>
      <c r="C928" s="396"/>
      <c r="D928" s="396"/>
      <c r="E928" s="396"/>
      <c r="F928" s="396"/>
      <c r="G928" s="143"/>
      <c r="H928" s="143"/>
      <c r="I928" s="143"/>
      <c r="J928" s="143"/>
      <c r="K928" s="143"/>
      <c r="L928" s="144"/>
      <c r="M928" s="144"/>
      <c r="N928" s="144"/>
      <c r="O928" s="144"/>
      <c r="P928" s="144"/>
      <c r="Q928" s="144">
        <f>R928+S928+T928</f>
        <v>38535.100000000006</v>
      </c>
      <c r="R928" s="144">
        <v>20000</v>
      </c>
      <c r="S928" s="144">
        <v>3753.4</v>
      </c>
      <c r="T928" s="144">
        <v>14781.7</v>
      </c>
      <c r="U928" s="402"/>
      <c r="V928" s="144"/>
      <c r="W928" s="144"/>
      <c r="X928" s="396"/>
      <c r="Y928" s="534"/>
    </row>
    <row r="929" spans="1:25" ht="22.2" customHeight="1">
      <c r="A929" s="537"/>
      <c r="B929" s="396" t="s">
        <v>35</v>
      </c>
      <c r="C929" s="396"/>
      <c r="D929" s="396"/>
      <c r="E929" s="396"/>
      <c r="F929" s="396"/>
      <c r="G929" s="143"/>
      <c r="H929" s="143"/>
      <c r="I929" s="143"/>
      <c r="J929" s="143"/>
      <c r="K929" s="143"/>
      <c r="L929" s="144"/>
      <c r="M929" s="144"/>
      <c r="N929" s="144"/>
      <c r="O929" s="144"/>
      <c r="P929" s="144"/>
      <c r="Q929" s="144">
        <f>S929+T929</f>
        <v>40564.9</v>
      </c>
      <c r="R929" s="402"/>
      <c r="S929" s="144">
        <v>22000</v>
      </c>
      <c r="T929" s="144">
        <f>37064-18499.1</f>
        <v>18564.900000000001</v>
      </c>
      <c r="U929" s="402"/>
      <c r="V929" s="144"/>
      <c r="W929" s="144"/>
      <c r="X929" s="396"/>
      <c r="Y929" s="534"/>
    </row>
    <row r="930" spans="1:25" ht="22.2" customHeight="1">
      <c r="A930" s="538"/>
      <c r="B930" s="396" t="s">
        <v>613</v>
      </c>
      <c r="C930" s="396"/>
      <c r="D930" s="396"/>
      <c r="E930" s="396"/>
      <c r="F930" s="396"/>
      <c r="G930" s="143"/>
      <c r="H930" s="143"/>
      <c r="I930" s="143"/>
      <c r="J930" s="143"/>
      <c r="K930" s="143"/>
      <c r="L930" s="144"/>
      <c r="M930" s="144"/>
      <c r="N930" s="144"/>
      <c r="O930" s="144"/>
      <c r="P930" s="144"/>
      <c r="Q930" s="144">
        <v>1560</v>
      </c>
      <c r="R930" s="402"/>
      <c r="S930" s="144">
        <v>1560</v>
      </c>
      <c r="T930" s="402"/>
      <c r="U930" s="402"/>
      <c r="V930" s="144"/>
      <c r="W930" s="144"/>
      <c r="X930" s="396"/>
      <c r="Y930" s="535"/>
    </row>
    <row r="931" spans="1:25" s="72" customFormat="1" ht="24" customHeight="1">
      <c r="A931" s="398"/>
      <c r="B931" s="395"/>
      <c r="C931" s="395"/>
      <c r="D931" s="395"/>
      <c r="E931" s="395"/>
      <c r="F931" s="395"/>
      <c r="G931" s="75"/>
      <c r="H931" s="75"/>
      <c r="I931" s="75"/>
      <c r="J931" s="75"/>
      <c r="K931" s="75"/>
      <c r="L931" s="135"/>
      <c r="M931" s="135"/>
      <c r="N931" s="135"/>
      <c r="O931" s="135"/>
      <c r="P931" s="135"/>
      <c r="Q931" s="134"/>
      <c r="R931" s="134"/>
      <c r="S931" s="134"/>
      <c r="T931" s="134"/>
      <c r="U931" s="134"/>
      <c r="V931" s="135"/>
      <c r="W931" s="135"/>
      <c r="X931" s="395"/>
      <c r="Y931" s="395"/>
    </row>
    <row r="932" spans="1:25" ht="18.600000000000001" customHeight="1">
      <c r="A932" s="105"/>
      <c r="B932" s="106"/>
      <c r="C932" s="106"/>
      <c r="D932" s="106"/>
      <c r="E932" s="106"/>
      <c r="F932" s="106"/>
      <c r="G932" s="107"/>
      <c r="H932" s="107"/>
      <c r="I932" s="107"/>
      <c r="J932" s="107"/>
      <c r="K932" s="107"/>
      <c r="L932" s="127"/>
      <c r="M932" s="127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32"/>
      <c r="Y932" s="132"/>
    </row>
    <row r="933" spans="1:25" ht="34.950000000000003" customHeight="1">
      <c r="A933" s="505" t="s">
        <v>660</v>
      </c>
      <c r="B933" s="505"/>
      <c r="C933" s="505"/>
      <c r="D933" s="505"/>
      <c r="E933" s="505"/>
      <c r="F933" s="505"/>
      <c r="G933" s="505"/>
      <c r="H933" s="505"/>
      <c r="I933" s="505"/>
      <c r="J933" s="505"/>
      <c r="K933" s="505"/>
      <c r="L933" s="505"/>
      <c r="M933" s="505"/>
      <c r="N933" s="505"/>
      <c r="O933" s="505"/>
      <c r="P933" s="505"/>
      <c r="Q933" s="505"/>
      <c r="R933" s="505"/>
      <c r="S933" s="505"/>
      <c r="T933" s="505"/>
      <c r="U933" s="505"/>
      <c r="V933" s="505"/>
      <c r="W933" s="505"/>
      <c r="X933" s="505"/>
      <c r="Y933" s="505"/>
    </row>
    <row r="934" spans="1:25" ht="15.6" customHeight="1">
      <c r="A934" s="505" t="s">
        <v>327</v>
      </c>
      <c r="B934" s="505"/>
      <c r="C934" s="505"/>
      <c r="D934" s="505"/>
      <c r="E934" s="505"/>
      <c r="F934" s="505"/>
      <c r="G934" s="505"/>
      <c r="H934" s="505"/>
      <c r="I934" s="505"/>
      <c r="J934" s="505"/>
      <c r="K934" s="505"/>
      <c r="L934" s="505"/>
      <c r="M934" s="505"/>
      <c r="N934" s="505"/>
      <c r="O934" s="505"/>
      <c r="P934" s="505"/>
      <c r="Q934" s="505"/>
      <c r="R934" s="505"/>
      <c r="S934" s="505"/>
      <c r="T934" s="505"/>
      <c r="U934" s="505"/>
      <c r="V934" s="505"/>
      <c r="W934" s="505"/>
      <c r="X934" s="505"/>
      <c r="Y934" s="505"/>
    </row>
    <row r="935" spans="1:25" ht="21.6" customHeight="1">
      <c r="A935" s="505" t="s">
        <v>677</v>
      </c>
      <c r="B935" s="505"/>
      <c r="C935" s="505"/>
      <c r="D935" s="505"/>
      <c r="E935" s="505"/>
      <c r="F935" s="505"/>
      <c r="G935" s="505"/>
      <c r="H935" s="505"/>
      <c r="I935" s="505"/>
      <c r="J935" s="505"/>
      <c r="K935" s="505"/>
      <c r="L935" s="505"/>
      <c r="M935" s="505"/>
      <c r="N935" s="505"/>
      <c r="O935" s="505"/>
      <c r="P935" s="505"/>
      <c r="Q935" s="505"/>
      <c r="R935" s="505"/>
      <c r="S935" s="505"/>
      <c r="T935" s="505"/>
      <c r="U935" s="505"/>
      <c r="V935" s="505"/>
      <c r="W935" s="505"/>
      <c r="X935" s="505"/>
      <c r="Y935" s="505"/>
    </row>
    <row r="936" spans="1:25" ht="21" customHeight="1">
      <c r="A936" s="505" t="s">
        <v>479</v>
      </c>
      <c r="B936" s="505"/>
      <c r="C936" s="505"/>
      <c r="D936" s="505"/>
      <c r="E936" s="505"/>
      <c r="F936" s="505"/>
      <c r="G936" s="505"/>
      <c r="H936" s="505"/>
      <c r="I936" s="505"/>
      <c r="J936" s="505"/>
      <c r="K936" s="505"/>
      <c r="L936" s="505"/>
      <c r="M936" s="505"/>
      <c r="N936" s="505"/>
      <c r="O936" s="505"/>
      <c r="P936" s="505"/>
      <c r="Q936" s="505"/>
      <c r="R936" s="505"/>
      <c r="S936" s="505"/>
      <c r="T936" s="505"/>
      <c r="U936" s="505"/>
      <c r="V936" s="505"/>
      <c r="W936" s="505"/>
      <c r="X936" s="505"/>
      <c r="Y936" s="505"/>
    </row>
    <row r="937" spans="1:25">
      <c r="A937" s="608"/>
      <c r="B937" s="608"/>
      <c r="C937" s="608"/>
      <c r="D937" s="608"/>
      <c r="E937" s="608"/>
      <c r="F937" s="608"/>
      <c r="G937" s="608"/>
      <c r="H937" s="608"/>
      <c r="I937" s="608"/>
      <c r="J937" s="608"/>
      <c r="K937" s="608"/>
      <c r="L937" s="608"/>
      <c r="M937" s="608"/>
      <c r="N937" s="608"/>
      <c r="O937" s="608"/>
      <c r="P937" s="608"/>
      <c r="Q937" s="608"/>
      <c r="R937" s="608"/>
      <c r="S937" s="608"/>
      <c r="T937" s="608"/>
      <c r="U937" s="608"/>
      <c r="V937" s="608"/>
      <c r="W937" s="608"/>
      <c r="X937" s="608"/>
      <c r="Y937" s="608"/>
    </row>
  </sheetData>
  <mergeCells count="527">
    <mergeCell ref="A937:Y937"/>
    <mergeCell ref="A936:Y936"/>
    <mergeCell ref="A934:Y934"/>
    <mergeCell ref="A193:A195"/>
    <mergeCell ref="Y193:Y195"/>
    <mergeCell ref="A285:A288"/>
    <mergeCell ref="Y285:Y288"/>
    <mergeCell ref="A306:A309"/>
    <mergeCell ref="Y306:Y309"/>
    <mergeCell ref="Y418:Y421"/>
    <mergeCell ref="A418:A421"/>
    <mergeCell ref="Y414:Y417"/>
    <mergeCell ref="A414:A417"/>
    <mergeCell ref="Y410:Y413"/>
    <mergeCell ref="A410:A413"/>
    <mergeCell ref="A212:A214"/>
    <mergeCell ref="Y212:Y214"/>
    <mergeCell ref="A215:A217"/>
    <mergeCell ref="Y215:Y217"/>
    <mergeCell ref="A226:A229"/>
    <mergeCell ref="Y226:Y229"/>
    <mergeCell ref="A196:A199"/>
    <mergeCell ref="Y196:Y199"/>
    <mergeCell ref="A200:A203"/>
    <mergeCell ref="A169:A172"/>
    <mergeCell ref="Y173:Y175"/>
    <mergeCell ref="A176:A178"/>
    <mergeCell ref="Y176:Y178"/>
    <mergeCell ref="A157:A160"/>
    <mergeCell ref="A189:A192"/>
    <mergeCell ref="A173:A175"/>
    <mergeCell ref="A161:A164"/>
    <mergeCell ref="Y161:Y164"/>
    <mergeCell ref="A165:A168"/>
    <mergeCell ref="Y165:Y168"/>
    <mergeCell ref="A179:A181"/>
    <mergeCell ref="Y179:Y181"/>
    <mergeCell ref="A182:A185"/>
    <mergeCell ref="A186:A188"/>
    <mergeCell ref="Y186:Y188"/>
    <mergeCell ref="Y182:Y185"/>
    <mergeCell ref="A112:A114"/>
    <mergeCell ref="A138:A141"/>
    <mergeCell ref="A154:A156"/>
    <mergeCell ref="Y154:Y156"/>
    <mergeCell ref="A122:A125"/>
    <mergeCell ref="Y122:Y125"/>
    <mergeCell ref="A126:A129"/>
    <mergeCell ref="Y126:Y129"/>
    <mergeCell ref="A130:A133"/>
    <mergeCell ref="Y134:Y137"/>
    <mergeCell ref="A134:A137"/>
    <mergeCell ref="A115:A117"/>
    <mergeCell ref="Y115:Y117"/>
    <mergeCell ref="A118:A121"/>
    <mergeCell ref="Y118:Y121"/>
    <mergeCell ref="Y142:Y145"/>
    <mergeCell ref="A146:A149"/>
    <mergeCell ref="A150:A153"/>
    <mergeCell ref="Y146:Y149"/>
    <mergeCell ref="Y150:Y153"/>
    <mergeCell ref="A3:Y3"/>
    <mergeCell ref="A4:Y4"/>
    <mergeCell ref="A6:A8"/>
    <mergeCell ref="B6:B8"/>
    <mergeCell ref="C6:F7"/>
    <mergeCell ref="G6:G8"/>
    <mergeCell ref="H6:K7"/>
    <mergeCell ref="L6:L8"/>
    <mergeCell ref="Q6:Q8"/>
    <mergeCell ref="M6:P6"/>
    <mergeCell ref="W6:W7"/>
    <mergeCell ref="Z20:AB20"/>
    <mergeCell ref="A22:A25"/>
    <mergeCell ref="A26:A29"/>
    <mergeCell ref="Y26:Y29"/>
    <mergeCell ref="A30:A33"/>
    <mergeCell ref="Y30:Y33"/>
    <mergeCell ref="V6:V8"/>
    <mergeCell ref="X6:X8"/>
    <mergeCell ref="Y6:Y8"/>
    <mergeCell ref="X11:X20"/>
    <mergeCell ref="Y11:Y20"/>
    <mergeCell ref="R6:U6"/>
    <mergeCell ref="A11:A14"/>
    <mergeCell ref="A15:A20"/>
    <mergeCell ref="A49:A51"/>
    <mergeCell ref="Y49:Y51"/>
    <mergeCell ref="A52:A55"/>
    <mergeCell ref="A56:A59"/>
    <mergeCell ref="Y57:Y59"/>
    <mergeCell ref="A60:A62"/>
    <mergeCell ref="Y60:Y62"/>
    <mergeCell ref="A34:A37"/>
    <mergeCell ref="Y34:Y37"/>
    <mergeCell ref="A38:A41"/>
    <mergeCell ref="Y42:Y45"/>
    <mergeCell ref="A46:A48"/>
    <mergeCell ref="A42:A45"/>
    <mergeCell ref="A63:A65"/>
    <mergeCell ref="Y63:Y65"/>
    <mergeCell ref="A86:A89"/>
    <mergeCell ref="A90:A93"/>
    <mergeCell ref="Y90:Y93"/>
    <mergeCell ref="A106:A108"/>
    <mergeCell ref="Y106:Y108"/>
    <mergeCell ref="A109:A111"/>
    <mergeCell ref="Y109:Y111"/>
    <mergeCell ref="A82:A85"/>
    <mergeCell ref="A70:A73"/>
    <mergeCell ref="A98:A101"/>
    <mergeCell ref="Y66:Y69"/>
    <mergeCell ref="Y70:Y73"/>
    <mergeCell ref="Y82:Y85"/>
    <mergeCell ref="Y98:Y101"/>
    <mergeCell ref="A94:A97"/>
    <mergeCell ref="Y95:Y97"/>
    <mergeCell ref="A102:A105"/>
    <mergeCell ref="A74:A77"/>
    <mergeCell ref="Y74:Y77"/>
    <mergeCell ref="A78:A81"/>
    <mergeCell ref="A204:A207"/>
    <mergeCell ref="Y204:Y207"/>
    <mergeCell ref="A208:A211"/>
    <mergeCell ref="A268:A271"/>
    <mergeCell ref="Y268:Y271"/>
    <mergeCell ref="A272:A275"/>
    <mergeCell ref="Y272:Y275"/>
    <mergeCell ref="A218:A221"/>
    <mergeCell ref="Y208:Y211"/>
    <mergeCell ref="Y218:Y221"/>
    <mergeCell ref="A249:A252"/>
    <mergeCell ref="Y249:Y252"/>
    <mergeCell ref="A263:A267"/>
    <mergeCell ref="Y263:Y267"/>
    <mergeCell ref="A230:A232"/>
    <mergeCell ref="Y230:Y232"/>
    <mergeCell ref="A233:A236"/>
    <mergeCell ref="A237:A240"/>
    <mergeCell ref="Y237:Y240"/>
    <mergeCell ref="A245:A248"/>
    <mergeCell ref="A241:A244"/>
    <mergeCell ref="Y241:Y244"/>
    <mergeCell ref="A259:A262"/>
    <mergeCell ref="Y259:Y262"/>
    <mergeCell ref="A276:A279"/>
    <mergeCell ref="Y276:Y279"/>
    <mergeCell ref="A302:A305"/>
    <mergeCell ref="A310:A313"/>
    <mergeCell ref="Y302:Y305"/>
    <mergeCell ref="Y310:Y313"/>
    <mergeCell ref="Y330:Y333"/>
    <mergeCell ref="A334:A337"/>
    <mergeCell ref="A297:A301"/>
    <mergeCell ref="Y297:Y301"/>
    <mergeCell ref="A318:A321"/>
    <mergeCell ref="Y318:Y321"/>
    <mergeCell ref="A346:A349"/>
    <mergeCell ref="Y346:Y349"/>
    <mergeCell ref="A280:A284"/>
    <mergeCell ref="Y280:Y284"/>
    <mergeCell ref="A289:A292"/>
    <mergeCell ref="Y289:Y292"/>
    <mergeCell ref="A293:A296"/>
    <mergeCell ref="Y293:Y296"/>
    <mergeCell ref="A314:A317"/>
    <mergeCell ref="Y322:Y325"/>
    <mergeCell ref="A422:A425"/>
    <mergeCell ref="Y422:Y425"/>
    <mergeCell ref="A394:A397"/>
    <mergeCell ref="Y394:Y397"/>
    <mergeCell ref="A398:A401"/>
    <mergeCell ref="Y398:Y401"/>
    <mergeCell ref="A402:A405"/>
    <mergeCell ref="Y402:Y405"/>
    <mergeCell ref="A374:A377"/>
    <mergeCell ref="Y374:Y377"/>
    <mergeCell ref="A378:A381"/>
    <mergeCell ref="A382:A385"/>
    <mergeCell ref="Y382:Y385"/>
    <mergeCell ref="A390:A393"/>
    <mergeCell ref="A386:A389"/>
    <mergeCell ref="Y386:Y389"/>
    <mergeCell ref="A446:A447"/>
    <mergeCell ref="A448:A449"/>
    <mergeCell ref="Y448:Y449"/>
    <mergeCell ref="A452:A453"/>
    <mergeCell ref="Y452:Y453"/>
    <mergeCell ref="A458:A459"/>
    <mergeCell ref="Y458:Y459"/>
    <mergeCell ref="A426:A428"/>
    <mergeCell ref="Y429:Y437"/>
    <mergeCell ref="A438:A445"/>
    <mergeCell ref="X438:X445"/>
    <mergeCell ref="Y438:Y445"/>
    <mergeCell ref="Y426:Y428"/>
    <mergeCell ref="A456:A457"/>
    <mergeCell ref="Y456:Y457"/>
    <mergeCell ref="X429:X437"/>
    <mergeCell ref="A429:A432"/>
    <mergeCell ref="A433:A437"/>
    <mergeCell ref="A468:A469"/>
    <mergeCell ref="Y468:Y469"/>
    <mergeCell ref="A472:A473"/>
    <mergeCell ref="A474:A475"/>
    <mergeCell ref="Y474:Y475"/>
    <mergeCell ref="Y478:Y479"/>
    <mergeCell ref="A460:A461"/>
    <mergeCell ref="Y460:Y461"/>
    <mergeCell ref="A462:A463"/>
    <mergeCell ref="Y462:Y463"/>
    <mergeCell ref="A464:A465"/>
    <mergeCell ref="A466:A467"/>
    <mergeCell ref="Y466:Y467"/>
    <mergeCell ref="A492:A493"/>
    <mergeCell ref="Y492:Y493"/>
    <mergeCell ref="A496:A497"/>
    <mergeCell ref="A498:A499"/>
    <mergeCell ref="Y498:Y499"/>
    <mergeCell ref="A502:A503"/>
    <mergeCell ref="Y502:Y503"/>
    <mergeCell ref="A482:A483"/>
    <mergeCell ref="A484:A485"/>
    <mergeCell ref="Y484:Y485"/>
    <mergeCell ref="A486:A487"/>
    <mergeCell ref="A488:A489"/>
    <mergeCell ref="A490:A491"/>
    <mergeCell ref="Y490:Y491"/>
    <mergeCell ref="Y494:Y495"/>
    <mergeCell ref="A500:A501"/>
    <mergeCell ref="Y500:Y501"/>
    <mergeCell ref="Y486:Y487"/>
    <mergeCell ref="A494:A495"/>
    <mergeCell ref="A518:A519"/>
    <mergeCell ref="Y518:Y519"/>
    <mergeCell ref="A520:A521"/>
    <mergeCell ref="A522:A523"/>
    <mergeCell ref="Y522:Y523"/>
    <mergeCell ref="Y528:Y529"/>
    <mergeCell ref="A506:A509"/>
    <mergeCell ref="A510:A513"/>
    <mergeCell ref="Y510:Y513"/>
    <mergeCell ref="A514:A515"/>
    <mergeCell ref="Y514:Y515"/>
    <mergeCell ref="A516:A517"/>
    <mergeCell ref="Y516:Y517"/>
    <mergeCell ref="A524:A525"/>
    <mergeCell ref="Y524:Y525"/>
    <mergeCell ref="A544:A545"/>
    <mergeCell ref="Y544:Y545"/>
    <mergeCell ref="A546:A547"/>
    <mergeCell ref="Y548:Y549"/>
    <mergeCell ref="A550:A551"/>
    <mergeCell ref="A554:A555"/>
    <mergeCell ref="Y554:Y555"/>
    <mergeCell ref="A532:A533"/>
    <mergeCell ref="A534:A535"/>
    <mergeCell ref="Y534:Y535"/>
    <mergeCell ref="A536:A537"/>
    <mergeCell ref="Y536:Y537"/>
    <mergeCell ref="A540:A541"/>
    <mergeCell ref="Y540:Y541"/>
    <mergeCell ref="A542:A543"/>
    <mergeCell ref="Y542:Y543"/>
    <mergeCell ref="A552:A553"/>
    <mergeCell ref="Y552:Y553"/>
    <mergeCell ref="A548:A549"/>
    <mergeCell ref="A570:A571"/>
    <mergeCell ref="Y570:Y571"/>
    <mergeCell ref="A572:A573"/>
    <mergeCell ref="A574:A575"/>
    <mergeCell ref="Y574:Y575"/>
    <mergeCell ref="A576:A577"/>
    <mergeCell ref="Y576:Y577"/>
    <mergeCell ref="A556:A557"/>
    <mergeCell ref="A560:A561"/>
    <mergeCell ref="Y560:Y561"/>
    <mergeCell ref="A562:A563"/>
    <mergeCell ref="A564:A565"/>
    <mergeCell ref="Y564:Y565"/>
    <mergeCell ref="A558:A559"/>
    <mergeCell ref="Y558:Y559"/>
    <mergeCell ref="A592:A593"/>
    <mergeCell ref="Y592:Y593"/>
    <mergeCell ref="A594:A595"/>
    <mergeCell ref="Y594:Y595"/>
    <mergeCell ref="A596:A599"/>
    <mergeCell ref="Y596:Y597"/>
    <mergeCell ref="A578:A579"/>
    <mergeCell ref="A580:A581"/>
    <mergeCell ref="Y580:Y581"/>
    <mergeCell ref="A582:A583"/>
    <mergeCell ref="Y582:Y583"/>
    <mergeCell ref="A584:A585"/>
    <mergeCell ref="Y584:Y585"/>
    <mergeCell ref="A590:A591"/>
    <mergeCell ref="Y590:Y591"/>
    <mergeCell ref="A586:A588"/>
    <mergeCell ref="A622:A623"/>
    <mergeCell ref="Y622:Y623"/>
    <mergeCell ref="A624:A625"/>
    <mergeCell ref="A626:A627"/>
    <mergeCell ref="Y626:Y627"/>
    <mergeCell ref="A628:A629"/>
    <mergeCell ref="Y628:Y629"/>
    <mergeCell ref="A600:A601"/>
    <mergeCell ref="Y602:Y603"/>
    <mergeCell ref="Y604:Y605"/>
    <mergeCell ref="A606:A609"/>
    <mergeCell ref="A612:A613"/>
    <mergeCell ref="Y612:Y613"/>
    <mergeCell ref="A602:A603"/>
    <mergeCell ref="A604:A605"/>
    <mergeCell ref="A614:A617"/>
    <mergeCell ref="A618:A621"/>
    <mergeCell ref="Y614:Y617"/>
    <mergeCell ref="Y618:Y621"/>
    <mergeCell ref="A644:A645"/>
    <mergeCell ref="Y646:Y647"/>
    <mergeCell ref="A648:A649"/>
    <mergeCell ref="Y648:Y649"/>
    <mergeCell ref="A650:A651"/>
    <mergeCell ref="Y650:Y651"/>
    <mergeCell ref="A630:A631"/>
    <mergeCell ref="A632:A633"/>
    <mergeCell ref="Y632:Y633"/>
    <mergeCell ref="A636:A637"/>
    <mergeCell ref="Y636:Y637"/>
    <mergeCell ref="A642:A643"/>
    <mergeCell ref="Y642:Y643"/>
    <mergeCell ref="A640:A641"/>
    <mergeCell ref="Y640:Y641"/>
    <mergeCell ref="A660:A661"/>
    <mergeCell ref="Y660:Y661"/>
    <mergeCell ref="A662:A665"/>
    <mergeCell ref="A666:A667"/>
    <mergeCell ref="A668:A671"/>
    <mergeCell ref="A672:A673"/>
    <mergeCell ref="Y672:Y673"/>
    <mergeCell ref="A652:A653"/>
    <mergeCell ref="Y652:Y653"/>
    <mergeCell ref="A654:A655"/>
    <mergeCell ref="A656:A657"/>
    <mergeCell ref="Y656:Y657"/>
    <mergeCell ref="A658:A659"/>
    <mergeCell ref="Y666:Y667"/>
    <mergeCell ref="Y668:Y671"/>
    <mergeCell ref="A686:A687"/>
    <mergeCell ref="Y686:Y687"/>
    <mergeCell ref="A688:A689"/>
    <mergeCell ref="A690:A691"/>
    <mergeCell ref="Y690:Y691"/>
    <mergeCell ref="A692:A693"/>
    <mergeCell ref="Y692:Y693"/>
    <mergeCell ref="A674:A675"/>
    <mergeCell ref="Y678:Y679"/>
    <mergeCell ref="A680:A681"/>
    <mergeCell ref="A682:A683"/>
    <mergeCell ref="Y682:Y683"/>
    <mergeCell ref="A684:A685"/>
    <mergeCell ref="Y684:Y685"/>
    <mergeCell ref="Y676:Y677"/>
    <mergeCell ref="A676:A677"/>
    <mergeCell ref="A706:A707"/>
    <mergeCell ref="A708:A709"/>
    <mergeCell ref="Y708:Y709"/>
    <mergeCell ref="A710:A711"/>
    <mergeCell ref="Y710:Y711"/>
    <mergeCell ref="A712:A713"/>
    <mergeCell ref="A696:A697"/>
    <mergeCell ref="A698:A699"/>
    <mergeCell ref="Y698:Y699"/>
    <mergeCell ref="A700:A701"/>
    <mergeCell ref="Y700:Y701"/>
    <mergeCell ref="A704:A705"/>
    <mergeCell ref="Y704:Y705"/>
    <mergeCell ref="A729:A730"/>
    <mergeCell ref="A731:A732"/>
    <mergeCell ref="Y731:Y732"/>
    <mergeCell ref="A733:A734"/>
    <mergeCell ref="A735:A736"/>
    <mergeCell ref="Y735:Y736"/>
    <mergeCell ref="A714:A715"/>
    <mergeCell ref="Y714:Y715"/>
    <mergeCell ref="A716:A717"/>
    <mergeCell ref="Y716:Y717"/>
    <mergeCell ref="A721:A728"/>
    <mergeCell ref="X721:X728"/>
    <mergeCell ref="Y721:Y728"/>
    <mergeCell ref="A737:A738"/>
    <mergeCell ref="Y737:Y738"/>
    <mergeCell ref="A745:A746"/>
    <mergeCell ref="A749:A750"/>
    <mergeCell ref="Y749:Y750"/>
    <mergeCell ref="A751:A752"/>
    <mergeCell ref="A741:A742"/>
    <mergeCell ref="Y743:Y744"/>
    <mergeCell ref="A743:A744"/>
    <mergeCell ref="A761:A762"/>
    <mergeCell ref="Y761:Y762"/>
    <mergeCell ref="A763:A764"/>
    <mergeCell ref="Y763:Y764"/>
    <mergeCell ref="Y765:Y766"/>
    <mergeCell ref="A767:A768"/>
    <mergeCell ref="A765:A766"/>
    <mergeCell ref="A753:A754"/>
    <mergeCell ref="Y753:Y754"/>
    <mergeCell ref="A755:A756"/>
    <mergeCell ref="A757:A758"/>
    <mergeCell ref="Y757:Y758"/>
    <mergeCell ref="A759:A760"/>
    <mergeCell ref="Y759:Y760"/>
    <mergeCell ref="Y781:Y784"/>
    <mergeCell ref="A785:A786"/>
    <mergeCell ref="A787:A788"/>
    <mergeCell ref="Y787:Y788"/>
    <mergeCell ref="A793:A794"/>
    <mergeCell ref="A777:A780"/>
    <mergeCell ref="A769:A770"/>
    <mergeCell ref="Y769:Y770"/>
    <mergeCell ref="A771:A772"/>
    <mergeCell ref="A773:A774"/>
    <mergeCell ref="Y773:Y774"/>
    <mergeCell ref="A775:A776"/>
    <mergeCell ref="A791:A792"/>
    <mergeCell ref="Y791:Y792"/>
    <mergeCell ref="Y793:Y794"/>
    <mergeCell ref="A813:A814"/>
    <mergeCell ref="A815:A816"/>
    <mergeCell ref="A817:A818"/>
    <mergeCell ref="A799:A800"/>
    <mergeCell ref="Y799:Y800"/>
    <mergeCell ref="A801:A802"/>
    <mergeCell ref="A803:A804"/>
    <mergeCell ref="Y803:Y804"/>
    <mergeCell ref="A807:A808"/>
    <mergeCell ref="A811:A812"/>
    <mergeCell ref="Y815:Y816"/>
    <mergeCell ref="Y835:Y838"/>
    <mergeCell ref="A326:A329"/>
    <mergeCell ref="A330:A333"/>
    <mergeCell ref="Y875:Y876"/>
    <mergeCell ref="A819:A820"/>
    <mergeCell ref="A823:A826"/>
    <mergeCell ref="A827:A830"/>
    <mergeCell ref="A809:A810"/>
    <mergeCell ref="Y809:Y810"/>
    <mergeCell ref="Y811:Y812"/>
    <mergeCell ref="Y827:Y830"/>
    <mergeCell ref="A839:A842"/>
    <mergeCell ref="A843:A846"/>
    <mergeCell ref="Y843:Y846"/>
    <mergeCell ref="A831:A834"/>
    <mergeCell ref="Y819:Y820"/>
    <mergeCell ref="Y831:Y834"/>
    <mergeCell ref="Y839:Y842"/>
    <mergeCell ref="A789:A790"/>
    <mergeCell ref="A847:A850"/>
    <mergeCell ref="Y847:Y850"/>
    <mergeCell ref="A795:A796"/>
    <mergeCell ref="A797:A798"/>
    <mergeCell ref="Y797:Y798"/>
    <mergeCell ref="A865:A866"/>
    <mergeCell ref="Y865:Y866"/>
    <mergeCell ref="A851:A854"/>
    <mergeCell ref="Y851:Y854"/>
    <mergeCell ref="A855:A858"/>
    <mergeCell ref="Y855:Y858"/>
    <mergeCell ref="A883:A884"/>
    <mergeCell ref="Y883:Y884"/>
    <mergeCell ref="A867:A868"/>
    <mergeCell ref="A869:A870"/>
    <mergeCell ref="Y869:Y870"/>
    <mergeCell ref="A871:A872"/>
    <mergeCell ref="A873:A874"/>
    <mergeCell ref="Y873:Y874"/>
    <mergeCell ref="A877:A880"/>
    <mergeCell ref="A881:A882"/>
    <mergeCell ref="Y881:Y882"/>
    <mergeCell ref="A887:A890"/>
    <mergeCell ref="Y887:Y890"/>
    <mergeCell ref="A875:A876"/>
    <mergeCell ref="AG9:AI9"/>
    <mergeCell ref="AA9:AC9"/>
    <mergeCell ref="AD9:AF9"/>
    <mergeCell ref="A222:A225"/>
    <mergeCell ref="A253:A258"/>
    <mergeCell ref="A350:A353"/>
    <mergeCell ref="A66:A69"/>
    <mergeCell ref="A406:A409"/>
    <mergeCell ref="A358:A361"/>
    <mergeCell ref="Y358:Y361"/>
    <mergeCell ref="A362:A365"/>
    <mergeCell ref="A366:A369"/>
    <mergeCell ref="Y366:Y369"/>
    <mergeCell ref="A370:A373"/>
    <mergeCell ref="A338:A341"/>
    <mergeCell ref="Y338:Y341"/>
    <mergeCell ref="A342:A345"/>
    <mergeCell ref="Y342:Y345"/>
    <mergeCell ref="A859:A862"/>
    <mergeCell ref="Y859:Y862"/>
    <mergeCell ref="A863:A864"/>
    <mergeCell ref="A935:Y935"/>
    <mergeCell ref="A354:A357"/>
    <mergeCell ref="Y354:Y357"/>
    <mergeCell ref="A322:A325"/>
    <mergeCell ref="A933:Y933"/>
    <mergeCell ref="Y926:Y930"/>
    <mergeCell ref="Y916:Y920"/>
    <mergeCell ref="A903:A910"/>
    <mergeCell ref="A911:A915"/>
    <mergeCell ref="A916:A920"/>
    <mergeCell ref="A921:A925"/>
    <mergeCell ref="A926:A930"/>
    <mergeCell ref="A897:A898"/>
    <mergeCell ref="A899:A900"/>
    <mergeCell ref="Y899:Y900"/>
    <mergeCell ref="A885:A886"/>
    <mergeCell ref="Y885:Y886"/>
    <mergeCell ref="A891:A892"/>
    <mergeCell ref="Y891:Y892"/>
    <mergeCell ref="A893:A894"/>
    <mergeCell ref="A895:A896"/>
    <mergeCell ref="A821:A822"/>
    <mergeCell ref="Y821:Y822"/>
    <mergeCell ref="A835:A838"/>
  </mergeCells>
  <conditionalFormatting sqref="V144:V152">
    <cfRule type="cellIs" dxfId="1" priority="3" stopIfTrue="1" operator="equal">
      <formula>0</formula>
    </cfRule>
  </conditionalFormatting>
  <conditionalFormatting sqref="W267">
    <cfRule type="cellIs" dxfId="0" priority="1" stopIfTrue="1" operator="equal">
      <formula>0</formula>
    </cfRule>
  </conditionalFormatting>
  <printOptions horizontalCentered="1"/>
  <pageMargins left="0.39370078740157483" right="0.39370078740157483" top="0.98425196850393704" bottom="0.39370078740157483" header="0.31496062992125984" footer="0.31496062992125984"/>
  <pageSetup paperSize="9" scale="74" fitToHeight="20" orientation="landscape" r:id="rId1"/>
  <headerFooter differentFirst="1">
    <oddHeader>Страница &amp;P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107"/>
  <sheetViews>
    <sheetView topLeftCell="A11" zoomScale="70" zoomScaleNormal="70" workbookViewId="0">
      <pane ySplit="2" topLeftCell="A28" activePane="bottomLeft" state="frozen"/>
      <selection activeCell="A11" sqref="A11"/>
      <selection pane="bottomLeft" activeCell="R27" sqref="R27"/>
    </sheetView>
  </sheetViews>
  <sheetFormatPr defaultColWidth="8.88671875" defaultRowHeight="18"/>
  <cols>
    <col min="1" max="1" width="2.44140625" style="249" customWidth="1"/>
    <col min="2" max="2" width="33.33203125" style="249" customWidth="1"/>
    <col min="3" max="3" width="46.6640625" style="249" customWidth="1"/>
    <col min="4" max="4" width="14.5546875" style="250" customWidth="1"/>
    <col min="5" max="5" width="12.88671875" style="249" customWidth="1"/>
    <col min="6" max="6" width="12.33203125" style="249" customWidth="1"/>
    <col min="7" max="9" width="13.44140625" style="249" bestFit="1" customWidth="1"/>
    <col min="10" max="15" width="13.44140625" style="251" bestFit="1" customWidth="1"/>
    <col min="16" max="16" width="13.44140625" style="249" bestFit="1" customWidth="1"/>
    <col min="17" max="17" width="8.88671875" style="249"/>
    <col min="18" max="18" width="15.6640625" style="252" customWidth="1"/>
    <col min="19" max="19" width="14.109375" style="249" customWidth="1"/>
    <col min="20" max="20" width="22.6640625" style="249" customWidth="1"/>
    <col min="21" max="21" width="18.44140625" style="249" bestFit="1" customWidth="1"/>
    <col min="22" max="22" width="13.109375" style="249" customWidth="1"/>
    <col min="23" max="23" width="12.109375" style="249" customWidth="1"/>
    <col min="24" max="256" width="8.88671875" style="249"/>
    <col min="257" max="257" width="2.44140625" style="249" customWidth="1"/>
    <col min="258" max="258" width="33.33203125" style="249" customWidth="1"/>
    <col min="259" max="259" width="46.6640625" style="249" customWidth="1"/>
    <col min="260" max="260" width="13.109375" style="249" customWidth="1"/>
    <col min="261" max="261" width="17" style="249" customWidth="1"/>
    <col min="262" max="262" width="18.33203125" style="249" customWidth="1"/>
    <col min="263" max="272" width="14.6640625" style="249" customWidth="1"/>
    <col min="273" max="273" width="8.88671875" style="249"/>
    <col min="274" max="274" width="15.6640625" style="249" customWidth="1"/>
    <col min="275" max="275" width="14.109375" style="249" customWidth="1"/>
    <col min="276" max="276" width="15.6640625" style="249" customWidth="1"/>
    <col min="277" max="277" width="11.33203125" style="249" bestFit="1" customWidth="1"/>
    <col min="278" max="278" width="13.109375" style="249" customWidth="1"/>
    <col min="279" max="279" width="12.109375" style="249" customWidth="1"/>
    <col min="280" max="512" width="8.88671875" style="249"/>
    <col min="513" max="513" width="2.44140625" style="249" customWidth="1"/>
    <col min="514" max="514" width="33.33203125" style="249" customWidth="1"/>
    <col min="515" max="515" width="46.6640625" style="249" customWidth="1"/>
    <col min="516" max="516" width="13.109375" style="249" customWidth="1"/>
    <col min="517" max="517" width="17" style="249" customWidth="1"/>
    <col min="518" max="518" width="18.33203125" style="249" customWidth="1"/>
    <col min="519" max="528" width="14.6640625" style="249" customWidth="1"/>
    <col min="529" max="529" width="8.88671875" style="249"/>
    <col min="530" max="530" width="15.6640625" style="249" customWidth="1"/>
    <col min="531" max="531" width="14.109375" style="249" customWidth="1"/>
    <col min="532" max="532" width="15.6640625" style="249" customWidth="1"/>
    <col min="533" max="533" width="11.33203125" style="249" bestFit="1" customWidth="1"/>
    <col min="534" max="534" width="13.109375" style="249" customWidth="1"/>
    <col min="535" max="535" width="12.109375" style="249" customWidth="1"/>
    <col min="536" max="768" width="8.88671875" style="249"/>
    <col min="769" max="769" width="2.44140625" style="249" customWidth="1"/>
    <col min="770" max="770" width="33.33203125" style="249" customWidth="1"/>
    <col min="771" max="771" width="46.6640625" style="249" customWidth="1"/>
    <col min="772" max="772" width="13.109375" style="249" customWidth="1"/>
    <col min="773" max="773" width="17" style="249" customWidth="1"/>
    <col min="774" max="774" width="18.33203125" style="249" customWidth="1"/>
    <col min="775" max="784" width="14.6640625" style="249" customWidth="1"/>
    <col min="785" max="785" width="8.88671875" style="249"/>
    <col min="786" max="786" width="15.6640625" style="249" customWidth="1"/>
    <col min="787" max="787" width="14.109375" style="249" customWidth="1"/>
    <col min="788" max="788" width="15.6640625" style="249" customWidth="1"/>
    <col min="789" max="789" width="11.33203125" style="249" bestFit="1" customWidth="1"/>
    <col min="790" max="790" width="13.109375" style="249" customWidth="1"/>
    <col min="791" max="791" width="12.109375" style="249" customWidth="1"/>
    <col min="792" max="1024" width="8.88671875" style="249"/>
    <col min="1025" max="1025" width="2.44140625" style="249" customWidth="1"/>
    <col min="1026" max="1026" width="33.33203125" style="249" customWidth="1"/>
    <col min="1027" max="1027" width="46.6640625" style="249" customWidth="1"/>
    <col min="1028" max="1028" width="13.109375" style="249" customWidth="1"/>
    <col min="1029" max="1029" width="17" style="249" customWidth="1"/>
    <col min="1030" max="1030" width="18.33203125" style="249" customWidth="1"/>
    <col min="1031" max="1040" width="14.6640625" style="249" customWidth="1"/>
    <col min="1041" max="1041" width="8.88671875" style="249"/>
    <col min="1042" max="1042" width="15.6640625" style="249" customWidth="1"/>
    <col min="1043" max="1043" width="14.109375" style="249" customWidth="1"/>
    <col min="1044" max="1044" width="15.6640625" style="249" customWidth="1"/>
    <col min="1045" max="1045" width="11.33203125" style="249" bestFit="1" customWidth="1"/>
    <col min="1046" max="1046" width="13.109375" style="249" customWidth="1"/>
    <col min="1047" max="1047" width="12.109375" style="249" customWidth="1"/>
    <col min="1048" max="1280" width="8.88671875" style="249"/>
    <col min="1281" max="1281" width="2.44140625" style="249" customWidth="1"/>
    <col min="1282" max="1282" width="33.33203125" style="249" customWidth="1"/>
    <col min="1283" max="1283" width="46.6640625" style="249" customWidth="1"/>
    <col min="1284" max="1284" width="13.109375" style="249" customWidth="1"/>
    <col min="1285" max="1285" width="17" style="249" customWidth="1"/>
    <col min="1286" max="1286" width="18.33203125" style="249" customWidth="1"/>
    <col min="1287" max="1296" width="14.6640625" style="249" customWidth="1"/>
    <col min="1297" max="1297" width="8.88671875" style="249"/>
    <col min="1298" max="1298" width="15.6640625" style="249" customWidth="1"/>
    <col min="1299" max="1299" width="14.109375" style="249" customWidth="1"/>
    <col min="1300" max="1300" width="15.6640625" style="249" customWidth="1"/>
    <col min="1301" max="1301" width="11.33203125" style="249" bestFit="1" customWidth="1"/>
    <col min="1302" max="1302" width="13.109375" style="249" customWidth="1"/>
    <col min="1303" max="1303" width="12.109375" style="249" customWidth="1"/>
    <col min="1304" max="1536" width="8.88671875" style="249"/>
    <col min="1537" max="1537" width="2.44140625" style="249" customWidth="1"/>
    <col min="1538" max="1538" width="33.33203125" style="249" customWidth="1"/>
    <col min="1539" max="1539" width="46.6640625" style="249" customWidth="1"/>
    <col min="1540" max="1540" width="13.109375" style="249" customWidth="1"/>
    <col min="1541" max="1541" width="17" style="249" customWidth="1"/>
    <col min="1542" max="1542" width="18.33203125" style="249" customWidth="1"/>
    <col min="1543" max="1552" width="14.6640625" style="249" customWidth="1"/>
    <col min="1553" max="1553" width="8.88671875" style="249"/>
    <col min="1554" max="1554" width="15.6640625" style="249" customWidth="1"/>
    <col min="1555" max="1555" width="14.109375" style="249" customWidth="1"/>
    <col min="1556" max="1556" width="15.6640625" style="249" customWidth="1"/>
    <col min="1557" max="1557" width="11.33203125" style="249" bestFit="1" customWidth="1"/>
    <col min="1558" max="1558" width="13.109375" style="249" customWidth="1"/>
    <col min="1559" max="1559" width="12.109375" style="249" customWidth="1"/>
    <col min="1560" max="1792" width="8.88671875" style="249"/>
    <col min="1793" max="1793" width="2.44140625" style="249" customWidth="1"/>
    <col min="1794" max="1794" width="33.33203125" style="249" customWidth="1"/>
    <col min="1795" max="1795" width="46.6640625" style="249" customWidth="1"/>
    <col min="1796" max="1796" width="13.109375" style="249" customWidth="1"/>
    <col min="1797" max="1797" width="17" style="249" customWidth="1"/>
    <col min="1798" max="1798" width="18.33203125" style="249" customWidth="1"/>
    <col min="1799" max="1808" width="14.6640625" style="249" customWidth="1"/>
    <col min="1809" max="1809" width="8.88671875" style="249"/>
    <col min="1810" max="1810" width="15.6640625" style="249" customWidth="1"/>
    <col min="1811" max="1811" width="14.109375" style="249" customWidth="1"/>
    <col min="1812" max="1812" width="15.6640625" style="249" customWidth="1"/>
    <col min="1813" max="1813" width="11.33203125" style="249" bestFit="1" customWidth="1"/>
    <col min="1814" max="1814" width="13.109375" style="249" customWidth="1"/>
    <col min="1815" max="1815" width="12.109375" style="249" customWidth="1"/>
    <col min="1816" max="2048" width="8.88671875" style="249"/>
    <col min="2049" max="2049" width="2.44140625" style="249" customWidth="1"/>
    <col min="2050" max="2050" width="33.33203125" style="249" customWidth="1"/>
    <col min="2051" max="2051" width="46.6640625" style="249" customWidth="1"/>
    <col min="2052" max="2052" width="13.109375" style="249" customWidth="1"/>
    <col min="2053" max="2053" width="17" style="249" customWidth="1"/>
    <col min="2054" max="2054" width="18.33203125" style="249" customWidth="1"/>
    <col min="2055" max="2064" width="14.6640625" style="249" customWidth="1"/>
    <col min="2065" max="2065" width="8.88671875" style="249"/>
    <col min="2066" max="2066" width="15.6640625" style="249" customWidth="1"/>
    <col min="2067" max="2067" width="14.109375" style="249" customWidth="1"/>
    <col min="2068" max="2068" width="15.6640625" style="249" customWidth="1"/>
    <col min="2069" max="2069" width="11.33203125" style="249" bestFit="1" customWidth="1"/>
    <col min="2070" max="2070" width="13.109375" style="249" customWidth="1"/>
    <col min="2071" max="2071" width="12.109375" style="249" customWidth="1"/>
    <col min="2072" max="2304" width="8.88671875" style="249"/>
    <col min="2305" max="2305" width="2.44140625" style="249" customWidth="1"/>
    <col min="2306" max="2306" width="33.33203125" style="249" customWidth="1"/>
    <col min="2307" max="2307" width="46.6640625" style="249" customWidth="1"/>
    <col min="2308" max="2308" width="13.109375" style="249" customWidth="1"/>
    <col min="2309" max="2309" width="17" style="249" customWidth="1"/>
    <col min="2310" max="2310" width="18.33203125" style="249" customWidth="1"/>
    <col min="2311" max="2320" width="14.6640625" style="249" customWidth="1"/>
    <col min="2321" max="2321" width="8.88671875" style="249"/>
    <col min="2322" max="2322" width="15.6640625" style="249" customWidth="1"/>
    <col min="2323" max="2323" width="14.109375" style="249" customWidth="1"/>
    <col min="2324" max="2324" width="15.6640625" style="249" customWidth="1"/>
    <col min="2325" max="2325" width="11.33203125" style="249" bestFit="1" customWidth="1"/>
    <col min="2326" max="2326" width="13.109375" style="249" customWidth="1"/>
    <col min="2327" max="2327" width="12.109375" style="249" customWidth="1"/>
    <col min="2328" max="2560" width="8.88671875" style="249"/>
    <col min="2561" max="2561" width="2.44140625" style="249" customWidth="1"/>
    <col min="2562" max="2562" width="33.33203125" style="249" customWidth="1"/>
    <col min="2563" max="2563" width="46.6640625" style="249" customWidth="1"/>
    <col min="2564" max="2564" width="13.109375" style="249" customWidth="1"/>
    <col min="2565" max="2565" width="17" style="249" customWidth="1"/>
    <col min="2566" max="2566" width="18.33203125" style="249" customWidth="1"/>
    <col min="2567" max="2576" width="14.6640625" style="249" customWidth="1"/>
    <col min="2577" max="2577" width="8.88671875" style="249"/>
    <col min="2578" max="2578" width="15.6640625" style="249" customWidth="1"/>
    <col min="2579" max="2579" width="14.109375" style="249" customWidth="1"/>
    <col min="2580" max="2580" width="15.6640625" style="249" customWidth="1"/>
    <col min="2581" max="2581" width="11.33203125" style="249" bestFit="1" customWidth="1"/>
    <col min="2582" max="2582" width="13.109375" style="249" customWidth="1"/>
    <col min="2583" max="2583" width="12.109375" style="249" customWidth="1"/>
    <col min="2584" max="2816" width="8.88671875" style="249"/>
    <col min="2817" max="2817" width="2.44140625" style="249" customWidth="1"/>
    <col min="2818" max="2818" width="33.33203125" style="249" customWidth="1"/>
    <col min="2819" max="2819" width="46.6640625" style="249" customWidth="1"/>
    <col min="2820" max="2820" width="13.109375" style="249" customWidth="1"/>
    <col min="2821" max="2821" width="17" style="249" customWidth="1"/>
    <col min="2822" max="2822" width="18.33203125" style="249" customWidth="1"/>
    <col min="2823" max="2832" width="14.6640625" style="249" customWidth="1"/>
    <col min="2833" max="2833" width="8.88671875" style="249"/>
    <col min="2834" max="2834" width="15.6640625" style="249" customWidth="1"/>
    <col min="2835" max="2835" width="14.109375" style="249" customWidth="1"/>
    <col min="2836" max="2836" width="15.6640625" style="249" customWidth="1"/>
    <col min="2837" max="2837" width="11.33203125" style="249" bestFit="1" customWidth="1"/>
    <col min="2838" max="2838" width="13.109375" style="249" customWidth="1"/>
    <col min="2839" max="2839" width="12.109375" style="249" customWidth="1"/>
    <col min="2840" max="3072" width="8.88671875" style="249"/>
    <col min="3073" max="3073" width="2.44140625" style="249" customWidth="1"/>
    <col min="3074" max="3074" width="33.33203125" style="249" customWidth="1"/>
    <col min="3075" max="3075" width="46.6640625" style="249" customWidth="1"/>
    <col min="3076" max="3076" width="13.109375" style="249" customWidth="1"/>
    <col min="3077" max="3077" width="17" style="249" customWidth="1"/>
    <col min="3078" max="3078" width="18.33203125" style="249" customWidth="1"/>
    <col min="3079" max="3088" width="14.6640625" style="249" customWidth="1"/>
    <col min="3089" max="3089" width="8.88671875" style="249"/>
    <col min="3090" max="3090" width="15.6640625" style="249" customWidth="1"/>
    <col min="3091" max="3091" width="14.109375" style="249" customWidth="1"/>
    <col min="3092" max="3092" width="15.6640625" style="249" customWidth="1"/>
    <col min="3093" max="3093" width="11.33203125" style="249" bestFit="1" customWidth="1"/>
    <col min="3094" max="3094" width="13.109375" style="249" customWidth="1"/>
    <col min="3095" max="3095" width="12.109375" style="249" customWidth="1"/>
    <col min="3096" max="3328" width="8.88671875" style="249"/>
    <col min="3329" max="3329" width="2.44140625" style="249" customWidth="1"/>
    <col min="3330" max="3330" width="33.33203125" style="249" customWidth="1"/>
    <col min="3331" max="3331" width="46.6640625" style="249" customWidth="1"/>
    <col min="3332" max="3332" width="13.109375" style="249" customWidth="1"/>
    <col min="3333" max="3333" width="17" style="249" customWidth="1"/>
    <col min="3334" max="3334" width="18.33203125" style="249" customWidth="1"/>
    <col min="3335" max="3344" width="14.6640625" style="249" customWidth="1"/>
    <col min="3345" max="3345" width="8.88671875" style="249"/>
    <col min="3346" max="3346" width="15.6640625" style="249" customWidth="1"/>
    <col min="3347" max="3347" width="14.109375" style="249" customWidth="1"/>
    <col min="3348" max="3348" width="15.6640625" style="249" customWidth="1"/>
    <col min="3349" max="3349" width="11.33203125" style="249" bestFit="1" customWidth="1"/>
    <col min="3350" max="3350" width="13.109375" style="249" customWidth="1"/>
    <col min="3351" max="3351" width="12.109375" style="249" customWidth="1"/>
    <col min="3352" max="3584" width="8.88671875" style="249"/>
    <col min="3585" max="3585" width="2.44140625" style="249" customWidth="1"/>
    <col min="3586" max="3586" width="33.33203125" style="249" customWidth="1"/>
    <col min="3587" max="3587" width="46.6640625" style="249" customWidth="1"/>
    <col min="3588" max="3588" width="13.109375" style="249" customWidth="1"/>
    <col min="3589" max="3589" width="17" style="249" customWidth="1"/>
    <col min="3590" max="3590" width="18.33203125" style="249" customWidth="1"/>
    <col min="3591" max="3600" width="14.6640625" style="249" customWidth="1"/>
    <col min="3601" max="3601" width="8.88671875" style="249"/>
    <col min="3602" max="3602" width="15.6640625" style="249" customWidth="1"/>
    <col min="3603" max="3603" width="14.109375" style="249" customWidth="1"/>
    <col min="3604" max="3604" width="15.6640625" style="249" customWidth="1"/>
    <col min="3605" max="3605" width="11.33203125" style="249" bestFit="1" customWidth="1"/>
    <col min="3606" max="3606" width="13.109375" style="249" customWidth="1"/>
    <col min="3607" max="3607" width="12.109375" style="249" customWidth="1"/>
    <col min="3608" max="3840" width="8.88671875" style="249"/>
    <col min="3841" max="3841" width="2.44140625" style="249" customWidth="1"/>
    <col min="3842" max="3842" width="33.33203125" style="249" customWidth="1"/>
    <col min="3843" max="3843" width="46.6640625" style="249" customWidth="1"/>
    <col min="3844" max="3844" width="13.109375" style="249" customWidth="1"/>
    <col min="3845" max="3845" width="17" style="249" customWidth="1"/>
    <col min="3846" max="3846" width="18.33203125" style="249" customWidth="1"/>
    <col min="3847" max="3856" width="14.6640625" style="249" customWidth="1"/>
    <col min="3857" max="3857" width="8.88671875" style="249"/>
    <col min="3858" max="3858" width="15.6640625" style="249" customWidth="1"/>
    <col min="3859" max="3859" width="14.109375" style="249" customWidth="1"/>
    <col min="3860" max="3860" width="15.6640625" style="249" customWidth="1"/>
    <col min="3861" max="3861" width="11.33203125" style="249" bestFit="1" customWidth="1"/>
    <col min="3862" max="3862" width="13.109375" style="249" customWidth="1"/>
    <col min="3863" max="3863" width="12.109375" style="249" customWidth="1"/>
    <col min="3864" max="4096" width="8.88671875" style="249"/>
    <col min="4097" max="4097" width="2.44140625" style="249" customWidth="1"/>
    <col min="4098" max="4098" width="33.33203125" style="249" customWidth="1"/>
    <col min="4099" max="4099" width="46.6640625" style="249" customWidth="1"/>
    <col min="4100" max="4100" width="13.109375" style="249" customWidth="1"/>
    <col min="4101" max="4101" width="17" style="249" customWidth="1"/>
    <col min="4102" max="4102" width="18.33203125" style="249" customWidth="1"/>
    <col min="4103" max="4112" width="14.6640625" style="249" customWidth="1"/>
    <col min="4113" max="4113" width="8.88671875" style="249"/>
    <col min="4114" max="4114" width="15.6640625" style="249" customWidth="1"/>
    <col min="4115" max="4115" width="14.109375" style="249" customWidth="1"/>
    <col min="4116" max="4116" width="15.6640625" style="249" customWidth="1"/>
    <col min="4117" max="4117" width="11.33203125" style="249" bestFit="1" customWidth="1"/>
    <col min="4118" max="4118" width="13.109375" style="249" customWidth="1"/>
    <col min="4119" max="4119" width="12.109375" style="249" customWidth="1"/>
    <col min="4120" max="4352" width="8.88671875" style="249"/>
    <col min="4353" max="4353" width="2.44140625" style="249" customWidth="1"/>
    <col min="4354" max="4354" width="33.33203125" style="249" customWidth="1"/>
    <col min="4355" max="4355" width="46.6640625" style="249" customWidth="1"/>
    <col min="4356" max="4356" width="13.109375" style="249" customWidth="1"/>
    <col min="4357" max="4357" width="17" style="249" customWidth="1"/>
    <col min="4358" max="4358" width="18.33203125" style="249" customWidth="1"/>
    <col min="4359" max="4368" width="14.6640625" style="249" customWidth="1"/>
    <col min="4369" max="4369" width="8.88671875" style="249"/>
    <col min="4370" max="4370" width="15.6640625" style="249" customWidth="1"/>
    <col min="4371" max="4371" width="14.109375" style="249" customWidth="1"/>
    <col min="4372" max="4372" width="15.6640625" style="249" customWidth="1"/>
    <col min="4373" max="4373" width="11.33203125" style="249" bestFit="1" customWidth="1"/>
    <col min="4374" max="4374" width="13.109375" style="249" customWidth="1"/>
    <col min="4375" max="4375" width="12.109375" style="249" customWidth="1"/>
    <col min="4376" max="4608" width="8.88671875" style="249"/>
    <col min="4609" max="4609" width="2.44140625" style="249" customWidth="1"/>
    <col min="4610" max="4610" width="33.33203125" style="249" customWidth="1"/>
    <col min="4611" max="4611" width="46.6640625" style="249" customWidth="1"/>
    <col min="4612" max="4612" width="13.109375" style="249" customWidth="1"/>
    <col min="4613" max="4613" width="17" style="249" customWidth="1"/>
    <col min="4614" max="4614" width="18.33203125" style="249" customWidth="1"/>
    <col min="4615" max="4624" width="14.6640625" style="249" customWidth="1"/>
    <col min="4625" max="4625" width="8.88671875" style="249"/>
    <col min="4626" max="4626" width="15.6640625" style="249" customWidth="1"/>
    <col min="4627" max="4627" width="14.109375" style="249" customWidth="1"/>
    <col min="4628" max="4628" width="15.6640625" style="249" customWidth="1"/>
    <col min="4629" max="4629" width="11.33203125" style="249" bestFit="1" customWidth="1"/>
    <col min="4630" max="4630" width="13.109375" style="249" customWidth="1"/>
    <col min="4631" max="4631" width="12.109375" style="249" customWidth="1"/>
    <col min="4632" max="4864" width="8.88671875" style="249"/>
    <col min="4865" max="4865" width="2.44140625" style="249" customWidth="1"/>
    <col min="4866" max="4866" width="33.33203125" style="249" customWidth="1"/>
    <col min="4867" max="4867" width="46.6640625" style="249" customWidth="1"/>
    <col min="4868" max="4868" width="13.109375" style="249" customWidth="1"/>
    <col min="4869" max="4869" width="17" style="249" customWidth="1"/>
    <col min="4870" max="4870" width="18.33203125" style="249" customWidth="1"/>
    <col min="4871" max="4880" width="14.6640625" style="249" customWidth="1"/>
    <col min="4881" max="4881" width="8.88671875" style="249"/>
    <col min="4882" max="4882" width="15.6640625" style="249" customWidth="1"/>
    <col min="4883" max="4883" width="14.109375" style="249" customWidth="1"/>
    <col min="4884" max="4884" width="15.6640625" style="249" customWidth="1"/>
    <col min="4885" max="4885" width="11.33203125" style="249" bestFit="1" customWidth="1"/>
    <col min="4886" max="4886" width="13.109375" style="249" customWidth="1"/>
    <col min="4887" max="4887" width="12.109375" style="249" customWidth="1"/>
    <col min="4888" max="5120" width="8.88671875" style="249"/>
    <col min="5121" max="5121" width="2.44140625" style="249" customWidth="1"/>
    <col min="5122" max="5122" width="33.33203125" style="249" customWidth="1"/>
    <col min="5123" max="5123" width="46.6640625" style="249" customWidth="1"/>
    <col min="5124" max="5124" width="13.109375" style="249" customWidth="1"/>
    <col min="5125" max="5125" width="17" style="249" customWidth="1"/>
    <col min="5126" max="5126" width="18.33203125" style="249" customWidth="1"/>
    <col min="5127" max="5136" width="14.6640625" style="249" customWidth="1"/>
    <col min="5137" max="5137" width="8.88671875" style="249"/>
    <col min="5138" max="5138" width="15.6640625" style="249" customWidth="1"/>
    <col min="5139" max="5139" width="14.109375" style="249" customWidth="1"/>
    <col min="5140" max="5140" width="15.6640625" style="249" customWidth="1"/>
    <col min="5141" max="5141" width="11.33203125" style="249" bestFit="1" customWidth="1"/>
    <col min="5142" max="5142" width="13.109375" style="249" customWidth="1"/>
    <col min="5143" max="5143" width="12.109375" style="249" customWidth="1"/>
    <col min="5144" max="5376" width="8.88671875" style="249"/>
    <col min="5377" max="5377" width="2.44140625" style="249" customWidth="1"/>
    <col min="5378" max="5378" width="33.33203125" style="249" customWidth="1"/>
    <col min="5379" max="5379" width="46.6640625" style="249" customWidth="1"/>
    <col min="5380" max="5380" width="13.109375" style="249" customWidth="1"/>
    <col min="5381" max="5381" width="17" style="249" customWidth="1"/>
    <col min="5382" max="5382" width="18.33203125" style="249" customWidth="1"/>
    <col min="5383" max="5392" width="14.6640625" style="249" customWidth="1"/>
    <col min="5393" max="5393" width="8.88671875" style="249"/>
    <col min="5394" max="5394" width="15.6640625" style="249" customWidth="1"/>
    <col min="5395" max="5395" width="14.109375" style="249" customWidth="1"/>
    <col min="5396" max="5396" width="15.6640625" style="249" customWidth="1"/>
    <col min="5397" max="5397" width="11.33203125" style="249" bestFit="1" customWidth="1"/>
    <col min="5398" max="5398" width="13.109375" style="249" customWidth="1"/>
    <col min="5399" max="5399" width="12.109375" style="249" customWidth="1"/>
    <col min="5400" max="5632" width="8.88671875" style="249"/>
    <col min="5633" max="5633" width="2.44140625" style="249" customWidth="1"/>
    <col min="5634" max="5634" width="33.33203125" style="249" customWidth="1"/>
    <col min="5635" max="5635" width="46.6640625" style="249" customWidth="1"/>
    <col min="5636" max="5636" width="13.109375" style="249" customWidth="1"/>
    <col min="5637" max="5637" width="17" style="249" customWidth="1"/>
    <col min="5638" max="5638" width="18.33203125" style="249" customWidth="1"/>
    <col min="5639" max="5648" width="14.6640625" style="249" customWidth="1"/>
    <col min="5649" max="5649" width="8.88671875" style="249"/>
    <col min="5650" max="5650" width="15.6640625" style="249" customWidth="1"/>
    <col min="5651" max="5651" width="14.109375" style="249" customWidth="1"/>
    <col min="5652" max="5652" width="15.6640625" style="249" customWidth="1"/>
    <col min="5653" max="5653" width="11.33203125" style="249" bestFit="1" customWidth="1"/>
    <col min="5654" max="5654" width="13.109375" style="249" customWidth="1"/>
    <col min="5655" max="5655" width="12.109375" style="249" customWidth="1"/>
    <col min="5656" max="5888" width="8.88671875" style="249"/>
    <col min="5889" max="5889" width="2.44140625" style="249" customWidth="1"/>
    <col min="5890" max="5890" width="33.33203125" style="249" customWidth="1"/>
    <col min="5891" max="5891" width="46.6640625" style="249" customWidth="1"/>
    <col min="5892" max="5892" width="13.109375" style="249" customWidth="1"/>
    <col min="5893" max="5893" width="17" style="249" customWidth="1"/>
    <col min="5894" max="5894" width="18.33203125" style="249" customWidth="1"/>
    <col min="5895" max="5904" width="14.6640625" style="249" customWidth="1"/>
    <col min="5905" max="5905" width="8.88671875" style="249"/>
    <col min="5906" max="5906" width="15.6640625" style="249" customWidth="1"/>
    <col min="5907" max="5907" width="14.109375" style="249" customWidth="1"/>
    <col min="5908" max="5908" width="15.6640625" style="249" customWidth="1"/>
    <col min="5909" max="5909" width="11.33203125" style="249" bestFit="1" customWidth="1"/>
    <col min="5910" max="5910" width="13.109375" style="249" customWidth="1"/>
    <col min="5911" max="5911" width="12.109375" style="249" customWidth="1"/>
    <col min="5912" max="6144" width="8.88671875" style="249"/>
    <col min="6145" max="6145" width="2.44140625" style="249" customWidth="1"/>
    <col min="6146" max="6146" width="33.33203125" style="249" customWidth="1"/>
    <col min="6147" max="6147" width="46.6640625" style="249" customWidth="1"/>
    <col min="6148" max="6148" width="13.109375" style="249" customWidth="1"/>
    <col min="6149" max="6149" width="17" style="249" customWidth="1"/>
    <col min="6150" max="6150" width="18.33203125" style="249" customWidth="1"/>
    <col min="6151" max="6160" width="14.6640625" style="249" customWidth="1"/>
    <col min="6161" max="6161" width="8.88671875" style="249"/>
    <col min="6162" max="6162" width="15.6640625" style="249" customWidth="1"/>
    <col min="6163" max="6163" width="14.109375" style="249" customWidth="1"/>
    <col min="6164" max="6164" width="15.6640625" style="249" customWidth="1"/>
    <col min="6165" max="6165" width="11.33203125" style="249" bestFit="1" customWidth="1"/>
    <col min="6166" max="6166" width="13.109375" style="249" customWidth="1"/>
    <col min="6167" max="6167" width="12.109375" style="249" customWidth="1"/>
    <col min="6168" max="6400" width="8.88671875" style="249"/>
    <col min="6401" max="6401" width="2.44140625" style="249" customWidth="1"/>
    <col min="6402" max="6402" width="33.33203125" style="249" customWidth="1"/>
    <col min="6403" max="6403" width="46.6640625" style="249" customWidth="1"/>
    <col min="6404" max="6404" width="13.109375" style="249" customWidth="1"/>
    <col min="6405" max="6405" width="17" style="249" customWidth="1"/>
    <col min="6406" max="6406" width="18.33203125" style="249" customWidth="1"/>
    <col min="6407" max="6416" width="14.6640625" style="249" customWidth="1"/>
    <col min="6417" max="6417" width="8.88671875" style="249"/>
    <col min="6418" max="6418" width="15.6640625" style="249" customWidth="1"/>
    <col min="6419" max="6419" width="14.109375" style="249" customWidth="1"/>
    <col min="6420" max="6420" width="15.6640625" style="249" customWidth="1"/>
    <col min="6421" max="6421" width="11.33203125" style="249" bestFit="1" customWidth="1"/>
    <col min="6422" max="6422" width="13.109375" style="249" customWidth="1"/>
    <col min="6423" max="6423" width="12.109375" style="249" customWidth="1"/>
    <col min="6424" max="6656" width="8.88671875" style="249"/>
    <col min="6657" max="6657" width="2.44140625" style="249" customWidth="1"/>
    <col min="6658" max="6658" width="33.33203125" style="249" customWidth="1"/>
    <col min="6659" max="6659" width="46.6640625" style="249" customWidth="1"/>
    <col min="6660" max="6660" width="13.109375" style="249" customWidth="1"/>
    <col min="6661" max="6661" width="17" style="249" customWidth="1"/>
    <col min="6662" max="6662" width="18.33203125" style="249" customWidth="1"/>
    <col min="6663" max="6672" width="14.6640625" style="249" customWidth="1"/>
    <col min="6673" max="6673" width="8.88671875" style="249"/>
    <col min="6674" max="6674" width="15.6640625" style="249" customWidth="1"/>
    <col min="6675" max="6675" width="14.109375" style="249" customWidth="1"/>
    <col min="6676" max="6676" width="15.6640625" style="249" customWidth="1"/>
    <col min="6677" max="6677" width="11.33203125" style="249" bestFit="1" customWidth="1"/>
    <col min="6678" max="6678" width="13.109375" style="249" customWidth="1"/>
    <col min="6679" max="6679" width="12.109375" style="249" customWidth="1"/>
    <col min="6680" max="6912" width="8.88671875" style="249"/>
    <col min="6913" max="6913" width="2.44140625" style="249" customWidth="1"/>
    <col min="6914" max="6914" width="33.33203125" style="249" customWidth="1"/>
    <col min="6915" max="6915" width="46.6640625" style="249" customWidth="1"/>
    <col min="6916" max="6916" width="13.109375" style="249" customWidth="1"/>
    <col min="6917" max="6917" width="17" style="249" customWidth="1"/>
    <col min="6918" max="6918" width="18.33203125" style="249" customWidth="1"/>
    <col min="6919" max="6928" width="14.6640625" style="249" customWidth="1"/>
    <col min="6929" max="6929" width="8.88671875" style="249"/>
    <col min="6930" max="6930" width="15.6640625" style="249" customWidth="1"/>
    <col min="6931" max="6931" width="14.109375" style="249" customWidth="1"/>
    <col min="6932" max="6932" width="15.6640625" style="249" customWidth="1"/>
    <col min="6933" max="6933" width="11.33203125" style="249" bestFit="1" customWidth="1"/>
    <col min="6934" max="6934" width="13.109375" style="249" customWidth="1"/>
    <col min="6935" max="6935" width="12.109375" style="249" customWidth="1"/>
    <col min="6936" max="7168" width="8.88671875" style="249"/>
    <col min="7169" max="7169" width="2.44140625" style="249" customWidth="1"/>
    <col min="7170" max="7170" width="33.33203125" style="249" customWidth="1"/>
    <col min="7171" max="7171" width="46.6640625" style="249" customWidth="1"/>
    <col min="7172" max="7172" width="13.109375" style="249" customWidth="1"/>
    <col min="7173" max="7173" width="17" style="249" customWidth="1"/>
    <col min="7174" max="7174" width="18.33203125" style="249" customWidth="1"/>
    <col min="7175" max="7184" width="14.6640625" style="249" customWidth="1"/>
    <col min="7185" max="7185" width="8.88671875" style="249"/>
    <col min="7186" max="7186" width="15.6640625" style="249" customWidth="1"/>
    <col min="7187" max="7187" width="14.109375" style="249" customWidth="1"/>
    <col min="7188" max="7188" width="15.6640625" style="249" customWidth="1"/>
    <col min="7189" max="7189" width="11.33203125" style="249" bestFit="1" customWidth="1"/>
    <col min="7190" max="7190" width="13.109375" style="249" customWidth="1"/>
    <col min="7191" max="7191" width="12.109375" style="249" customWidth="1"/>
    <col min="7192" max="7424" width="8.88671875" style="249"/>
    <col min="7425" max="7425" width="2.44140625" style="249" customWidth="1"/>
    <col min="7426" max="7426" width="33.33203125" style="249" customWidth="1"/>
    <col min="7427" max="7427" width="46.6640625" style="249" customWidth="1"/>
    <col min="7428" max="7428" width="13.109375" style="249" customWidth="1"/>
    <col min="7429" max="7429" width="17" style="249" customWidth="1"/>
    <col min="7430" max="7430" width="18.33203125" style="249" customWidth="1"/>
    <col min="7431" max="7440" width="14.6640625" style="249" customWidth="1"/>
    <col min="7441" max="7441" width="8.88671875" style="249"/>
    <col min="7442" max="7442" width="15.6640625" style="249" customWidth="1"/>
    <col min="7443" max="7443" width="14.109375" style="249" customWidth="1"/>
    <col min="7444" max="7444" width="15.6640625" style="249" customWidth="1"/>
    <col min="7445" max="7445" width="11.33203125" style="249" bestFit="1" customWidth="1"/>
    <col min="7446" max="7446" width="13.109375" style="249" customWidth="1"/>
    <col min="7447" max="7447" width="12.109375" style="249" customWidth="1"/>
    <col min="7448" max="7680" width="8.88671875" style="249"/>
    <col min="7681" max="7681" width="2.44140625" style="249" customWidth="1"/>
    <col min="7682" max="7682" width="33.33203125" style="249" customWidth="1"/>
    <col min="7683" max="7683" width="46.6640625" style="249" customWidth="1"/>
    <col min="7684" max="7684" width="13.109375" style="249" customWidth="1"/>
    <col min="7685" max="7685" width="17" style="249" customWidth="1"/>
    <col min="7686" max="7686" width="18.33203125" style="249" customWidth="1"/>
    <col min="7687" max="7696" width="14.6640625" style="249" customWidth="1"/>
    <col min="7697" max="7697" width="8.88671875" style="249"/>
    <col min="7698" max="7698" width="15.6640625" style="249" customWidth="1"/>
    <col min="7699" max="7699" width="14.109375" style="249" customWidth="1"/>
    <col min="7700" max="7700" width="15.6640625" style="249" customWidth="1"/>
    <col min="7701" max="7701" width="11.33203125" style="249" bestFit="1" customWidth="1"/>
    <col min="7702" max="7702" width="13.109375" style="249" customWidth="1"/>
    <col min="7703" max="7703" width="12.109375" style="249" customWidth="1"/>
    <col min="7704" max="7936" width="8.88671875" style="249"/>
    <col min="7937" max="7937" width="2.44140625" style="249" customWidth="1"/>
    <col min="7938" max="7938" width="33.33203125" style="249" customWidth="1"/>
    <col min="7939" max="7939" width="46.6640625" style="249" customWidth="1"/>
    <col min="7940" max="7940" width="13.109375" style="249" customWidth="1"/>
    <col min="7941" max="7941" width="17" style="249" customWidth="1"/>
    <col min="7942" max="7942" width="18.33203125" style="249" customWidth="1"/>
    <col min="7943" max="7952" width="14.6640625" style="249" customWidth="1"/>
    <col min="7953" max="7953" width="8.88671875" style="249"/>
    <col min="7954" max="7954" width="15.6640625" style="249" customWidth="1"/>
    <col min="7955" max="7955" width="14.109375" style="249" customWidth="1"/>
    <col min="7956" max="7956" width="15.6640625" style="249" customWidth="1"/>
    <col min="7957" max="7957" width="11.33203125" style="249" bestFit="1" customWidth="1"/>
    <col min="7958" max="7958" width="13.109375" style="249" customWidth="1"/>
    <col min="7959" max="7959" width="12.109375" style="249" customWidth="1"/>
    <col min="7960" max="8192" width="8.88671875" style="249"/>
    <col min="8193" max="8193" width="2.44140625" style="249" customWidth="1"/>
    <col min="8194" max="8194" width="33.33203125" style="249" customWidth="1"/>
    <col min="8195" max="8195" width="46.6640625" style="249" customWidth="1"/>
    <col min="8196" max="8196" width="13.109375" style="249" customWidth="1"/>
    <col min="8197" max="8197" width="17" style="249" customWidth="1"/>
    <col min="8198" max="8198" width="18.33203125" style="249" customWidth="1"/>
    <col min="8199" max="8208" width="14.6640625" style="249" customWidth="1"/>
    <col min="8209" max="8209" width="8.88671875" style="249"/>
    <col min="8210" max="8210" width="15.6640625" style="249" customWidth="1"/>
    <col min="8211" max="8211" width="14.109375" style="249" customWidth="1"/>
    <col min="8212" max="8212" width="15.6640625" style="249" customWidth="1"/>
    <col min="8213" max="8213" width="11.33203125" style="249" bestFit="1" customWidth="1"/>
    <col min="8214" max="8214" width="13.109375" style="249" customWidth="1"/>
    <col min="8215" max="8215" width="12.109375" style="249" customWidth="1"/>
    <col min="8216" max="8448" width="8.88671875" style="249"/>
    <col min="8449" max="8449" width="2.44140625" style="249" customWidth="1"/>
    <col min="8450" max="8450" width="33.33203125" style="249" customWidth="1"/>
    <col min="8451" max="8451" width="46.6640625" style="249" customWidth="1"/>
    <col min="8452" max="8452" width="13.109375" style="249" customWidth="1"/>
    <col min="8453" max="8453" width="17" style="249" customWidth="1"/>
    <col min="8454" max="8454" width="18.33203125" style="249" customWidth="1"/>
    <col min="8455" max="8464" width="14.6640625" style="249" customWidth="1"/>
    <col min="8465" max="8465" width="8.88671875" style="249"/>
    <col min="8466" max="8466" width="15.6640625" style="249" customWidth="1"/>
    <col min="8467" max="8467" width="14.109375" style="249" customWidth="1"/>
    <col min="8468" max="8468" width="15.6640625" style="249" customWidth="1"/>
    <col min="8469" max="8469" width="11.33203125" style="249" bestFit="1" customWidth="1"/>
    <col min="8470" max="8470" width="13.109375" style="249" customWidth="1"/>
    <col min="8471" max="8471" width="12.109375" style="249" customWidth="1"/>
    <col min="8472" max="8704" width="8.88671875" style="249"/>
    <col min="8705" max="8705" width="2.44140625" style="249" customWidth="1"/>
    <col min="8706" max="8706" width="33.33203125" style="249" customWidth="1"/>
    <col min="8707" max="8707" width="46.6640625" style="249" customWidth="1"/>
    <col min="8708" max="8708" width="13.109375" style="249" customWidth="1"/>
    <col min="8709" max="8709" width="17" style="249" customWidth="1"/>
    <col min="8710" max="8710" width="18.33203125" style="249" customWidth="1"/>
    <col min="8711" max="8720" width="14.6640625" style="249" customWidth="1"/>
    <col min="8721" max="8721" width="8.88671875" style="249"/>
    <col min="8722" max="8722" width="15.6640625" style="249" customWidth="1"/>
    <col min="8723" max="8723" width="14.109375" style="249" customWidth="1"/>
    <col min="8724" max="8724" width="15.6640625" style="249" customWidth="1"/>
    <col min="8725" max="8725" width="11.33203125" style="249" bestFit="1" customWidth="1"/>
    <col min="8726" max="8726" width="13.109375" style="249" customWidth="1"/>
    <col min="8727" max="8727" width="12.109375" style="249" customWidth="1"/>
    <col min="8728" max="8960" width="8.88671875" style="249"/>
    <col min="8961" max="8961" width="2.44140625" style="249" customWidth="1"/>
    <col min="8962" max="8962" width="33.33203125" style="249" customWidth="1"/>
    <col min="8963" max="8963" width="46.6640625" style="249" customWidth="1"/>
    <col min="8964" max="8964" width="13.109375" style="249" customWidth="1"/>
    <col min="8965" max="8965" width="17" style="249" customWidth="1"/>
    <col min="8966" max="8966" width="18.33203125" style="249" customWidth="1"/>
    <col min="8967" max="8976" width="14.6640625" style="249" customWidth="1"/>
    <col min="8977" max="8977" width="8.88671875" style="249"/>
    <col min="8978" max="8978" width="15.6640625" style="249" customWidth="1"/>
    <col min="8979" max="8979" width="14.109375" style="249" customWidth="1"/>
    <col min="8980" max="8980" width="15.6640625" style="249" customWidth="1"/>
    <col min="8981" max="8981" width="11.33203125" style="249" bestFit="1" customWidth="1"/>
    <col min="8982" max="8982" width="13.109375" style="249" customWidth="1"/>
    <col min="8983" max="8983" width="12.109375" style="249" customWidth="1"/>
    <col min="8984" max="9216" width="8.88671875" style="249"/>
    <col min="9217" max="9217" width="2.44140625" style="249" customWidth="1"/>
    <col min="9218" max="9218" width="33.33203125" style="249" customWidth="1"/>
    <col min="9219" max="9219" width="46.6640625" style="249" customWidth="1"/>
    <col min="9220" max="9220" width="13.109375" style="249" customWidth="1"/>
    <col min="9221" max="9221" width="17" style="249" customWidth="1"/>
    <col min="9222" max="9222" width="18.33203125" style="249" customWidth="1"/>
    <col min="9223" max="9232" width="14.6640625" style="249" customWidth="1"/>
    <col min="9233" max="9233" width="8.88671875" style="249"/>
    <col min="9234" max="9234" width="15.6640625" style="249" customWidth="1"/>
    <col min="9235" max="9235" width="14.109375" style="249" customWidth="1"/>
    <col min="9236" max="9236" width="15.6640625" style="249" customWidth="1"/>
    <col min="9237" max="9237" width="11.33203125" style="249" bestFit="1" customWidth="1"/>
    <col min="9238" max="9238" width="13.109375" style="249" customWidth="1"/>
    <col min="9239" max="9239" width="12.109375" style="249" customWidth="1"/>
    <col min="9240" max="9472" width="8.88671875" style="249"/>
    <col min="9473" max="9473" width="2.44140625" style="249" customWidth="1"/>
    <col min="9474" max="9474" width="33.33203125" style="249" customWidth="1"/>
    <col min="9475" max="9475" width="46.6640625" style="249" customWidth="1"/>
    <col min="9476" max="9476" width="13.109375" style="249" customWidth="1"/>
    <col min="9477" max="9477" width="17" style="249" customWidth="1"/>
    <col min="9478" max="9478" width="18.33203125" style="249" customWidth="1"/>
    <col min="9479" max="9488" width="14.6640625" style="249" customWidth="1"/>
    <col min="9489" max="9489" width="8.88671875" style="249"/>
    <col min="9490" max="9490" width="15.6640625" style="249" customWidth="1"/>
    <col min="9491" max="9491" width="14.109375" style="249" customWidth="1"/>
    <col min="9492" max="9492" width="15.6640625" style="249" customWidth="1"/>
    <col min="9493" max="9493" width="11.33203125" style="249" bestFit="1" customWidth="1"/>
    <col min="9494" max="9494" width="13.109375" style="249" customWidth="1"/>
    <col min="9495" max="9495" width="12.109375" style="249" customWidth="1"/>
    <col min="9496" max="9728" width="8.88671875" style="249"/>
    <col min="9729" max="9729" width="2.44140625" style="249" customWidth="1"/>
    <col min="9730" max="9730" width="33.33203125" style="249" customWidth="1"/>
    <col min="9731" max="9731" width="46.6640625" style="249" customWidth="1"/>
    <col min="9732" max="9732" width="13.109375" style="249" customWidth="1"/>
    <col min="9733" max="9733" width="17" style="249" customWidth="1"/>
    <col min="9734" max="9734" width="18.33203125" style="249" customWidth="1"/>
    <col min="9735" max="9744" width="14.6640625" style="249" customWidth="1"/>
    <col min="9745" max="9745" width="8.88671875" style="249"/>
    <col min="9746" max="9746" width="15.6640625" style="249" customWidth="1"/>
    <col min="9747" max="9747" width="14.109375" style="249" customWidth="1"/>
    <col min="9748" max="9748" width="15.6640625" style="249" customWidth="1"/>
    <col min="9749" max="9749" width="11.33203125" style="249" bestFit="1" customWidth="1"/>
    <col min="9750" max="9750" width="13.109375" style="249" customWidth="1"/>
    <col min="9751" max="9751" width="12.109375" style="249" customWidth="1"/>
    <col min="9752" max="9984" width="8.88671875" style="249"/>
    <col min="9985" max="9985" width="2.44140625" style="249" customWidth="1"/>
    <col min="9986" max="9986" width="33.33203125" style="249" customWidth="1"/>
    <col min="9987" max="9987" width="46.6640625" style="249" customWidth="1"/>
    <col min="9988" max="9988" width="13.109375" style="249" customWidth="1"/>
    <col min="9989" max="9989" width="17" style="249" customWidth="1"/>
    <col min="9990" max="9990" width="18.33203125" style="249" customWidth="1"/>
    <col min="9991" max="10000" width="14.6640625" style="249" customWidth="1"/>
    <col min="10001" max="10001" width="8.88671875" style="249"/>
    <col min="10002" max="10002" width="15.6640625" style="249" customWidth="1"/>
    <col min="10003" max="10003" width="14.109375" style="249" customWidth="1"/>
    <col min="10004" max="10004" width="15.6640625" style="249" customWidth="1"/>
    <col min="10005" max="10005" width="11.33203125" style="249" bestFit="1" customWidth="1"/>
    <col min="10006" max="10006" width="13.109375" style="249" customWidth="1"/>
    <col min="10007" max="10007" width="12.109375" style="249" customWidth="1"/>
    <col min="10008" max="10240" width="8.88671875" style="249"/>
    <col min="10241" max="10241" width="2.44140625" style="249" customWidth="1"/>
    <col min="10242" max="10242" width="33.33203125" style="249" customWidth="1"/>
    <col min="10243" max="10243" width="46.6640625" style="249" customWidth="1"/>
    <col min="10244" max="10244" width="13.109375" style="249" customWidth="1"/>
    <col min="10245" max="10245" width="17" style="249" customWidth="1"/>
    <col min="10246" max="10246" width="18.33203125" style="249" customWidth="1"/>
    <col min="10247" max="10256" width="14.6640625" style="249" customWidth="1"/>
    <col min="10257" max="10257" width="8.88671875" style="249"/>
    <col min="10258" max="10258" width="15.6640625" style="249" customWidth="1"/>
    <col min="10259" max="10259" width="14.109375" style="249" customWidth="1"/>
    <col min="10260" max="10260" width="15.6640625" style="249" customWidth="1"/>
    <col min="10261" max="10261" width="11.33203125" style="249" bestFit="1" customWidth="1"/>
    <col min="10262" max="10262" width="13.109375" style="249" customWidth="1"/>
    <col min="10263" max="10263" width="12.109375" style="249" customWidth="1"/>
    <col min="10264" max="10496" width="8.88671875" style="249"/>
    <col min="10497" max="10497" width="2.44140625" style="249" customWidth="1"/>
    <col min="10498" max="10498" width="33.33203125" style="249" customWidth="1"/>
    <col min="10499" max="10499" width="46.6640625" style="249" customWidth="1"/>
    <col min="10500" max="10500" width="13.109375" style="249" customWidth="1"/>
    <col min="10501" max="10501" width="17" style="249" customWidth="1"/>
    <col min="10502" max="10502" width="18.33203125" style="249" customWidth="1"/>
    <col min="10503" max="10512" width="14.6640625" style="249" customWidth="1"/>
    <col min="10513" max="10513" width="8.88671875" style="249"/>
    <col min="10514" max="10514" width="15.6640625" style="249" customWidth="1"/>
    <col min="10515" max="10515" width="14.109375" style="249" customWidth="1"/>
    <col min="10516" max="10516" width="15.6640625" style="249" customWidth="1"/>
    <col min="10517" max="10517" width="11.33203125" style="249" bestFit="1" customWidth="1"/>
    <col min="10518" max="10518" width="13.109375" style="249" customWidth="1"/>
    <col min="10519" max="10519" width="12.109375" style="249" customWidth="1"/>
    <col min="10520" max="10752" width="8.88671875" style="249"/>
    <col min="10753" max="10753" width="2.44140625" style="249" customWidth="1"/>
    <col min="10754" max="10754" width="33.33203125" style="249" customWidth="1"/>
    <col min="10755" max="10755" width="46.6640625" style="249" customWidth="1"/>
    <col min="10756" max="10756" width="13.109375" style="249" customWidth="1"/>
    <col min="10757" max="10757" width="17" style="249" customWidth="1"/>
    <col min="10758" max="10758" width="18.33203125" style="249" customWidth="1"/>
    <col min="10759" max="10768" width="14.6640625" style="249" customWidth="1"/>
    <col min="10769" max="10769" width="8.88671875" style="249"/>
    <col min="10770" max="10770" width="15.6640625" style="249" customWidth="1"/>
    <col min="10771" max="10771" width="14.109375" style="249" customWidth="1"/>
    <col min="10772" max="10772" width="15.6640625" style="249" customWidth="1"/>
    <col min="10773" max="10773" width="11.33203125" style="249" bestFit="1" customWidth="1"/>
    <col min="10774" max="10774" width="13.109375" style="249" customWidth="1"/>
    <col min="10775" max="10775" width="12.109375" style="249" customWidth="1"/>
    <col min="10776" max="11008" width="8.88671875" style="249"/>
    <col min="11009" max="11009" width="2.44140625" style="249" customWidth="1"/>
    <col min="11010" max="11010" width="33.33203125" style="249" customWidth="1"/>
    <col min="11011" max="11011" width="46.6640625" style="249" customWidth="1"/>
    <col min="11012" max="11012" width="13.109375" style="249" customWidth="1"/>
    <col min="11013" max="11013" width="17" style="249" customWidth="1"/>
    <col min="11014" max="11014" width="18.33203125" style="249" customWidth="1"/>
    <col min="11015" max="11024" width="14.6640625" style="249" customWidth="1"/>
    <col min="11025" max="11025" width="8.88671875" style="249"/>
    <col min="11026" max="11026" width="15.6640625" style="249" customWidth="1"/>
    <col min="11027" max="11027" width="14.109375" style="249" customWidth="1"/>
    <col min="11028" max="11028" width="15.6640625" style="249" customWidth="1"/>
    <col min="11029" max="11029" width="11.33203125" style="249" bestFit="1" customWidth="1"/>
    <col min="11030" max="11030" width="13.109375" style="249" customWidth="1"/>
    <col min="11031" max="11031" width="12.109375" style="249" customWidth="1"/>
    <col min="11032" max="11264" width="8.88671875" style="249"/>
    <col min="11265" max="11265" width="2.44140625" style="249" customWidth="1"/>
    <col min="11266" max="11266" width="33.33203125" style="249" customWidth="1"/>
    <col min="11267" max="11267" width="46.6640625" style="249" customWidth="1"/>
    <col min="11268" max="11268" width="13.109375" style="249" customWidth="1"/>
    <col min="11269" max="11269" width="17" style="249" customWidth="1"/>
    <col min="11270" max="11270" width="18.33203125" style="249" customWidth="1"/>
    <col min="11271" max="11280" width="14.6640625" style="249" customWidth="1"/>
    <col min="11281" max="11281" width="8.88671875" style="249"/>
    <col min="11282" max="11282" width="15.6640625" style="249" customWidth="1"/>
    <col min="11283" max="11283" width="14.109375" style="249" customWidth="1"/>
    <col min="11284" max="11284" width="15.6640625" style="249" customWidth="1"/>
    <col min="11285" max="11285" width="11.33203125" style="249" bestFit="1" customWidth="1"/>
    <col min="11286" max="11286" width="13.109375" style="249" customWidth="1"/>
    <col min="11287" max="11287" width="12.109375" style="249" customWidth="1"/>
    <col min="11288" max="11520" width="8.88671875" style="249"/>
    <col min="11521" max="11521" width="2.44140625" style="249" customWidth="1"/>
    <col min="11522" max="11522" width="33.33203125" style="249" customWidth="1"/>
    <col min="11523" max="11523" width="46.6640625" style="249" customWidth="1"/>
    <col min="11524" max="11524" width="13.109375" style="249" customWidth="1"/>
    <col min="11525" max="11525" width="17" style="249" customWidth="1"/>
    <col min="11526" max="11526" width="18.33203125" style="249" customWidth="1"/>
    <col min="11527" max="11536" width="14.6640625" style="249" customWidth="1"/>
    <col min="11537" max="11537" width="8.88671875" style="249"/>
    <col min="11538" max="11538" width="15.6640625" style="249" customWidth="1"/>
    <col min="11539" max="11539" width="14.109375" style="249" customWidth="1"/>
    <col min="11540" max="11540" width="15.6640625" style="249" customWidth="1"/>
    <col min="11541" max="11541" width="11.33203125" style="249" bestFit="1" customWidth="1"/>
    <col min="11542" max="11542" width="13.109375" style="249" customWidth="1"/>
    <col min="11543" max="11543" width="12.109375" style="249" customWidth="1"/>
    <col min="11544" max="11776" width="8.88671875" style="249"/>
    <col min="11777" max="11777" width="2.44140625" style="249" customWidth="1"/>
    <col min="11778" max="11778" width="33.33203125" style="249" customWidth="1"/>
    <col min="11779" max="11779" width="46.6640625" style="249" customWidth="1"/>
    <col min="11780" max="11780" width="13.109375" style="249" customWidth="1"/>
    <col min="11781" max="11781" width="17" style="249" customWidth="1"/>
    <col min="11782" max="11782" width="18.33203125" style="249" customWidth="1"/>
    <col min="11783" max="11792" width="14.6640625" style="249" customWidth="1"/>
    <col min="11793" max="11793" width="8.88671875" style="249"/>
    <col min="11794" max="11794" width="15.6640625" style="249" customWidth="1"/>
    <col min="11795" max="11795" width="14.109375" style="249" customWidth="1"/>
    <col min="11796" max="11796" width="15.6640625" style="249" customWidth="1"/>
    <col min="11797" max="11797" width="11.33203125" style="249" bestFit="1" customWidth="1"/>
    <col min="11798" max="11798" width="13.109375" style="249" customWidth="1"/>
    <col min="11799" max="11799" width="12.109375" style="249" customWidth="1"/>
    <col min="11800" max="12032" width="8.88671875" style="249"/>
    <col min="12033" max="12033" width="2.44140625" style="249" customWidth="1"/>
    <col min="12034" max="12034" width="33.33203125" style="249" customWidth="1"/>
    <col min="12035" max="12035" width="46.6640625" style="249" customWidth="1"/>
    <col min="12036" max="12036" width="13.109375" style="249" customWidth="1"/>
    <col min="12037" max="12037" width="17" style="249" customWidth="1"/>
    <col min="12038" max="12038" width="18.33203125" style="249" customWidth="1"/>
    <col min="12039" max="12048" width="14.6640625" style="249" customWidth="1"/>
    <col min="12049" max="12049" width="8.88671875" style="249"/>
    <col min="12050" max="12050" width="15.6640625" style="249" customWidth="1"/>
    <col min="12051" max="12051" width="14.109375" style="249" customWidth="1"/>
    <col min="12052" max="12052" width="15.6640625" style="249" customWidth="1"/>
    <col min="12053" max="12053" width="11.33203125" style="249" bestFit="1" customWidth="1"/>
    <col min="12054" max="12054" width="13.109375" style="249" customWidth="1"/>
    <col min="12055" max="12055" width="12.109375" style="249" customWidth="1"/>
    <col min="12056" max="12288" width="8.88671875" style="249"/>
    <col min="12289" max="12289" width="2.44140625" style="249" customWidth="1"/>
    <col min="12290" max="12290" width="33.33203125" style="249" customWidth="1"/>
    <col min="12291" max="12291" width="46.6640625" style="249" customWidth="1"/>
    <col min="12292" max="12292" width="13.109375" style="249" customWidth="1"/>
    <col min="12293" max="12293" width="17" style="249" customWidth="1"/>
    <col min="12294" max="12294" width="18.33203125" style="249" customWidth="1"/>
    <col min="12295" max="12304" width="14.6640625" style="249" customWidth="1"/>
    <col min="12305" max="12305" width="8.88671875" style="249"/>
    <col min="12306" max="12306" width="15.6640625" style="249" customWidth="1"/>
    <col min="12307" max="12307" width="14.109375" style="249" customWidth="1"/>
    <col min="12308" max="12308" width="15.6640625" style="249" customWidth="1"/>
    <col min="12309" max="12309" width="11.33203125" style="249" bestFit="1" customWidth="1"/>
    <col min="12310" max="12310" width="13.109375" style="249" customWidth="1"/>
    <col min="12311" max="12311" width="12.109375" style="249" customWidth="1"/>
    <col min="12312" max="12544" width="8.88671875" style="249"/>
    <col min="12545" max="12545" width="2.44140625" style="249" customWidth="1"/>
    <col min="12546" max="12546" width="33.33203125" style="249" customWidth="1"/>
    <col min="12547" max="12547" width="46.6640625" style="249" customWidth="1"/>
    <col min="12548" max="12548" width="13.109375" style="249" customWidth="1"/>
    <col min="12549" max="12549" width="17" style="249" customWidth="1"/>
    <col min="12550" max="12550" width="18.33203125" style="249" customWidth="1"/>
    <col min="12551" max="12560" width="14.6640625" style="249" customWidth="1"/>
    <col min="12561" max="12561" width="8.88671875" style="249"/>
    <col min="12562" max="12562" width="15.6640625" style="249" customWidth="1"/>
    <col min="12563" max="12563" width="14.109375" style="249" customWidth="1"/>
    <col min="12564" max="12564" width="15.6640625" style="249" customWidth="1"/>
    <col min="12565" max="12565" width="11.33203125" style="249" bestFit="1" customWidth="1"/>
    <col min="12566" max="12566" width="13.109375" style="249" customWidth="1"/>
    <col min="12567" max="12567" width="12.109375" style="249" customWidth="1"/>
    <col min="12568" max="12800" width="8.88671875" style="249"/>
    <col min="12801" max="12801" width="2.44140625" style="249" customWidth="1"/>
    <col min="12802" max="12802" width="33.33203125" style="249" customWidth="1"/>
    <col min="12803" max="12803" width="46.6640625" style="249" customWidth="1"/>
    <col min="12804" max="12804" width="13.109375" style="249" customWidth="1"/>
    <col min="12805" max="12805" width="17" style="249" customWidth="1"/>
    <col min="12806" max="12806" width="18.33203125" style="249" customWidth="1"/>
    <col min="12807" max="12816" width="14.6640625" style="249" customWidth="1"/>
    <col min="12817" max="12817" width="8.88671875" style="249"/>
    <col min="12818" max="12818" width="15.6640625" style="249" customWidth="1"/>
    <col min="12819" max="12819" width="14.109375" style="249" customWidth="1"/>
    <col min="12820" max="12820" width="15.6640625" style="249" customWidth="1"/>
    <col min="12821" max="12821" width="11.33203125" style="249" bestFit="1" customWidth="1"/>
    <col min="12822" max="12822" width="13.109375" style="249" customWidth="1"/>
    <col min="12823" max="12823" width="12.109375" style="249" customWidth="1"/>
    <col min="12824" max="13056" width="8.88671875" style="249"/>
    <col min="13057" max="13057" width="2.44140625" style="249" customWidth="1"/>
    <col min="13058" max="13058" width="33.33203125" style="249" customWidth="1"/>
    <col min="13059" max="13059" width="46.6640625" style="249" customWidth="1"/>
    <col min="13060" max="13060" width="13.109375" style="249" customWidth="1"/>
    <col min="13061" max="13061" width="17" style="249" customWidth="1"/>
    <col min="13062" max="13062" width="18.33203125" style="249" customWidth="1"/>
    <col min="13063" max="13072" width="14.6640625" style="249" customWidth="1"/>
    <col min="13073" max="13073" width="8.88671875" style="249"/>
    <col min="13074" max="13074" width="15.6640625" style="249" customWidth="1"/>
    <col min="13075" max="13075" width="14.109375" style="249" customWidth="1"/>
    <col min="13076" max="13076" width="15.6640625" style="249" customWidth="1"/>
    <col min="13077" max="13077" width="11.33203125" style="249" bestFit="1" customWidth="1"/>
    <col min="13078" max="13078" width="13.109375" style="249" customWidth="1"/>
    <col min="13079" max="13079" width="12.109375" style="249" customWidth="1"/>
    <col min="13080" max="13312" width="8.88671875" style="249"/>
    <col min="13313" max="13313" width="2.44140625" style="249" customWidth="1"/>
    <col min="13314" max="13314" width="33.33203125" style="249" customWidth="1"/>
    <col min="13315" max="13315" width="46.6640625" style="249" customWidth="1"/>
    <col min="13316" max="13316" width="13.109375" style="249" customWidth="1"/>
    <col min="13317" max="13317" width="17" style="249" customWidth="1"/>
    <col min="13318" max="13318" width="18.33203125" style="249" customWidth="1"/>
    <col min="13319" max="13328" width="14.6640625" style="249" customWidth="1"/>
    <col min="13329" max="13329" width="8.88671875" style="249"/>
    <col min="13330" max="13330" width="15.6640625" style="249" customWidth="1"/>
    <col min="13331" max="13331" width="14.109375" style="249" customWidth="1"/>
    <col min="13332" max="13332" width="15.6640625" style="249" customWidth="1"/>
    <col min="13333" max="13333" width="11.33203125" style="249" bestFit="1" customWidth="1"/>
    <col min="13334" max="13334" width="13.109375" style="249" customWidth="1"/>
    <col min="13335" max="13335" width="12.109375" style="249" customWidth="1"/>
    <col min="13336" max="13568" width="8.88671875" style="249"/>
    <col min="13569" max="13569" width="2.44140625" style="249" customWidth="1"/>
    <col min="13570" max="13570" width="33.33203125" style="249" customWidth="1"/>
    <col min="13571" max="13571" width="46.6640625" style="249" customWidth="1"/>
    <col min="13572" max="13572" width="13.109375" style="249" customWidth="1"/>
    <col min="13573" max="13573" width="17" style="249" customWidth="1"/>
    <col min="13574" max="13574" width="18.33203125" style="249" customWidth="1"/>
    <col min="13575" max="13584" width="14.6640625" style="249" customWidth="1"/>
    <col min="13585" max="13585" width="8.88671875" style="249"/>
    <col min="13586" max="13586" width="15.6640625" style="249" customWidth="1"/>
    <col min="13587" max="13587" width="14.109375" style="249" customWidth="1"/>
    <col min="13588" max="13588" width="15.6640625" style="249" customWidth="1"/>
    <col min="13589" max="13589" width="11.33203125" style="249" bestFit="1" customWidth="1"/>
    <col min="13590" max="13590" width="13.109375" style="249" customWidth="1"/>
    <col min="13591" max="13591" width="12.109375" style="249" customWidth="1"/>
    <col min="13592" max="13824" width="8.88671875" style="249"/>
    <col min="13825" max="13825" width="2.44140625" style="249" customWidth="1"/>
    <col min="13826" max="13826" width="33.33203125" style="249" customWidth="1"/>
    <col min="13827" max="13827" width="46.6640625" style="249" customWidth="1"/>
    <col min="13828" max="13828" width="13.109375" style="249" customWidth="1"/>
    <col min="13829" max="13829" width="17" style="249" customWidth="1"/>
    <col min="13830" max="13830" width="18.33203125" style="249" customWidth="1"/>
    <col min="13831" max="13840" width="14.6640625" style="249" customWidth="1"/>
    <col min="13841" max="13841" width="8.88671875" style="249"/>
    <col min="13842" max="13842" width="15.6640625" style="249" customWidth="1"/>
    <col min="13843" max="13843" width="14.109375" style="249" customWidth="1"/>
    <col min="13844" max="13844" width="15.6640625" style="249" customWidth="1"/>
    <col min="13845" max="13845" width="11.33203125" style="249" bestFit="1" customWidth="1"/>
    <col min="13846" max="13846" width="13.109375" style="249" customWidth="1"/>
    <col min="13847" max="13847" width="12.109375" style="249" customWidth="1"/>
    <col min="13848" max="14080" width="8.88671875" style="249"/>
    <col min="14081" max="14081" width="2.44140625" style="249" customWidth="1"/>
    <col min="14082" max="14082" width="33.33203125" style="249" customWidth="1"/>
    <col min="14083" max="14083" width="46.6640625" style="249" customWidth="1"/>
    <col min="14084" max="14084" width="13.109375" style="249" customWidth="1"/>
    <col min="14085" max="14085" width="17" style="249" customWidth="1"/>
    <col min="14086" max="14086" width="18.33203125" style="249" customWidth="1"/>
    <col min="14087" max="14096" width="14.6640625" style="249" customWidth="1"/>
    <col min="14097" max="14097" width="8.88671875" style="249"/>
    <col min="14098" max="14098" width="15.6640625" style="249" customWidth="1"/>
    <col min="14099" max="14099" width="14.109375" style="249" customWidth="1"/>
    <col min="14100" max="14100" width="15.6640625" style="249" customWidth="1"/>
    <col min="14101" max="14101" width="11.33203125" style="249" bestFit="1" customWidth="1"/>
    <col min="14102" max="14102" width="13.109375" style="249" customWidth="1"/>
    <col min="14103" max="14103" width="12.109375" style="249" customWidth="1"/>
    <col min="14104" max="14336" width="8.88671875" style="249"/>
    <col min="14337" max="14337" width="2.44140625" style="249" customWidth="1"/>
    <col min="14338" max="14338" width="33.33203125" style="249" customWidth="1"/>
    <col min="14339" max="14339" width="46.6640625" style="249" customWidth="1"/>
    <col min="14340" max="14340" width="13.109375" style="249" customWidth="1"/>
    <col min="14341" max="14341" width="17" style="249" customWidth="1"/>
    <col min="14342" max="14342" width="18.33203125" style="249" customWidth="1"/>
    <col min="14343" max="14352" width="14.6640625" style="249" customWidth="1"/>
    <col min="14353" max="14353" width="8.88671875" style="249"/>
    <col min="14354" max="14354" width="15.6640625" style="249" customWidth="1"/>
    <col min="14355" max="14355" width="14.109375" style="249" customWidth="1"/>
    <col min="14356" max="14356" width="15.6640625" style="249" customWidth="1"/>
    <col min="14357" max="14357" width="11.33203125" style="249" bestFit="1" customWidth="1"/>
    <col min="14358" max="14358" width="13.109375" style="249" customWidth="1"/>
    <col min="14359" max="14359" width="12.109375" style="249" customWidth="1"/>
    <col min="14360" max="14592" width="8.88671875" style="249"/>
    <col min="14593" max="14593" width="2.44140625" style="249" customWidth="1"/>
    <col min="14594" max="14594" width="33.33203125" style="249" customWidth="1"/>
    <col min="14595" max="14595" width="46.6640625" style="249" customWidth="1"/>
    <col min="14596" max="14596" width="13.109375" style="249" customWidth="1"/>
    <col min="14597" max="14597" width="17" style="249" customWidth="1"/>
    <col min="14598" max="14598" width="18.33203125" style="249" customWidth="1"/>
    <col min="14599" max="14608" width="14.6640625" style="249" customWidth="1"/>
    <col min="14609" max="14609" width="8.88671875" style="249"/>
    <col min="14610" max="14610" width="15.6640625" style="249" customWidth="1"/>
    <col min="14611" max="14611" width="14.109375" style="249" customWidth="1"/>
    <col min="14612" max="14612" width="15.6640625" style="249" customWidth="1"/>
    <col min="14613" max="14613" width="11.33203125" style="249" bestFit="1" customWidth="1"/>
    <col min="14614" max="14614" width="13.109375" style="249" customWidth="1"/>
    <col min="14615" max="14615" width="12.109375" style="249" customWidth="1"/>
    <col min="14616" max="14848" width="8.88671875" style="249"/>
    <col min="14849" max="14849" width="2.44140625" style="249" customWidth="1"/>
    <col min="14850" max="14850" width="33.33203125" style="249" customWidth="1"/>
    <col min="14851" max="14851" width="46.6640625" style="249" customWidth="1"/>
    <col min="14852" max="14852" width="13.109375" style="249" customWidth="1"/>
    <col min="14853" max="14853" width="17" style="249" customWidth="1"/>
    <col min="14854" max="14854" width="18.33203125" style="249" customWidth="1"/>
    <col min="14855" max="14864" width="14.6640625" style="249" customWidth="1"/>
    <col min="14865" max="14865" width="8.88671875" style="249"/>
    <col min="14866" max="14866" width="15.6640625" style="249" customWidth="1"/>
    <col min="14867" max="14867" width="14.109375" style="249" customWidth="1"/>
    <col min="14868" max="14868" width="15.6640625" style="249" customWidth="1"/>
    <col min="14869" max="14869" width="11.33203125" style="249" bestFit="1" customWidth="1"/>
    <col min="14870" max="14870" width="13.109375" style="249" customWidth="1"/>
    <col min="14871" max="14871" width="12.109375" style="249" customWidth="1"/>
    <col min="14872" max="15104" width="8.88671875" style="249"/>
    <col min="15105" max="15105" width="2.44140625" style="249" customWidth="1"/>
    <col min="15106" max="15106" width="33.33203125" style="249" customWidth="1"/>
    <col min="15107" max="15107" width="46.6640625" style="249" customWidth="1"/>
    <col min="15108" max="15108" width="13.109375" style="249" customWidth="1"/>
    <col min="15109" max="15109" width="17" style="249" customWidth="1"/>
    <col min="15110" max="15110" width="18.33203125" style="249" customWidth="1"/>
    <col min="15111" max="15120" width="14.6640625" style="249" customWidth="1"/>
    <col min="15121" max="15121" width="8.88671875" style="249"/>
    <col min="15122" max="15122" width="15.6640625" style="249" customWidth="1"/>
    <col min="15123" max="15123" width="14.109375" style="249" customWidth="1"/>
    <col min="15124" max="15124" width="15.6640625" style="249" customWidth="1"/>
    <col min="15125" max="15125" width="11.33203125" style="249" bestFit="1" customWidth="1"/>
    <col min="15126" max="15126" width="13.109375" style="249" customWidth="1"/>
    <col min="15127" max="15127" width="12.109375" style="249" customWidth="1"/>
    <col min="15128" max="15360" width="8.88671875" style="249"/>
    <col min="15361" max="15361" width="2.44140625" style="249" customWidth="1"/>
    <col min="15362" max="15362" width="33.33203125" style="249" customWidth="1"/>
    <col min="15363" max="15363" width="46.6640625" style="249" customWidth="1"/>
    <col min="15364" max="15364" width="13.109375" style="249" customWidth="1"/>
    <col min="15365" max="15365" width="17" style="249" customWidth="1"/>
    <col min="15366" max="15366" width="18.33203125" style="249" customWidth="1"/>
    <col min="15367" max="15376" width="14.6640625" style="249" customWidth="1"/>
    <col min="15377" max="15377" width="8.88671875" style="249"/>
    <col min="15378" max="15378" width="15.6640625" style="249" customWidth="1"/>
    <col min="15379" max="15379" width="14.109375" style="249" customWidth="1"/>
    <col min="15380" max="15380" width="15.6640625" style="249" customWidth="1"/>
    <col min="15381" max="15381" width="11.33203125" style="249" bestFit="1" customWidth="1"/>
    <col min="15382" max="15382" width="13.109375" style="249" customWidth="1"/>
    <col min="15383" max="15383" width="12.109375" style="249" customWidth="1"/>
    <col min="15384" max="15616" width="8.88671875" style="249"/>
    <col min="15617" max="15617" width="2.44140625" style="249" customWidth="1"/>
    <col min="15618" max="15618" width="33.33203125" style="249" customWidth="1"/>
    <col min="15619" max="15619" width="46.6640625" style="249" customWidth="1"/>
    <col min="15620" max="15620" width="13.109375" style="249" customWidth="1"/>
    <col min="15621" max="15621" width="17" style="249" customWidth="1"/>
    <col min="15622" max="15622" width="18.33203125" style="249" customWidth="1"/>
    <col min="15623" max="15632" width="14.6640625" style="249" customWidth="1"/>
    <col min="15633" max="15633" width="8.88671875" style="249"/>
    <col min="15634" max="15634" width="15.6640625" style="249" customWidth="1"/>
    <col min="15635" max="15635" width="14.109375" style="249" customWidth="1"/>
    <col min="15636" max="15636" width="15.6640625" style="249" customWidth="1"/>
    <col min="15637" max="15637" width="11.33203125" style="249" bestFit="1" customWidth="1"/>
    <col min="15638" max="15638" width="13.109375" style="249" customWidth="1"/>
    <col min="15639" max="15639" width="12.109375" style="249" customWidth="1"/>
    <col min="15640" max="15872" width="8.88671875" style="249"/>
    <col min="15873" max="15873" width="2.44140625" style="249" customWidth="1"/>
    <col min="15874" max="15874" width="33.33203125" style="249" customWidth="1"/>
    <col min="15875" max="15875" width="46.6640625" style="249" customWidth="1"/>
    <col min="15876" max="15876" width="13.109375" style="249" customWidth="1"/>
    <col min="15877" max="15877" width="17" style="249" customWidth="1"/>
    <col min="15878" max="15878" width="18.33203125" style="249" customWidth="1"/>
    <col min="15879" max="15888" width="14.6640625" style="249" customWidth="1"/>
    <col min="15889" max="15889" width="8.88671875" style="249"/>
    <col min="15890" max="15890" width="15.6640625" style="249" customWidth="1"/>
    <col min="15891" max="15891" width="14.109375" style="249" customWidth="1"/>
    <col min="15892" max="15892" width="15.6640625" style="249" customWidth="1"/>
    <col min="15893" max="15893" width="11.33203125" style="249" bestFit="1" customWidth="1"/>
    <col min="15894" max="15894" width="13.109375" style="249" customWidth="1"/>
    <col min="15895" max="15895" width="12.109375" style="249" customWidth="1"/>
    <col min="15896" max="16128" width="8.88671875" style="249"/>
    <col min="16129" max="16129" width="2.44140625" style="249" customWidth="1"/>
    <col min="16130" max="16130" width="33.33203125" style="249" customWidth="1"/>
    <col min="16131" max="16131" width="46.6640625" style="249" customWidth="1"/>
    <col min="16132" max="16132" width="13.109375" style="249" customWidth="1"/>
    <col min="16133" max="16133" width="17" style="249" customWidth="1"/>
    <col min="16134" max="16134" width="18.33203125" style="249" customWidth="1"/>
    <col min="16135" max="16144" width="14.6640625" style="249" customWidth="1"/>
    <col min="16145" max="16145" width="8.88671875" style="249"/>
    <col min="16146" max="16146" width="15.6640625" style="249" customWidth="1"/>
    <col min="16147" max="16147" width="14.109375" style="249" customWidth="1"/>
    <col min="16148" max="16148" width="15.6640625" style="249" customWidth="1"/>
    <col min="16149" max="16149" width="11.33203125" style="249" bestFit="1" customWidth="1"/>
    <col min="16150" max="16150" width="13.109375" style="249" customWidth="1"/>
    <col min="16151" max="16151" width="12.109375" style="249" customWidth="1"/>
    <col min="16152" max="16384" width="8.88671875" style="249"/>
  </cols>
  <sheetData>
    <row r="1" spans="2:23" ht="16.2" hidden="1" customHeight="1"/>
    <row r="2" spans="2:23" ht="16.2" hidden="1" customHeight="1">
      <c r="B2" s="253"/>
      <c r="C2" s="253"/>
      <c r="D2" s="254"/>
      <c r="E2" s="253"/>
      <c r="F2" s="253"/>
      <c r="G2" s="253"/>
      <c r="H2" s="253"/>
      <c r="I2" s="253"/>
      <c r="J2" s="255"/>
      <c r="K2" s="627" t="s">
        <v>529</v>
      </c>
      <c r="L2" s="627"/>
      <c r="M2" s="627"/>
      <c r="N2" s="627"/>
      <c r="O2" s="627"/>
      <c r="P2" s="627"/>
    </row>
    <row r="3" spans="2:23" ht="16.2" hidden="1" customHeight="1">
      <c r="B3" s="254"/>
      <c r="C3" s="253"/>
      <c r="D3" s="254"/>
      <c r="E3" s="253"/>
      <c r="F3" s="253"/>
      <c r="G3" s="253"/>
      <c r="H3" s="253"/>
      <c r="I3" s="253"/>
      <c r="J3" s="255"/>
      <c r="K3" s="628" t="s">
        <v>530</v>
      </c>
      <c r="L3" s="628"/>
      <c r="M3" s="628"/>
      <c r="N3" s="628"/>
      <c r="O3" s="628"/>
      <c r="P3" s="628"/>
      <c r="Q3" s="256"/>
      <c r="R3" s="254"/>
    </row>
    <row r="4" spans="2:23" ht="16.2" hidden="1" customHeight="1">
      <c r="B4" s="253"/>
      <c r="C4" s="253"/>
      <c r="D4" s="254"/>
      <c r="E4" s="253"/>
      <c r="F4" s="253"/>
      <c r="G4" s="253"/>
      <c r="H4" s="253"/>
      <c r="I4" s="253"/>
      <c r="J4" s="255"/>
      <c r="K4" s="255"/>
      <c r="L4" s="257"/>
      <c r="M4" s="257"/>
      <c r="N4" s="257"/>
      <c r="O4" s="257"/>
      <c r="P4" s="256"/>
      <c r="Q4" s="256"/>
      <c r="R4" s="254"/>
    </row>
    <row r="5" spans="2:23" ht="16.2" hidden="1" customHeight="1">
      <c r="B5" s="258"/>
      <c r="C5" s="253"/>
      <c r="D5" s="254"/>
      <c r="E5" s="253"/>
      <c r="F5" s="253"/>
      <c r="G5" s="253"/>
      <c r="H5" s="253"/>
      <c r="I5" s="253"/>
      <c r="J5" s="255"/>
      <c r="K5" s="255"/>
      <c r="L5" s="255"/>
      <c r="M5" s="255"/>
      <c r="N5" s="255"/>
      <c r="O5" s="255"/>
      <c r="P5" s="253"/>
    </row>
    <row r="6" spans="2:23" ht="16.2" hidden="1" customHeight="1">
      <c r="B6" s="626" t="s">
        <v>531</v>
      </c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</row>
    <row r="7" spans="2:23" ht="16.2" hidden="1" customHeight="1">
      <c r="B7" s="626" t="s">
        <v>532</v>
      </c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</row>
    <row r="8" spans="2:23" ht="16.2" hidden="1" customHeight="1">
      <c r="B8" s="626" t="s">
        <v>533</v>
      </c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  <c r="P8" s="626"/>
    </row>
    <row r="9" spans="2:23" ht="16.2" hidden="1" customHeight="1">
      <c r="B9" s="626" t="s">
        <v>534</v>
      </c>
      <c r="C9" s="626"/>
      <c r="D9" s="626"/>
      <c r="E9" s="626"/>
      <c r="F9" s="626"/>
      <c r="G9" s="626"/>
      <c r="H9" s="626"/>
      <c r="I9" s="626"/>
      <c r="J9" s="626"/>
      <c r="K9" s="626"/>
      <c r="L9" s="626"/>
      <c r="M9" s="626"/>
      <c r="N9" s="626"/>
      <c r="O9" s="626"/>
      <c r="P9" s="626"/>
    </row>
    <row r="10" spans="2:23" ht="16.2" hidden="1" customHeight="1">
      <c r="B10" s="259"/>
      <c r="C10" s="253"/>
      <c r="D10" s="254"/>
      <c r="E10" s="253"/>
      <c r="F10" s="253"/>
      <c r="G10" s="253"/>
      <c r="H10" s="253"/>
      <c r="I10" s="253"/>
      <c r="J10" s="255"/>
      <c r="K10" s="255"/>
      <c r="L10" s="255"/>
      <c r="M10" s="255"/>
      <c r="N10" s="255"/>
      <c r="O10" s="255"/>
      <c r="P10" s="253"/>
    </row>
    <row r="11" spans="2:23" ht="37.950000000000003" customHeight="1">
      <c r="B11" s="614" t="s">
        <v>523</v>
      </c>
      <c r="C11" s="616" t="s">
        <v>535</v>
      </c>
      <c r="D11" s="616" t="s">
        <v>536</v>
      </c>
      <c r="E11" s="616" t="s">
        <v>537</v>
      </c>
      <c r="F11" s="616" t="s">
        <v>538</v>
      </c>
      <c r="G11" s="616" t="s">
        <v>31</v>
      </c>
      <c r="H11" s="616"/>
      <c r="I11" s="616"/>
      <c r="J11" s="616"/>
      <c r="K11" s="616"/>
      <c r="L11" s="616"/>
      <c r="M11" s="616"/>
      <c r="N11" s="616"/>
      <c r="O11" s="616"/>
      <c r="P11" s="616"/>
    </row>
    <row r="12" spans="2:23" ht="25.2" customHeight="1">
      <c r="B12" s="615"/>
      <c r="C12" s="616"/>
      <c r="D12" s="616"/>
      <c r="E12" s="616"/>
      <c r="F12" s="616"/>
      <c r="G12" s="260" t="s">
        <v>539</v>
      </c>
      <c r="H12" s="261" t="s">
        <v>540</v>
      </c>
      <c r="I12" s="261" t="s">
        <v>541</v>
      </c>
      <c r="J12" s="261" t="s">
        <v>542</v>
      </c>
      <c r="K12" s="261" t="s">
        <v>543</v>
      </c>
      <c r="L12" s="261" t="s">
        <v>544</v>
      </c>
      <c r="M12" s="261" t="s">
        <v>545</v>
      </c>
      <c r="N12" s="261" t="s">
        <v>546</v>
      </c>
      <c r="O12" s="260" t="s">
        <v>547</v>
      </c>
      <c r="P12" s="260" t="s">
        <v>548</v>
      </c>
    </row>
    <row r="13" spans="2:23" ht="49.2" customHeight="1">
      <c r="B13" s="617" t="s">
        <v>549</v>
      </c>
      <c r="C13" s="618"/>
      <c r="D13" s="618"/>
      <c r="E13" s="618"/>
      <c r="F13" s="618"/>
      <c r="G13" s="618"/>
      <c r="H13" s="618"/>
      <c r="I13" s="618"/>
      <c r="J13" s="618"/>
      <c r="K13" s="618"/>
      <c r="L13" s="618"/>
      <c r="M13" s="618"/>
      <c r="N13" s="618"/>
      <c r="O13" s="618"/>
      <c r="P13" s="619"/>
      <c r="Q13" s="262">
        <f>J16+K18</f>
        <v>12778.3</v>
      </c>
      <c r="R13" s="263"/>
      <c r="S13" s="264"/>
      <c r="T13" s="430">
        <f>R17+R39</f>
        <v>656.3119999999999</v>
      </c>
      <c r="U13" s="431">
        <f>R16+R38</f>
        <v>2062.1860000000015</v>
      </c>
      <c r="V13" s="265">
        <f>R18+R40</f>
        <v>74.300000000000011</v>
      </c>
      <c r="W13" s="266">
        <f>R19+R43</f>
        <v>246.20000000000002</v>
      </c>
    </row>
    <row r="14" spans="2:23" ht="75" customHeight="1">
      <c r="B14" s="620" t="s">
        <v>550</v>
      </c>
      <c r="C14" s="267" t="s">
        <v>515</v>
      </c>
      <c r="D14" s="260" t="s">
        <v>496</v>
      </c>
      <c r="E14" s="268">
        <f>G56</f>
        <v>78.952946163628653</v>
      </c>
      <c r="F14" s="268">
        <f>P14</f>
        <v>82.98996672913114</v>
      </c>
      <c r="G14" s="269">
        <f>G57</f>
        <v>79.193605266251325</v>
      </c>
      <c r="H14" s="270">
        <f>G58</f>
        <v>80.246990825831588</v>
      </c>
      <c r="I14" s="270">
        <v>80.569999999999993</v>
      </c>
      <c r="J14" s="271">
        <v>80.94</v>
      </c>
      <c r="K14" s="271">
        <f>G61</f>
        <v>81.252652681437127</v>
      </c>
      <c r="L14" s="271">
        <f>G62</f>
        <v>81.332704014747023</v>
      </c>
      <c r="M14" s="271">
        <f>G63</f>
        <v>81.378223400354614</v>
      </c>
      <c r="N14" s="271">
        <f>G64</f>
        <v>81.81451266287813</v>
      </c>
      <c r="O14" s="272">
        <f>G65</f>
        <v>82.243641035995978</v>
      </c>
      <c r="P14" s="268">
        <f>G66</f>
        <v>82.98996672913114</v>
      </c>
      <c r="R14" s="273">
        <f>P14-H14</f>
        <v>2.742975903299552</v>
      </c>
      <c r="S14" s="274">
        <f>P14-H14</f>
        <v>2.742975903299552</v>
      </c>
      <c r="T14" s="264">
        <f>83.14-80.25</f>
        <v>2.8900000000000006</v>
      </c>
      <c r="U14" s="264"/>
      <c r="V14" s="264"/>
      <c r="W14" s="264"/>
    </row>
    <row r="15" spans="2:23" ht="78" customHeight="1">
      <c r="B15" s="621"/>
      <c r="C15" s="275" t="s">
        <v>514</v>
      </c>
      <c r="D15" s="261" t="s">
        <v>551</v>
      </c>
      <c r="E15" s="271">
        <f>H56</f>
        <v>56.439393939393945</v>
      </c>
      <c r="F15" s="271">
        <f>P15</f>
        <v>59.456228956228962</v>
      </c>
      <c r="G15" s="276">
        <f>H57</f>
        <v>56.708754208754208</v>
      </c>
      <c r="H15" s="277">
        <f>H58</f>
        <v>57.57744107744108</v>
      </c>
      <c r="I15" s="277">
        <v>57.88</v>
      </c>
      <c r="J15" s="268">
        <v>58.03</v>
      </c>
      <c r="K15" s="268">
        <v>58.10908529741863</v>
      </c>
      <c r="L15" s="268">
        <f>H62</f>
        <v>58.155274971941637</v>
      </c>
      <c r="M15" s="268">
        <f>H63</f>
        <v>58.187822671155999</v>
      </c>
      <c r="N15" s="268">
        <f>H64</f>
        <v>58.537429854096523</v>
      </c>
      <c r="O15" s="278">
        <f>H65</f>
        <v>58.878619528619524</v>
      </c>
      <c r="P15" s="271">
        <f>H66</f>
        <v>59.456228956228962</v>
      </c>
      <c r="R15" s="279">
        <f>P15-H15</f>
        <v>1.8787878787878824</v>
      </c>
      <c r="S15" s="264"/>
      <c r="T15" s="264"/>
      <c r="U15" s="264"/>
      <c r="V15" s="264"/>
      <c r="W15" s="264"/>
    </row>
    <row r="16" spans="2:23" ht="96.6" customHeight="1">
      <c r="B16" s="621"/>
      <c r="C16" s="280" t="s">
        <v>512</v>
      </c>
      <c r="D16" s="281" t="s">
        <v>489</v>
      </c>
      <c r="E16" s="282">
        <v>12738.59</v>
      </c>
      <c r="F16" s="282">
        <f>P16</f>
        <v>12766.724</v>
      </c>
      <c r="G16" s="282">
        <v>12760.5</v>
      </c>
      <c r="H16" s="282">
        <v>12785.9</v>
      </c>
      <c r="I16" s="282">
        <v>12801.5</v>
      </c>
      <c r="J16" s="282">
        <v>12777.4</v>
      </c>
      <c r="K16" s="282">
        <f>12746.486-4.662</f>
        <v>12741.824000000001</v>
      </c>
      <c r="L16" s="282">
        <f>K16+L18</f>
        <v>12741.824000000001</v>
      </c>
      <c r="M16" s="282">
        <f>L16+M18</f>
        <v>12741.824000000001</v>
      </c>
      <c r="N16" s="282">
        <f t="shared" ref="N16:P16" si="0">M16+N18</f>
        <v>12750.024000000001</v>
      </c>
      <c r="O16" s="282">
        <f t="shared" si="0"/>
        <v>12757.424000000001</v>
      </c>
      <c r="P16" s="282">
        <f t="shared" si="0"/>
        <v>12766.724</v>
      </c>
      <c r="R16" s="309">
        <f>P16-H16</f>
        <v>-19.175999999999476</v>
      </c>
      <c r="S16" s="291">
        <f>R16+R38</f>
        <v>2062.1860000000015</v>
      </c>
      <c r="T16" s="288">
        <f>P16-H16</f>
        <v>-19.175999999999476</v>
      </c>
      <c r="U16" s="288">
        <f>T16+T38</f>
        <v>2097.1860000000015</v>
      </c>
      <c r="V16" s="264"/>
      <c r="W16" s="264"/>
    </row>
    <row r="17" spans="2:26" ht="102.75" customHeight="1">
      <c r="B17" s="621"/>
      <c r="C17" s="283" t="s">
        <v>511</v>
      </c>
      <c r="D17" s="284" t="s">
        <v>489</v>
      </c>
      <c r="E17" s="285">
        <v>268.5</v>
      </c>
      <c r="F17" s="285">
        <f>SUM(G17:P17)</f>
        <v>537.01199999999994</v>
      </c>
      <c r="G17" s="286">
        <v>48</v>
      </c>
      <c r="H17" s="286">
        <v>38.299999999999997</v>
      </c>
      <c r="I17" s="285">
        <f>26.432+11.84</f>
        <v>38.271999999999998</v>
      </c>
      <c r="J17" s="285">
        <v>42.5</v>
      </c>
      <c r="K17" s="285">
        <f>44.89-5.6-0.2</f>
        <v>39.089999999999996</v>
      </c>
      <c r="L17" s="285">
        <f>Мероприятия!$V$16</f>
        <v>10.199999999999999</v>
      </c>
      <c r="M17" s="285">
        <f>Мероприятия!$W$16</f>
        <v>5.8</v>
      </c>
      <c r="N17" s="285">
        <f>N18+N19+2.58+2+6.6-1.1+30.53</f>
        <v>102.91</v>
      </c>
      <c r="O17" s="285">
        <f>O18+O19+2.58+2+6.6+1.7-1+30.53+5.8</f>
        <v>109.00999999999999</v>
      </c>
      <c r="P17" s="285">
        <f>P18+P19+2.6+2+6.5-1+30.53</f>
        <v>102.92999999999999</v>
      </c>
      <c r="Q17" s="287">
        <f>SUM(J17:P17)</f>
        <v>412.44</v>
      </c>
      <c r="R17" s="301">
        <f>SUM(G17:P17)</f>
        <v>537.01199999999994</v>
      </c>
      <c r="S17" s="288">
        <f>537-R17</f>
        <v>-1.1999999999943611E-2</v>
      </c>
      <c r="T17" s="264"/>
      <c r="U17" s="264"/>
      <c r="V17" s="264"/>
      <c r="W17" s="264"/>
    </row>
    <row r="18" spans="2:26" ht="115.95" customHeight="1">
      <c r="B18" s="621"/>
      <c r="C18" s="283" t="s">
        <v>510</v>
      </c>
      <c r="D18" s="281" t="s">
        <v>489</v>
      </c>
      <c r="E18" s="289">
        <v>64.599999999999994</v>
      </c>
      <c r="F18" s="289">
        <f>SUM(G18:P18)</f>
        <v>98.800000000000011</v>
      </c>
      <c r="G18" s="289">
        <v>30</v>
      </c>
      <c r="H18" s="289">
        <v>20.100000000000001</v>
      </c>
      <c r="I18" s="289">
        <v>15.6</v>
      </c>
      <c r="J18" s="289">
        <v>7.3</v>
      </c>
      <c r="K18" s="289">
        <v>0.9</v>
      </c>
      <c r="L18" s="289">
        <f>'Подробный перечень'!$AF$13</f>
        <v>0</v>
      </c>
      <c r="M18" s="289">
        <f>'Подробный перечень'!$AI$13</f>
        <v>0</v>
      </c>
      <c r="N18" s="289">
        <f>8.2</f>
        <v>8.1999999999999993</v>
      </c>
      <c r="O18" s="289">
        <f>7.4</f>
        <v>7.4</v>
      </c>
      <c r="P18" s="289">
        <f>9.3</f>
        <v>9.3000000000000007</v>
      </c>
      <c r="R18" s="290">
        <f>SUM(I18:P18)</f>
        <v>48.7</v>
      </c>
      <c r="S18" s="291">
        <f>R18+R40</f>
        <v>74.300000000000011</v>
      </c>
      <c r="T18" s="292">
        <f>SUM(I18:P18)</f>
        <v>48.7</v>
      </c>
      <c r="U18" s="288">
        <f>T18+T40</f>
        <v>74.300000000000011</v>
      </c>
      <c r="V18" s="264">
        <f>I16*I33</f>
        <v>4710.9520000000002</v>
      </c>
      <c r="W18" s="264"/>
      <c r="Z18" s="262">
        <f>R17+R39</f>
        <v>656.3119999999999</v>
      </c>
    </row>
    <row r="19" spans="2:26" ht="213.75" customHeight="1">
      <c r="B19" s="621"/>
      <c r="C19" s="283" t="s">
        <v>552</v>
      </c>
      <c r="D19" s="281" t="s">
        <v>489</v>
      </c>
      <c r="E19" s="289">
        <v>203.9</v>
      </c>
      <c r="F19" s="289">
        <f>SUM(G19:P19)</f>
        <v>282.39999999999998</v>
      </c>
      <c r="G19" s="289">
        <v>18</v>
      </c>
      <c r="H19" s="289">
        <v>18.199999999999996</v>
      </c>
      <c r="I19" s="289">
        <v>10.9</v>
      </c>
      <c r="J19" s="289">
        <v>21.3</v>
      </c>
      <c r="K19" s="289">
        <v>37.5</v>
      </c>
      <c r="L19" s="289">
        <f>'Подробный перечень'!$AF$14</f>
        <v>10.199999999999999</v>
      </c>
      <c r="M19" s="289">
        <f>'Подробный перечень'!$AI$14</f>
        <v>5.8</v>
      </c>
      <c r="N19" s="289">
        <f>54.1</f>
        <v>54.1</v>
      </c>
      <c r="O19" s="289">
        <f>55.4-2</f>
        <v>53.4</v>
      </c>
      <c r="P19" s="289">
        <f>53</f>
        <v>53</v>
      </c>
      <c r="R19" s="293">
        <f>SUM(I19:P19)</f>
        <v>246.20000000000002</v>
      </c>
      <c r="S19" s="294">
        <f>R19+R41</f>
        <v>311.10000000000002</v>
      </c>
      <c r="T19" s="292">
        <f>SUM(I19:P19)</f>
        <v>246.20000000000002</v>
      </c>
      <c r="U19" s="288">
        <f>T19+T43</f>
        <v>48656.237999999998</v>
      </c>
      <c r="V19" s="264"/>
      <c r="W19" s="264"/>
    </row>
    <row r="20" spans="2:26" ht="213.75" customHeight="1">
      <c r="B20" s="621"/>
      <c r="C20" s="283" t="s">
        <v>686</v>
      </c>
      <c r="D20" s="284" t="s">
        <v>489</v>
      </c>
      <c r="E20" s="285"/>
      <c r="F20" s="285"/>
      <c r="G20" s="285"/>
      <c r="H20" s="454">
        <v>18.123999999999999</v>
      </c>
      <c r="I20" s="454">
        <v>9.57</v>
      </c>
      <c r="J20" s="454">
        <v>5.5679999999999996</v>
      </c>
      <c r="K20" s="454">
        <v>27.959</v>
      </c>
      <c r="L20" s="454">
        <v>9.5939999999999994</v>
      </c>
      <c r="M20" s="454">
        <v>13.1</v>
      </c>
      <c r="N20" s="454">
        <v>12.5</v>
      </c>
      <c r="O20" s="454">
        <v>0</v>
      </c>
      <c r="P20" s="454">
        <v>0</v>
      </c>
      <c r="R20" s="293"/>
      <c r="S20" s="294"/>
      <c r="T20" s="292"/>
      <c r="U20" s="288"/>
      <c r="V20" s="264"/>
      <c r="W20" s="264"/>
    </row>
    <row r="21" spans="2:26" ht="136.94999999999999" customHeight="1">
      <c r="B21" s="621"/>
      <c r="C21" s="283" t="s">
        <v>553</v>
      </c>
      <c r="D21" s="284" t="s">
        <v>489</v>
      </c>
      <c r="E21" s="285" t="s">
        <v>348</v>
      </c>
      <c r="F21" s="285">
        <v>5.0999999999999996</v>
      </c>
      <c r="G21" s="285" t="s">
        <v>348</v>
      </c>
      <c r="H21" s="285" t="s">
        <v>348</v>
      </c>
      <c r="I21" s="285" t="s">
        <v>348</v>
      </c>
      <c r="J21" s="285" t="s">
        <v>348</v>
      </c>
      <c r="K21" s="285" t="s">
        <v>348</v>
      </c>
      <c r="L21" s="285" t="s">
        <v>348</v>
      </c>
      <c r="M21" s="285" t="s">
        <v>348</v>
      </c>
      <c r="N21" s="285" t="s">
        <v>348</v>
      </c>
      <c r="O21" s="285">
        <v>5.0999999999999996</v>
      </c>
      <c r="P21" s="285" t="s">
        <v>348</v>
      </c>
      <c r="R21" s="293">
        <f>SUM(J21:P21)</f>
        <v>5.0999999999999996</v>
      </c>
      <c r="S21" s="291"/>
      <c r="T21" s="292"/>
      <c r="U21" s="288"/>
      <c r="V21" s="264"/>
      <c r="W21" s="264"/>
    </row>
    <row r="22" spans="2:26" ht="136.94999999999999" customHeight="1">
      <c r="B22" s="621"/>
      <c r="C22" s="283" t="s">
        <v>554</v>
      </c>
      <c r="D22" s="284" t="s">
        <v>489</v>
      </c>
      <c r="E22" s="285" t="s">
        <v>348</v>
      </c>
      <c r="F22" s="285">
        <v>0</v>
      </c>
      <c r="G22" s="285" t="s">
        <v>348</v>
      </c>
      <c r="H22" s="285" t="s">
        <v>348</v>
      </c>
      <c r="I22" s="285" t="s">
        <v>348</v>
      </c>
      <c r="J22" s="285" t="s">
        <v>348</v>
      </c>
      <c r="K22" s="285">
        <v>0</v>
      </c>
      <c r="L22" s="285">
        <v>0</v>
      </c>
      <c r="M22" s="285">
        <v>0</v>
      </c>
      <c r="N22" s="285">
        <v>0</v>
      </c>
      <c r="O22" s="285">
        <v>0</v>
      </c>
      <c r="P22" s="285" t="s">
        <v>348</v>
      </c>
      <c r="R22" s="293"/>
      <c r="S22" s="291"/>
      <c r="T22" s="292"/>
      <c r="U22" s="288"/>
      <c r="V22" s="264"/>
      <c r="W22" s="264"/>
    </row>
    <row r="23" spans="2:26" ht="167.4" customHeight="1">
      <c r="B23" s="621"/>
      <c r="C23" s="283" t="s">
        <v>555</v>
      </c>
      <c r="D23" s="284" t="s">
        <v>496</v>
      </c>
      <c r="E23" s="285">
        <v>64</v>
      </c>
      <c r="F23" s="285">
        <f t="shared" ref="F23:F28" si="1">P23</f>
        <v>61.7</v>
      </c>
      <c r="G23" s="285">
        <v>64</v>
      </c>
      <c r="H23" s="285">
        <v>64</v>
      </c>
      <c r="I23" s="285">
        <v>63.2</v>
      </c>
      <c r="J23" s="285">
        <v>62.3</v>
      </c>
      <c r="K23" s="285">
        <v>63.3</v>
      </c>
      <c r="L23" s="285">
        <v>63.2</v>
      </c>
      <c r="M23" s="285">
        <v>63.1</v>
      </c>
      <c r="N23" s="285">
        <v>62.6</v>
      </c>
      <c r="O23" s="285">
        <v>62.2</v>
      </c>
      <c r="P23" s="285">
        <v>61.7</v>
      </c>
      <c r="R23" s="293"/>
      <c r="S23" s="291"/>
      <c r="T23" s="292"/>
      <c r="U23" s="288"/>
      <c r="V23" s="264"/>
      <c r="W23" s="264"/>
    </row>
    <row r="24" spans="2:26" ht="136.94999999999999" customHeight="1">
      <c r="B24" s="621"/>
      <c r="C24" s="283" t="s">
        <v>506</v>
      </c>
      <c r="D24" s="284" t="s">
        <v>489</v>
      </c>
      <c r="E24" s="285">
        <v>6658</v>
      </c>
      <c r="F24" s="285">
        <f t="shared" si="1"/>
        <v>6780.9890000000005</v>
      </c>
      <c r="G24" s="285">
        <v>6714.1</v>
      </c>
      <c r="H24" s="285">
        <v>6752.4999999999991</v>
      </c>
      <c r="I24" s="285">
        <v>6779.4</v>
      </c>
      <c r="J24" s="285">
        <v>6780.2</v>
      </c>
      <c r="K24" s="285">
        <f>6772.3-1.311</f>
        <v>6770.9890000000005</v>
      </c>
      <c r="L24" s="285">
        <f>K24+2</f>
        <v>6772.9890000000005</v>
      </c>
      <c r="M24" s="285">
        <f t="shared" ref="M24:P24" si="2">L24+2</f>
        <v>6774.9890000000005</v>
      </c>
      <c r="N24" s="285">
        <f t="shared" si="2"/>
        <v>6776.9890000000005</v>
      </c>
      <c r="O24" s="285">
        <f t="shared" si="2"/>
        <v>6778.9890000000005</v>
      </c>
      <c r="P24" s="285">
        <f t="shared" si="2"/>
        <v>6780.9890000000005</v>
      </c>
      <c r="R24" s="293"/>
      <c r="S24" s="291"/>
      <c r="T24" s="292"/>
      <c r="U24" s="288"/>
      <c r="V24" s="264"/>
      <c r="W24" s="264"/>
    </row>
    <row r="25" spans="2:26" ht="135.6" customHeight="1">
      <c r="B25" s="622"/>
      <c r="C25" s="283" t="s">
        <v>505</v>
      </c>
      <c r="D25" s="281" t="s">
        <v>489</v>
      </c>
      <c r="E25" s="285">
        <v>2622.7000000000007</v>
      </c>
      <c r="F25" s="285">
        <f t="shared" si="1"/>
        <v>2345.027</v>
      </c>
      <c r="G25" s="285">
        <v>2538.5</v>
      </c>
      <c r="H25" s="285">
        <v>2497.7000000000007</v>
      </c>
      <c r="I25" s="285">
        <v>2457.1000000000004</v>
      </c>
      <c r="J25" s="285">
        <v>2426.5</v>
      </c>
      <c r="K25" s="285">
        <f>2418.9-2.873</f>
        <v>2416.027</v>
      </c>
      <c r="L25" s="285">
        <f>K25-11</f>
        <v>2405.027</v>
      </c>
      <c r="M25" s="285">
        <f>L25-15</f>
        <v>2390.027</v>
      </c>
      <c r="N25" s="285">
        <f t="shared" ref="N25:P25" si="3">M25-15</f>
        <v>2375.027</v>
      </c>
      <c r="O25" s="285">
        <f t="shared" si="3"/>
        <v>2360.027</v>
      </c>
      <c r="P25" s="285">
        <f t="shared" si="3"/>
        <v>2345.027</v>
      </c>
      <c r="R25" s="293"/>
      <c r="S25" s="291"/>
      <c r="T25" s="292"/>
      <c r="U25" s="288"/>
      <c r="V25" s="264"/>
      <c r="W25" s="264"/>
    </row>
    <row r="26" spans="2:26" ht="156.75" customHeight="1">
      <c r="B26" s="623" t="s">
        <v>682</v>
      </c>
      <c r="C26" s="275" t="s">
        <v>504</v>
      </c>
      <c r="D26" s="281" t="s">
        <v>489</v>
      </c>
      <c r="E26" s="289">
        <f t="shared" ref="E26:O26" si="4">E27+E28</f>
        <v>8436.4</v>
      </c>
      <c r="F26" s="289">
        <f t="shared" si="1"/>
        <v>18192.199999999997</v>
      </c>
      <c r="G26" s="289">
        <f t="shared" si="4"/>
        <v>8962</v>
      </c>
      <c r="H26" s="289">
        <f>H27+H28</f>
        <v>9123.2000000000007</v>
      </c>
      <c r="I26" s="289">
        <f>I27+I28</f>
        <v>9325.9000000000015</v>
      </c>
      <c r="J26" s="433">
        <f t="shared" si="4"/>
        <v>10250</v>
      </c>
      <c r="K26" s="433">
        <f t="shared" si="4"/>
        <v>17537.699999999997</v>
      </c>
      <c r="L26" s="433">
        <f>L27+L28</f>
        <v>17621.899999999998</v>
      </c>
      <c r="M26" s="433">
        <f t="shared" si="4"/>
        <v>17714.299999999996</v>
      </c>
      <c r="N26" s="433">
        <f t="shared" si="4"/>
        <v>17873.599999999999</v>
      </c>
      <c r="O26" s="433">
        <f t="shared" si="4"/>
        <v>18032.899999999998</v>
      </c>
      <c r="P26" s="433">
        <f>P27+P28</f>
        <v>18192.199999999997</v>
      </c>
      <c r="R26" s="301">
        <f>P26-H26</f>
        <v>9068.9999999999964</v>
      </c>
      <c r="S26" s="291"/>
      <c r="T26" s="264"/>
      <c r="U26" s="295"/>
    </row>
    <row r="27" spans="2:26" ht="68.25" customHeight="1">
      <c r="B27" s="623"/>
      <c r="C27" s="296" t="s">
        <v>500</v>
      </c>
      <c r="D27" s="297" t="s">
        <v>489</v>
      </c>
      <c r="E27" s="285">
        <v>4585.8</v>
      </c>
      <c r="F27" s="285">
        <f t="shared" si="1"/>
        <v>4883.4379999999992</v>
      </c>
      <c r="G27" s="285">
        <v>4593.7</v>
      </c>
      <c r="H27" s="285">
        <v>4602.8999999999996</v>
      </c>
      <c r="I27" s="285">
        <v>4635.6000000000004</v>
      </c>
      <c r="J27" s="285">
        <v>4726.6000000000004</v>
      </c>
      <c r="K27" s="285">
        <f>4681.2-4.662+2.4</f>
        <v>4678.9379999999992</v>
      </c>
      <c r="L27" s="285">
        <f t="shared" ref="L27:P28" si="5">K27+L30-50</f>
        <v>4693.137999999999</v>
      </c>
      <c r="M27" s="285">
        <f t="shared" si="5"/>
        <v>4705.5379999999986</v>
      </c>
      <c r="N27" s="285">
        <f t="shared" si="5"/>
        <v>4764.8379999999988</v>
      </c>
      <c r="O27" s="285">
        <f t="shared" si="5"/>
        <v>4824.137999999999</v>
      </c>
      <c r="P27" s="285">
        <f t="shared" si="5"/>
        <v>4883.4379999999992</v>
      </c>
      <c r="R27" s="301">
        <f>P27-H27</f>
        <v>280.53799999999956</v>
      </c>
      <c r="S27" s="291">
        <f>P27-H27</f>
        <v>280.53799999999956</v>
      </c>
      <c r="T27" s="264"/>
    </row>
    <row r="28" spans="2:26" ht="49.5" customHeight="1">
      <c r="B28" s="623"/>
      <c r="C28" s="298" t="s">
        <v>499</v>
      </c>
      <c r="D28" s="299" t="s">
        <v>489</v>
      </c>
      <c r="E28" s="300">
        <v>3850.6</v>
      </c>
      <c r="F28" s="300">
        <f t="shared" si="1"/>
        <v>13308.761999999999</v>
      </c>
      <c r="G28" s="300">
        <v>4368.3</v>
      </c>
      <c r="H28" s="300">
        <f>G28+H31</f>
        <v>4520.3</v>
      </c>
      <c r="I28" s="300">
        <v>4690.3</v>
      </c>
      <c r="J28" s="300">
        <v>5523.4</v>
      </c>
      <c r="K28" s="300">
        <f>12852.8+1.3+4.662</f>
        <v>12858.761999999999</v>
      </c>
      <c r="L28" s="300">
        <f t="shared" si="5"/>
        <v>12928.761999999999</v>
      </c>
      <c r="M28" s="300">
        <f t="shared" si="5"/>
        <v>13008.761999999999</v>
      </c>
      <c r="N28" s="300">
        <f t="shared" si="5"/>
        <v>13108.761999999999</v>
      </c>
      <c r="O28" s="300">
        <f t="shared" si="5"/>
        <v>13208.761999999999</v>
      </c>
      <c r="P28" s="300">
        <f t="shared" si="5"/>
        <v>13308.761999999999</v>
      </c>
      <c r="R28" s="301">
        <f>P28-H28</f>
        <v>8788.4619999999995</v>
      </c>
      <c r="S28" s="291">
        <f>P28-H28</f>
        <v>8788.4619999999995</v>
      </c>
      <c r="T28" s="264"/>
    </row>
    <row r="29" spans="2:26" s="251" customFormat="1" ht="162">
      <c r="B29" s="623"/>
      <c r="C29" s="267" t="s">
        <v>556</v>
      </c>
      <c r="D29" s="260" t="s">
        <v>489</v>
      </c>
      <c r="E29" s="302">
        <f>E30+E31</f>
        <v>2115.62</v>
      </c>
      <c r="F29" s="302">
        <f t="shared" ref="F29:P29" si="6">F30+F31</f>
        <v>2864.5600000000004</v>
      </c>
      <c r="G29" s="302">
        <f t="shared" si="6"/>
        <v>758.10000000000025</v>
      </c>
      <c r="H29" s="302">
        <f t="shared" si="6"/>
        <v>204.06</v>
      </c>
      <c r="I29" s="302">
        <f t="shared" si="6"/>
        <v>202.7</v>
      </c>
      <c r="J29" s="302">
        <f t="shared" si="6"/>
        <v>284.39999999999998</v>
      </c>
      <c r="K29" s="302">
        <f t="shared" si="6"/>
        <v>260.8</v>
      </c>
      <c r="L29" s="302">
        <f t="shared" si="6"/>
        <v>184.2</v>
      </c>
      <c r="M29" s="302">
        <f t="shared" si="6"/>
        <v>192.4</v>
      </c>
      <c r="N29" s="302">
        <f t="shared" si="6"/>
        <v>259.3</v>
      </c>
      <c r="O29" s="302">
        <f t="shared" si="6"/>
        <v>259.3</v>
      </c>
      <c r="P29" s="302">
        <f t="shared" si="6"/>
        <v>259.3</v>
      </c>
      <c r="Q29" s="249"/>
      <c r="R29" s="301">
        <f>SUM(I29:P29)</f>
        <v>1902.3999999999999</v>
      </c>
      <c r="S29" s="291"/>
      <c r="T29" s="264"/>
      <c r="U29" s="249"/>
      <c r="V29" s="249"/>
    </row>
    <row r="30" spans="2:26" s="251" customFormat="1" ht="54">
      <c r="B30" s="623"/>
      <c r="C30" s="296" t="s">
        <v>500</v>
      </c>
      <c r="D30" s="297" t="s">
        <v>489</v>
      </c>
      <c r="E30" s="302">
        <f>141.6+113.4+57.96+7.47+58.9+61.3+118.3+157.1+119.3+123+47.4+74.8+52.3+126.5+43.8+107.2+58.4+175.3</f>
        <v>1644.03</v>
      </c>
      <c r="F30" s="302">
        <f>SUM(G30:P30)</f>
        <v>1009.56</v>
      </c>
      <c r="G30" s="302">
        <f>115.65+124.75</f>
        <v>240.4</v>
      </c>
      <c r="H30" s="302">
        <f>26.27+25.79</f>
        <v>52.06</v>
      </c>
      <c r="I30" s="302">
        <f>20+12.7</f>
        <v>32.700000000000003</v>
      </c>
      <c r="J30" s="302">
        <v>129.4</v>
      </c>
      <c r="K30" s="302">
        <f>5.7+94.8</f>
        <v>100.5</v>
      </c>
      <c r="L30" s="302">
        <f>12.7+51.5</f>
        <v>64.2</v>
      </c>
      <c r="M30" s="302">
        <f>9.4+53</f>
        <v>62.4</v>
      </c>
      <c r="N30" s="302">
        <v>109.3</v>
      </c>
      <c r="O30" s="302">
        <v>109.3</v>
      </c>
      <c r="P30" s="302">
        <v>109.3</v>
      </c>
      <c r="Q30" s="249"/>
      <c r="R30" s="301">
        <f>SUM(I30:P30)</f>
        <v>717.09999999999991</v>
      </c>
      <c r="S30" s="291"/>
      <c r="T30" s="264"/>
      <c r="U30" s="249"/>
      <c r="V30" s="249"/>
    </row>
    <row r="31" spans="2:26" s="251" customFormat="1" ht="36">
      <c r="B31" s="623"/>
      <c r="C31" s="298" t="s">
        <v>499</v>
      </c>
      <c r="D31" s="299" t="s">
        <v>489</v>
      </c>
      <c r="E31" s="302">
        <f>14.9+30.39+50+80+150+16.3+130</f>
        <v>471.59</v>
      </c>
      <c r="F31" s="302">
        <f>SUM(G31:P31)</f>
        <v>1855.0000000000002</v>
      </c>
      <c r="G31" s="302">
        <f>G28-E28</f>
        <v>517.70000000000027</v>
      </c>
      <c r="H31" s="302">
        <v>152</v>
      </c>
      <c r="I31" s="302">
        <v>170</v>
      </c>
      <c r="J31" s="302">
        <v>155</v>
      </c>
      <c r="K31" s="302">
        <f>159+1.3</f>
        <v>160.30000000000001</v>
      </c>
      <c r="L31" s="302">
        <v>120</v>
      </c>
      <c r="M31" s="302">
        <v>130</v>
      </c>
      <c r="N31" s="302">
        <v>150</v>
      </c>
      <c r="O31" s="302">
        <v>150</v>
      </c>
      <c r="P31" s="302">
        <v>150</v>
      </c>
      <c r="Q31" s="249"/>
      <c r="R31" s="301">
        <f>SUM(I31:P31)</f>
        <v>1185.3</v>
      </c>
      <c r="S31" s="291"/>
      <c r="T31" s="264"/>
      <c r="U31" s="249"/>
      <c r="V31" s="249"/>
    </row>
    <row r="32" spans="2:26" s="251" customFormat="1" ht="108">
      <c r="B32" s="623"/>
      <c r="C32" s="267" t="s">
        <v>666</v>
      </c>
      <c r="D32" s="423" t="s">
        <v>489</v>
      </c>
      <c r="E32" s="302"/>
      <c r="F32" s="302"/>
      <c r="G32" s="302"/>
      <c r="H32" s="302"/>
      <c r="I32" s="302"/>
      <c r="J32" s="302"/>
      <c r="K32" s="302">
        <v>107.3</v>
      </c>
      <c r="L32" s="302">
        <v>53.6</v>
      </c>
      <c r="M32" s="302">
        <v>86.9</v>
      </c>
      <c r="N32" s="302">
        <v>83</v>
      </c>
      <c r="O32" s="302">
        <v>83</v>
      </c>
      <c r="P32" s="302">
        <v>83</v>
      </c>
      <c r="Q32" s="249"/>
      <c r="R32" s="301"/>
      <c r="S32" s="291"/>
      <c r="T32" s="264"/>
      <c r="U32" s="249"/>
      <c r="V32" s="249"/>
    </row>
    <row r="33" spans="2:22" s="251" customFormat="1" ht="164.25" customHeight="1">
      <c r="B33" s="623"/>
      <c r="C33" s="267" t="s">
        <v>557</v>
      </c>
      <c r="D33" s="434" t="s">
        <v>496</v>
      </c>
      <c r="E33" s="303">
        <f>E26/SUM(E16+E38)</f>
        <v>0.35999622781440671</v>
      </c>
      <c r="F33" s="303">
        <f>F26/SUM(F16+F38)</f>
        <v>0.66379419745456403</v>
      </c>
      <c r="G33" s="303">
        <f>G26/SUM(G16+G38)</f>
        <v>0.35999775051617622</v>
      </c>
      <c r="H33" s="303">
        <v>0.36</v>
      </c>
      <c r="I33" s="303">
        <v>0.36799999999999999</v>
      </c>
      <c r="J33" s="303">
        <f>(J34+J35)/2</f>
        <v>0.37695938140779817</v>
      </c>
      <c r="K33" s="303">
        <f t="shared" ref="K33:P33" si="7">K26/SUM(K16+K38)</f>
        <v>0.64090911981258725</v>
      </c>
      <c r="L33" s="303">
        <f t="shared" si="7"/>
        <v>0.64391323148713375</v>
      </c>
      <c r="M33" s="303">
        <f t="shared" si="7"/>
        <v>0.64721389622232073</v>
      </c>
      <c r="N33" s="303">
        <f t="shared" si="7"/>
        <v>0.65274793162215605</v>
      </c>
      <c r="O33" s="303">
        <f t="shared" si="7"/>
        <v>0.65829153690041486</v>
      </c>
      <c r="P33" s="303">
        <f t="shared" si="7"/>
        <v>0.66379419745456403</v>
      </c>
      <c r="Q33" s="249">
        <f>66.4-36</f>
        <v>30.400000000000006</v>
      </c>
      <c r="R33" s="301">
        <f>42.9-36</f>
        <v>6.8999999999999986</v>
      </c>
      <c r="S33" s="432">
        <f>42.9-36</f>
        <v>6.8999999999999986</v>
      </c>
      <c r="T33" s="264"/>
      <c r="U33" s="249"/>
      <c r="V33" s="249"/>
    </row>
    <row r="34" spans="2:22" s="251" customFormat="1" ht="64.5" customHeight="1">
      <c r="B34" s="623"/>
      <c r="C34" s="296" t="s">
        <v>500</v>
      </c>
      <c r="D34" s="434" t="s">
        <v>496</v>
      </c>
      <c r="E34" s="303">
        <f>E27/E16</f>
        <v>0.35999274644996032</v>
      </c>
      <c r="F34" s="303">
        <f>F27/F16</f>
        <v>0.38251300803557742</v>
      </c>
      <c r="G34" s="303">
        <f>G27/G16</f>
        <v>0.35999373065318757</v>
      </c>
      <c r="H34" s="303">
        <f>H27/H16</f>
        <v>0.35999812293229261</v>
      </c>
      <c r="I34" s="303">
        <v>0.36199999999999999</v>
      </c>
      <c r="J34" s="303">
        <f t="shared" ref="J34:P34" si="8">J27/J16</f>
        <v>0.36991876281559632</v>
      </c>
      <c r="K34" s="303">
        <f t="shared" si="8"/>
        <v>0.36721100526894729</v>
      </c>
      <c r="L34" s="303">
        <f t="shared" si="8"/>
        <v>0.36832544539933992</v>
      </c>
      <c r="M34" s="303">
        <f t="shared" si="8"/>
        <v>0.36929861847095036</v>
      </c>
      <c r="N34" s="303">
        <f t="shared" si="8"/>
        <v>0.3737120808556908</v>
      </c>
      <c r="O34" s="303">
        <f t="shared" si="8"/>
        <v>0.37814358133742348</v>
      </c>
      <c r="P34" s="303">
        <f t="shared" si="8"/>
        <v>0.38251300803557742</v>
      </c>
      <c r="Q34" s="249"/>
      <c r="R34" s="301">
        <f>38.2-36</f>
        <v>2.2000000000000028</v>
      </c>
      <c r="S34" s="301"/>
      <c r="T34" s="264"/>
      <c r="U34" s="249"/>
      <c r="V34" s="249"/>
    </row>
    <row r="35" spans="2:22" s="251" customFormat="1" ht="38.4" customHeight="1">
      <c r="B35" s="623"/>
      <c r="C35" s="298" t="s">
        <v>499</v>
      </c>
      <c r="D35" s="434" t="s">
        <v>496</v>
      </c>
      <c r="E35" s="303">
        <f>E28/E38</f>
        <v>0.36000037396808182</v>
      </c>
      <c r="F35" s="303">
        <f>F28/F38</f>
        <v>0.90908943116309637</v>
      </c>
      <c r="G35" s="303">
        <f t="shared" ref="G35:P35" si="9">G28/G38</f>
        <v>0.360001977897001</v>
      </c>
      <c r="H35" s="303">
        <f>H28/H38</f>
        <v>0.35994521551483882</v>
      </c>
      <c r="I35" s="303">
        <v>0.373</v>
      </c>
      <c r="J35" s="303">
        <v>0.38400000000000001</v>
      </c>
      <c r="K35" s="303">
        <v>0.87928687240461634</v>
      </c>
      <c r="L35" s="303">
        <f t="shared" si="9"/>
        <v>0.8840141669143009</v>
      </c>
      <c r="M35" s="303">
        <f t="shared" si="9"/>
        <v>0.88928965040412855</v>
      </c>
      <c r="N35" s="303">
        <f t="shared" si="9"/>
        <v>0.89589300537408867</v>
      </c>
      <c r="O35" s="303">
        <f t="shared" si="9"/>
        <v>0.90248059894799559</v>
      </c>
      <c r="P35" s="303">
        <f t="shared" si="9"/>
        <v>0.90908943116309637</v>
      </c>
      <c r="Q35" s="249"/>
      <c r="R35" s="301">
        <f>90.9-36</f>
        <v>54.900000000000006</v>
      </c>
      <c r="S35" s="301">
        <f>44.6-36</f>
        <v>8.6000000000000014</v>
      </c>
      <c r="T35" s="264"/>
      <c r="U35" s="249"/>
      <c r="V35" s="249"/>
    </row>
    <row r="36" spans="2:22" ht="100.5" customHeight="1">
      <c r="B36" s="623"/>
      <c r="C36" s="267" t="s">
        <v>498</v>
      </c>
      <c r="D36" s="434" t="s">
        <v>496</v>
      </c>
      <c r="E36" s="304">
        <v>58.5</v>
      </c>
      <c r="F36" s="304">
        <f>P36</f>
        <v>49.169999999999995</v>
      </c>
      <c r="G36" s="304">
        <v>56</v>
      </c>
      <c r="H36" s="277">
        <v>54.6</v>
      </c>
      <c r="I36" s="277">
        <v>54</v>
      </c>
      <c r="J36" s="268">
        <v>41.59</v>
      </c>
      <c r="K36" s="268">
        <v>49.25</v>
      </c>
      <c r="L36" s="268">
        <f t="shared" ref="L36:M36" si="10">K36-0.01</f>
        <v>49.24</v>
      </c>
      <c r="M36" s="268">
        <f t="shared" si="10"/>
        <v>49.230000000000004</v>
      </c>
      <c r="N36" s="268">
        <f>M36-0.02</f>
        <v>49.21</v>
      </c>
      <c r="O36" s="268">
        <f>N36-0.02</f>
        <v>49.19</v>
      </c>
      <c r="P36" s="268">
        <f>O36-0.02</f>
        <v>49.169999999999995</v>
      </c>
      <c r="R36" s="301">
        <f>H36-P36</f>
        <v>5.4300000000000068</v>
      </c>
      <c r="S36" s="264"/>
      <c r="T36" s="264"/>
    </row>
    <row r="37" spans="2:22" ht="135.75" customHeight="1">
      <c r="B37" s="623"/>
      <c r="C37" s="275" t="s">
        <v>497</v>
      </c>
      <c r="D37" s="434" t="s">
        <v>496</v>
      </c>
      <c r="E37" s="302">
        <v>15.3</v>
      </c>
      <c r="F37" s="302">
        <f>P37</f>
        <v>21.999999999999996</v>
      </c>
      <c r="G37" s="302">
        <v>15</v>
      </c>
      <c r="H37" s="305">
        <v>15.8</v>
      </c>
      <c r="I37" s="305">
        <v>18.5</v>
      </c>
      <c r="J37" s="306">
        <v>15.8</v>
      </c>
      <c r="K37" s="306">
        <v>23.5</v>
      </c>
      <c r="L37" s="306">
        <f t="shared" ref="L37:P37" si="11">K37-0.3</f>
        <v>23.2</v>
      </c>
      <c r="M37" s="306">
        <f t="shared" si="11"/>
        <v>22.9</v>
      </c>
      <c r="N37" s="306">
        <f t="shared" si="11"/>
        <v>22.599999999999998</v>
      </c>
      <c r="O37" s="306">
        <f t="shared" si="11"/>
        <v>22.299999999999997</v>
      </c>
      <c r="P37" s="306">
        <f t="shared" si="11"/>
        <v>21.999999999999996</v>
      </c>
      <c r="R37" s="301">
        <f>H37-P37</f>
        <v>-6.1999999999999957</v>
      </c>
      <c r="S37" s="264"/>
      <c r="T37" s="264"/>
    </row>
    <row r="38" spans="2:22" ht="90" customHeight="1">
      <c r="B38" s="623"/>
      <c r="C38" s="280" t="s">
        <v>495</v>
      </c>
      <c r="D38" s="307" t="s">
        <v>489</v>
      </c>
      <c r="E38" s="308">
        <v>10696.1</v>
      </c>
      <c r="F38" s="308">
        <f>P38</f>
        <v>14639.662</v>
      </c>
      <c r="G38" s="308">
        <v>12134.1</v>
      </c>
      <c r="H38" s="308">
        <v>12558.3</v>
      </c>
      <c r="I38" s="308">
        <v>12561.3</v>
      </c>
      <c r="J38" s="308">
        <v>14393.7</v>
      </c>
      <c r="K38" s="308">
        <f>14617.3+4.662</f>
        <v>14621.962</v>
      </c>
      <c r="L38" s="308">
        <f t="shared" ref="L38:P38" si="12">K38+L40</f>
        <v>14625.062</v>
      </c>
      <c r="M38" s="308">
        <f t="shared" si="12"/>
        <v>14628.262000000001</v>
      </c>
      <c r="N38" s="308">
        <f t="shared" si="12"/>
        <v>14632.062</v>
      </c>
      <c r="O38" s="308">
        <f t="shared" si="12"/>
        <v>14636.062</v>
      </c>
      <c r="P38" s="308">
        <f t="shared" si="12"/>
        <v>14639.662</v>
      </c>
      <c r="R38" s="309">
        <f>P38-H38</f>
        <v>2081.362000000001</v>
      </c>
      <c r="S38" s="264"/>
      <c r="T38" s="288">
        <f>P38-H38+35</f>
        <v>2116.362000000001</v>
      </c>
    </row>
    <row r="39" spans="2:22" ht="91.5" customHeight="1">
      <c r="B39" s="623"/>
      <c r="C39" s="283" t="s">
        <v>494</v>
      </c>
      <c r="D39" s="310" t="s">
        <v>489</v>
      </c>
      <c r="E39" s="311">
        <v>63</v>
      </c>
      <c r="F39" s="311">
        <f>SUM(G39:P39)</f>
        <v>119.3</v>
      </c>
      <c r="G39" s="311">
        <v>9.1</v>
      </c>
      <c r="H39" s="311">
        <v>19.7</v>
      </c>
      <c r="I39" s="311">
        <v>10.5</v>
      </c>
      <c r="J39" s="311">
        <f>J40+J41</f>
        <v>9.6999999999999993</v>
      </c>
      <c r="K39" s="311">
        <f>K40+K41</f>
        <v>15.399999999999999</v>
      </c>
      <c r="L39" s="311">
        <f t="shared" ref="L39:P39" si="13">L40+L41</f>
        <v>9.6</v>
      </c>
      <c r="M39" s="311">
        <f t="shared" si="13"/>
        <v>10</v>
      </c>
      <c r="N39" s="311">
        <f t="shared" si="13"/>
        <v>11</v>
      </c>
      <c r="O39" s="311">
        <f t="shared" si="13"/>
        <v>11.8</v>
      </c>
      <c r="P39" s="311">
        <f t="shared" si="13"/>
        <v>12.5</v>
      </c>
      <c r="R39" s="312">
        <f>SUM(G39:P39)</f>
        <v>119.3</v>
      </c>
      <c r="S39" s="264"/>
      <c r="T39" s="264"/>
    </row>
    <row r="40" spans="2:22" ht="131.25" customHeight="1">
      <c r="B40" s="623"/>
      <c r="C40" s="283" t="s">
        <v>493</v>
      </c>
      <c r="D40" s="310" t="s">
        <v>489</v>
      </c>
      <c r="E40" s="311">
        <v>20.5</v>
      </c>
      <c r="F40" s="311">
        <f>SUM(G40:P40)</f>
        <v>41.1</v>
      </c>
      <c r="G40" s="311">
        <v>5.5</v>
      </c>
      <c r="H40" s="311">
        <v>10</v>
      </c>
      <c r="I40" s="311">
        <v>3</v>
      </c>
      <c r="J40" s="311">
        <v>1.2</v>
      </c>
      <c r="K40" s="311">
        <v>3.7</v>
      </c>
      <c r="L40" s="311">
        <v>3.1</v>
      </c>
      <c r="M40" s="311">
        <v>3.2</v>
      </c>
      <c r="N40" s="311">
        <v>3.8</v>
      </c>
      <c r="O40" s="311">
        <v>4</v>
      </c>
      <c r="P40" s="311">
        <v>3.6</v>
      </c>
      <c r="R40" s="290">
        <f>SUM(I40:P40)</f>
        <v>25.6</v>
      </c>
      <c r="S40" s="264"/>
      <c r="T40" s="292">
        <f>SUM(I40:P40)</f>
        <v>25.6</v>
      </c>
    </row>
    <row r="41" spans="2:22" ht="164.4" customHeight="1">
      <c r="B41" s="313"/>
      <c r="C41" s="275" t="s">
        <v>492</v>
      </c>
      <c r="D41" s="310" t="s">
        <v>489</v>
      </c>
      <c r="E41" s="311">
        <v>42.5</v>
      </c>
      <c r="F41" s="311">
        <f>SUM(G41:P41)</f>
        <v>78.2</v>
      </c>
      <c r="G41" s="311">
        <v>3.5999999999999996</v>
      </c>
      <c r="H41" s="311">
        <v>9.6999999999999993</v>
      </c>
      <c r="I41" s="311">
        <v>7.5</v>
      </c>
      <c r="J41" s="311">
        <v>8.5</v>
      </c>
      <c r="K41" s="311">
        <f>7.1+4.6</f>
        <v>11.7</v>
      </c>
      <c r="L41" s="311">
        <v>6.5</v>
      </c>
      <c r="M41" s="311">
        <v>6.8</v>
      </c>
      <c r="N41" s="311">
        <v>7.2</v>
      </c>
      <c r="O41" s="311">
        <v>7.8</v>
      </c>
      <c r="P41" s="311">
        <v>8.9</v>
      </c>
      <c r="R41" s="290">
        <f>SUM(I41:P41)</f>
        <v>64.900000000000006</v>
      </c>
      <c r="S41" s="264"/>
      <c r="T41" s="292"/>
    </row>
    <row r="42" spans="2:22" ht="121.2" customHeight="1">
      <c r="B42" s="313"/>
      <c r="C42" s="275" t="s">
        <v>491</v>
      </c>
      <c r="D42" s="310" t="s">
        <v>489</v>
      </c>
      <c r="E42" s="311">
        <f>4997.2-2450.9</f>
        <v>2546.2999999999997</v>
      </c>
      <c r="F42" s="311">
        <f t="shared" ref="F42:F43" si="14">P42</f>
        <v>4092.6110000000003</v>
      </c>
      <c r="G42" s="311">
        <f>6586.2-3140.2</f>
        <v>3446</v>
      </c>
      <c r="H42" s="311">
        <f>7050.2-3304.9</f>
        <v>3745.2999999999997</v>
      </c>
      <c r="I42" s="311">
        <f>8281.5-4482.5</f>
        <v>3799</v>
      </c>
      <c r="J42" s="311">
        <v>3809</v>
      </c>
      <c r="K42" s="311">
        <f>4041.3+1.311</f>
        <v>4042.6110000000003</v>
      </c>
      <c r="L42" s="311">
        <f t="shared" ref="L42:P42" si="15">K42+10</f>
        <v>4052.6110000000003</v>
      </c>
      <c r="M42" s="311">
        <f t="shared" si="15"/>
        <v>4062.6110000000003</v>
      </c>
      <c r="N42" s="311">
        <f t="shared" si="15"/>
        <v>4072.6110000000003</v>
      </c>
      <c r="O42" s="311">
        <f t="shared" si="15"/>
        <v>4082.6110000000003</v>
      </c>
      <c r="P42" s="311">
        <f t="shared" si="15"/>
        <v>4092.6110000000003</v>
      </c>
      <c r="Q42" s="262">
        <f>I42-H42</f>
        <v>53.700000000000273</v>
      </c>
      <c r="R42" s="290"/>
      <c r="S42" s="264"/>
      <c r="T42" s="292"/>
    </row>
    <row r="43" spans="2:22" ht="121.95" customHeight="1">
      <c r="B43" s="313"/>
      <c r="C43" s="267" t="s">
        <v>490</v>
      </c>
      <c r="D43" s="310" t="s">
        <v>489</v>
      </c>
      <c r="E43" s="311">
        <f>9092.6-1997.2</f>
        <v>7095.4000000000005</v>
      </c>
      <c r="F43" s="311">
        <f t="shared" si="14"/>
        <v>5997.1729999999998</v>
      </c>
      <c r="G43" s="311">
        <f>12116.8-6586.2</f>
        <v>5530.5999999999995</v>
      </c>
      <c r="H43" s="311">
        <f>12558.3-7050</f>
        <v>5508.2999999999993</v>
      </c>
      <c r="I43" s="311">
        <f>14392.5-8281.5</f>
        <v>6111</v>
      </c>
      <c r="J43" s="311">
        <v>6091</v>
      </c>
      <c r="K43" s="311">
        <f>6069.3+2.873</f>
        <v>6072.1729999999998</v>
      </c>
      <c r="L43" s="311">
        <f t="shared" ref="L43:P43" si="16">K43-15</f>
        <v>6057.1729999999998</v>
      </c>
      <c r="M43" s="311">
        <f t="shared" si="16"/>
        <v>6042.1729999999998</v>
      </c>
      <c r="N43" s="311">
        <f t="shared" si="16"/>
        <v>6027.1729999999998</v>
      </c>
      <c r="O43" s="311">
        <f t="shared" si="16"/>
        <v>6012.1729999999998</v>
      </c>
      <c r="P43" s="311">
        <f t="shared" si="16"/>
        <v>5997.1729999999998</v>
      </c>
      <c r="Q43" s="262"/>
      <c r="R43" s="293"/>
      <c r="S43" s="264"/>
      <c r="T43" s="292">
        <f>SUM(I43:P43)</f>
        <v>48410.038</v>
      </c>
    </row>
    <row r="44" spans="2:22">
      <c r="B44" s="314"/>
      <c r="C44" s="315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</row>
    <row r="45" spans="2:22">
      <c r="B45" s="256" t="s">
        <v>558</v>
      </c>
      <c r="C45" s="315"/>
      <c r="D45" s="316"/>
      <c r="E45" s="317"/>
      <c r="F45" s="317"/>
      <c r="G45" s="317"/>
      <c r="H45" s="317">
        <f t="shared" ref="H45:P45" si="17">H43-G43</f>
        <v>-22.300000000000182</v>
      </c>
      <c r="I45" s="317">
        <f t="shared" si="17"/>
        <v>602.70000000000073</v>
      </c>
      <c r="J45" s="317">
        <f t="shared" si="17"/>
        <v>-20</v>
      </c>
      <c r="K45" s="317">
        <f t="shared" si="17"/>
        <v>-18.827000000000226</v>
      </c>
      <c r="L45" s="317">
        <f t="shared" si="17"/>
        <v>-15</v>
      </c>
      <c r="M45" s="317">
        <f t="shared" si="17"/>
        <v>-15</v>
      </c>
      <c r="N45" s="317">
        <f t="shared" si="17"/>
        <v>-15</v>
      </c>
      <c r="O45" s="317">
        <f t="shared" si="17"/>
        <v>-15</v>
      </c>
      <c r="P45" s="317">
        <f t="shared" si="17"/>
        <v>-15</v>
      </c>
    </row>
    <row r="46" spans="2:22" hidden="1">
      <c r="B46" s="624" t="s">
        <v>559</v>
      </c>
      <c r="C46" s="624"/>
      <c r="D46" s="624"/>
      <c r="E46" s="624"/>
      <c r="F46" s="624"/>
      <c r="G46" s="624"/>
      <c r="H46" s="624"/>
      <c r="I46" s="624"/>
      <c r="J46" s="624"/>
      <c r="K46" s="624"/>
      <c r="L46" s="624"/>
      <c r="M46" s="624"/>
      <c r="N46" s="624"/>
      <c r="O46" s="624"/>
      <c r="P46" s="624"/>
    </row>
    <row r="47" spans="2:22">
      <c r="B47" s="426" t="s">
        <v>560</v>
      </c>
      <c r="C47" s="426"/>
      <c r="D47" s="427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</row>
    <row r="48" spans="2:22" ht="30" customHeight="1">
      <c r="B48" s="625" t="s">
        <v>561</v>
      </c>
      <c r="C48" s="625"/>
      <c r="D48" s="625"/>
      <c r="E48" s="625"/>
      <c r="F48" s="625"/>
      <c r="G48" s="625"/>
      <c r="H48" s="625"/>
      <c r="I48" s="625"/>
      <c r="J48" s="625"/>
      <c r="K48" s="625"/>
      <c r="L48" s="625"/>
      <c r="M48" s="625"/>
      <c r="N48" s="625"/>
      <c r="O48" s="625"/>
      <c r="P48" s="625"/>
    </row>
    <row r="49" spans="2:16">
      <c r="B49" s="613" t="s">
        <v>562</v>
      </c>
      <c r="C49" s="613"/>
      <c r="D49" s="613"/>
      <c r="E49" s="613"/>
      <c r="F49" s="613"/>
      <c r="G49" s="613"/>
      <c r="H49" s="613"/>
      <c r="I49" s="613"/>
      <c r="J49" s="613"/>
      <c r="K49" s="613"/>
      <c r="L49" s="613"/>
      <c r="M49" s="613"/>
      <c r="N49" s="613"/>
      <c r="O49" s="613"/>
      <c r="P49" s="613"/>
    </row>
    <row r="50" spans="2:16">
      <c r="B50" s="258"/>
      <c r="E50" s="262" t="e">
        <f>E27/#REF!*100</f>
        <v>#REF!</v>
      </c>
      <c r="F50" s="262" t="e">
        <f>F27/#REF!*100</f>
        <v>#REF!</v>
      </c>
      <c r="G50" s="262" t="e">
        <f>G27/#REF!*100</f>
        <v>#REF!</v>
      </c>
      <c r="H50" s="262" t="e">
        <f>H27/#REF!*100</f>
        <v>#REF!</v>
      </c>
      <c r="I50" s="262" t="e">
        <f>I27/#REF!*100</f>
        <v>#REF!</v>
      </c>
      <c r="J50" s="262" t="e">
        <f>J27/#REF!*100</f>
        <v>#REF!</v>
      </c>
      <c r="K50" s="262" t="e">
        <f>K27/#REF!*100</f>
        <v>#REF!</v>
      </c>
      <c r="L50" s="262" t="e">
        <f>L27/#REF!*100</f>
        <v>#REF!</v>
      </c>
      <c r="M50" s="262" t="e">
        <f>M27/#REF!*100</f>
        <v>#REF!</v>
      </c>
      <c r="N50" s="262" t="e">
        <f>N27/#REF!*100</f>
        <v>#REF!</v>
      </c>
      <c r="O50" s="262" t="e">
        <f>O27/#REF!*100</f>
        <v>#REF!</v>
      </c>
      <c r="P50" s="262" t="e">
        <f>P27/#REF!*100</f>
        <v>#REF!</v>
      </c>
    </row>
    <row r="51" spans="2:16">
      <c r="J51" s="249"/>
      <c r="K51" s="249"/>
      <c r="L51" s="249"/>
      <c r="M51" s="249"/>
      <c r="N51" s="249"/>
      <c r="O51" s="249"/>
    </row>
    <row r="52" spans="2:16">
      <c r="E52" s="295" t="e">
        <f>#REF!*0.36</f>
        <v>#REF!</v>
      </c>
      <c r="F52" s="295" t="e">
        <f>#REF!*0.36</f>
        <v>#REF!</v>
      </c>
      <c r="G52" s="295" t="e">
        <f>#REF!*0.36</f>
        <v>#REF!</v>
      </c>
      <c r="H52" s="295" t="e">
        <f>#REF!*0.36</f>
        <v>#REF!</v>
      </c>
      <c r="I52" s="295" t="e">
        <f>#REF!*0.36</f>
        <v>#REF!</v>
      </c>
      <c r="J52" s="295" t="e">
        <f>#REF!*0.36</f>
        <v>#REF!</v>
      </c>
      <c r="K52" s="295" t="e">
        <f>#REF!*0.36</f>
        <v>#REF!</v>
      </c>
      <c r="L52" s="295" t="e">
        <f>#REF!*0.36</f>
        <v>#REF!</v>
      </c>
      <c r="M52" s="295" t="e">
        <f>#REF!*0.36</f>
        <v>#REF!</v>
      </c>
      <c r="N52" s="295" t="e">
        <f>#REF!*0.36</f>
        <v>#REF!</v>
      </c>
      <c r="O52" s="295" t="e">
        <f>#REF!*0.36</f>
        <v>#REF!</v>
      </c>
      <c r="P52" s="295" t="e">
        <f>#REF!*0.36</f>
        <v>#REF!</v>
      </c>
    </row>
    <row r="53" spans="2:16">
      <c r="J53" s="249"/>
      <c r="K53" s="249"/>
      <c r="L53" s="249"/>
      <c r="M53" s="249"/>
      <c r="N53" s="249"/>
      <c r="O53" s="249"/>
    </row>
    <row r="54" spans="2:16">
      <c r="E54" s="295" t="e">
        <f>#REF!+#REF!</f>
        <v>#REF!</v>
      </c>
      <c r="F54" s="295" t="e">
        <f>#REF!+#REF!</f>
        <v>#REF!</v>
      </c>
      <c r="G54" s="295" t="e">
        <f>#REF!+#REF!</f>
        <v>#REF!</v>
      </c>
      <c r="H54" s="295" t="e">
        <f>#REF!+#REF!</f>
        <v>#REF!</v>
      </c>
      <c r="I54" s="295" t="e">
        <f>#REF!+#REF!</f>
        <v>#REF!</v>
      </c>
      <c r="J54" s="295" t="e">
        <f>#REF!+#REF!</f>
        <v>#REF!</v>
      </c>
      <c r="K54" s="295" t="e">
        <f>#REF!+#REF!</f>
        <v>#REF!</v>
      </c>
      <c r="L54" s="295" t="e">
        <f>#REF!+#REF!</f>
        <v>#REF!</v>
      </c>
      <c r="M54" s="295" t="e">
        <f>#REF!+#REF!</f>
        <v>#REF!</v>
      </c>
      <c r="N54" s="295" t="e">
        <f>#REF!+#REF!</f>
        <v>#REF!</v>
      </c>
      <c r="O54" s="295" t="e">
        <f>#REF!+#REF!</f>
        <v>#REF!</v>
      </c>
      <c r="P54" s="295" t="e">
        <f>#REF!+#REF!</f>
        <v>#REF!</v>
      </c>
    </row>
    <row r="55" spans="2:16">
      <c r="J55" s="249"/>
      <c r="K55" s="249"/>
      <c r="L55" s="249"/>
      <c r="M55" s="249"/>
      <c r="N55" s="249"/>
      <c r="O55" s="249"/>
    </row>
    <row r="56" spans="2:16">
      <c r="D56" s="250">
        <v>2012</v>
      </c>
      <c r="E56" s="425">
        <f>10057.5</f>
        <v>10057.5</v>
      </c>
      <c r="G56" s="318">
        <f>E56/12738.6*100</f>
        <v>78.952946163628653</v>
      </c>
      <c r="H56" s="319">
        <f>E56/17820*100</f>
        <v>56.439393939393945</v>
      </c>
      <c r="J56" s="249"/>
      <c r="K56" s="249"/>
      <c r="L56" s="249"/>
      <c r="M56" s="249"/>
      <c r="N56" s="249"/>
      <c r="O56" s="249"/>
    </row>
    <row r="57" spans="2:16">
      <c r="D57" s="250">
        <v>2013</v>
      </c>
      <c r="E57" s="320">
        <f>10057.5+G18+G19</f>
        <v>10105.5</v>
      </c>
      <c r="F57" s="321"/>
      <c r="G57" s="318">
        <f>E57/G16*100</f>
        <v>79.193605266251325</v>
      </c>
      <c r="H57" s="319">
        <f>E57/17820*100</f>
        <v>56.708754208754208</v>
      </c>
      <c r="J57" s="249"/>
      <c r="K57" s="249"/>
      <c r="L57" s="249"/>
      <c r="M57" s="249"/>
      <c r="N57" s="249"/>
      <c r="O57" s="249"/>
    </row>
    <row r="58" spans="2:16">
      <c r="D58" s="250">
        <v>2014</v>
      </c>
      <c r="E58" s="318">
        <f>10222+H18+H19</f>
        <v>10260.300000000001</v>
      </c>
      <c r="F58" s="318"/>
      <c r="G58" s="318">
        <f>E58/H16*100</f>
        <v>80.246990825831588</v>
      </c>
      <c r="H58" s="319">
        <f>E58/17820*100</f>
        <v>57.57744107744108</v>
      </c>
      <c r="J58" s="249"/>
      <c r="K58" s="249"/>
      <c r="L58" s="249"/>
      <c r="M58" s="249"/>
      <c r="N58" s="249"/>
      <c r="O58" s="249"/>
    </row>
    <row r="59" spans="2:16">
      <c r="D59" s="250">
        <v>2015</v>
      </c>
      <c r="E59" s="322">
        <v>10313.043</v>
      </c>
      <c r="F59" s="323"/>
      <c r="G59" s="318">
        <f>E59/I16*100</f>
        <v>80.56120767097606</v>
      </c>
      <c r="H59" s="319">
        <f t="shared" ref="H59:H66" si="18">E59/17820*100</f>
        <v>57.873417508417504</v>
      </c>
      <c r="J59" s="249"/>
      <c r="K59" s="249"/>
      <c r="L59" s="249"/>
      <c r="M59" s="249"/>
      <c r="N59" s="249"/>
      <c r="O59" s="249"/>
    </row>
    <row r="60" spans="2:16">
      <c r="D60" s="250">
        <v>2016</v>
      </c>
      <c r="E60" s="322">
        <v>10316.638999999999</v>
      </c>
      <c r="F60" s="425"/>
      <c r="G60" s="318">
        <f>E60/J16*100</f>
        <v>80.7413010471614</v>
      </c>
      <c r="H60" s="319">
        <f t="shared" si="18"/>
        <v>57.893597081930416</v>
      </c>
      <c r="J60" s="249"/>
      <c r="K60" s="249"/>
      <c r="L60" s="249"/>
      <c r="M60" s="249"/>
      <c r="N60" s="249"/>
      <c r="O60" s="249"/>
    </row>
    <row r="61" spans="2:16">
      <c r="D61" s="250">
        <v>2017</v>
      </c>
      <c r="E61" s="322">
        <f>E60+K18+K19-0.658-1.311</f>
        <v>10353.07</v>
      </c>
      <c r="F61" s="425"/>
      <c r="G61" s="318">
        <f>E61/K16*100</f>
        <v>81.252652681437127</v>
      </c>
      <c r="H61" s="319">
        <f t="shared" si="18"/>
        <v>58.098035914702585</v>
      </c>
      <c r="J61" s="249"/>
      <c r="K61" s="249"/>
      <c r="L61" s="249"/>
      <c r="M61" s="249"/>
      <c r="N61" s="249"/>
      <c r="O61" s="249"/>
    </row>
    <row r="62" spans="2:16">
      <c r="D62" s="250">
        <v>2018</v>
      </c>
      <c r="E62" s="322">
        <f>E61+L18+L19</f>
        <v>10363.27</v>
      </c>
      <c r="F62" s="425"/>
      <c r="G62" s="324">
        <f>E62/L16*100</f>
        <v>81.332704014747023</v>
      </c>
      <c r="H62" s="319">
        <f t="shared" si="18"/>
        <v>58.155274971941637</v>
      </c>
      <c r="J62" s="249"/>
      <c r="K62" s="249"/>
      <c r="L62" s="249"/>
      <c r="M62" s="249"/>
      <c r="N62" s="249"/>
      <c r="O62" s="249"/>
    </row>
    <row r="63" spans="2:16">
      <c r="D63" s="250">
        <v>2019</v>
      </c>
      <c r="E63" s="322">
        <f>E62+M18+M19</f>
        <v>10369.07</v>
      </c>
      <c r="F63" s="325"/>
      <c r="G63" s="324">
        <f>E63/M16*100</f>
        <v>81.378223400354614</v>
      </c>
      <c r="H63" s="319">
        <f t="shared" si="18"/>
        <v>58.187822671155999</v>
      </c>
      <c r="J63" s="249"/>
      <c r="K63" s="249"/>
      <c r="L63" s="249"/>
      <c r="M63" s="249"/>
      <c r="N63" s="249"/>
      <c r="O63" s="249"/>
    </row>
    <row r="64" spans="2:16">
      <c r="D64" s="250">
        <v>2020</v>
      </c>
      <c r="E64" s="322">
        <f>E63+N18+N19</f>
        <v>10431.370000000001</v>
      </c>
      <c r="F64" s="325"/>
      <c r="G64" s="318">
        <f>E64/N16*100</f>
        <v>81.81451266287813</v>
      </c>
      <c r="H64" s="319">
        <f t="shared" si="18"/>
        <v>58.537429854096523</v>
      </c>
      <c r="J64" s="249"/>
      <c r="K64" s="249"/>
      <c r="L64" s="249"/>
      <c r="M64" s="249"/>
      <c r="N64" s="249"/>
      <c r="O64" s="249"/>
    </row>
    <row r="65" spans="4:16">
      <c r="D65" s="250">
        <v>2021</v>
      </c>
      <c r="E65" s="322">
        <f>E64+O18+O19</f>
        <v>10492.17</v>
      </c>
      <c r="F65" s="325"/>
      <c r="G65" s="318">
        <f>E65/O16*100</f>
        <v>82.243641035995978</v>
      </c>
      <c r="H65" s="319">
        <f>E65/17820*100</f>
        <v>58.878619528619524</v>
      </c>
      <c r="J65" s="249"/>
      <c r="K65" s="249"/>
      <c r="L65" s="249"/>
      <c r="M65" s="249"/>
      <c r="N65" s="249"/>
      <c r="O65" s="249"/>
    </row>
    <row r="66" spans="4:16">
      <c r="D66" s="250">
        <v>2022</v>
      </c>
      <c r="E66" s="322">
        <f>E65+P17</f>
        <v>10595.1</v>
      </c>
      <c r="F66" s="325"/>
      <c r="G66" s="318">
        <f>E66/P16*100</f>
        <v>82.98996672913114</v>
      </c>
      <c r="H66" s="319">
        <f t="shared" si="18"/>
        <v>59.456228956228962</v>
      </c>
      <c r="J66" s="249"/>
      <c r="K66" s="249"/>
      <c r="L66" s="249"/>
      <c r="M66" s="249"/>
      <c r="N66" s="249"/>
      <c r="O66" s="249"/>
    </row>
    <row r="67" spans="4:16">
      <c r="J67" s="249"/>
      <c r="K67" s="249"/>
      <c r="L67" s="249"/>
      <c r="M67" s="249"/>
      <c r="N67" s="249"/>
      <c r="O67" s="249"/>
    </row>
    <row r="68" spans="4:16">
      <c r="J68" s="249"/>
      <c r="K68" s="249"/>
      <c r="L68" s="249"/>
      <c r="M68" s="249"/>
      <c r="N68" s="249"/>
      <c r="O68" s="249"/>
    </row>
    <row r="69" spans="4:16">
      <c r="E69" s="287">
        <f t="shared" ref="E69:P69" si="19">E16+E38</f>
        <v>23434.690000000002</v>
      </c>
      <c r="F69" s="287">
        <f t="shared" si="19"/>
        <v>27406.385999999999</v>
      </c>
      <c r="G69" s="287">
        <f t="shared" si="19"/>
        <v>24894.6</v>
      </c>
      <c r="H69" s="287">
        <f t="shared" si="19"/>
        <v>25344.199999999997</v>
      </c>
      <c r="I69" s="287">
        <f t="shared" si="19"/>
        <v>25362.799999999999</v>
      </c>
      <c r="J69" s="287">
        <f t="shared" si="19"/>
        <v>27171.1</v>
      </c>
      <c r="K69" s="287">
        <f t="shared" si="19"/>
        <v>27363.786</v>
      </c>
      <c r="L69" s="287">
        <f t="shared" si="19"/>
        <v>27366.885999999999</v>
      </c>
      <c r="M69" s="287">
        <f t="shared" si="19"/>
        <v>27370.086000000003</v>
      </c>
      <c r="N69" s="287">
        <f t="shared" si="19"/>
        <v>27382.086000000003</v>
      </c>
      <c r="O69" s="287">
        <f t="shared" si="19"/>
        <v>27393.486000000001</v>
      </c>
      <c r="P69" s="287">
        <f t="shared" si="19"/>
        <v>27406.385999999999</v>
      </c>
    </row>
    <row r="70" spans="4:16">
      <c r="J70" s="249"/>
      <c r="K70" s="249"/>
      <c r="L70" s="249"/>
      <c r="M70" s="249"/>
      <c r="N70" s="249"/>
      <c r="O70" s="249"/>
    </row>
    <row r="71" spans="4:16">
      <c r="J71" s="249"/>
      <c r="K71" s="249"/>
      <c r="L71" s="249"/>
      <c r="M71" s="249"/>
      <c r="N71" s="249"/>
      <c r="O71" s="249"/>
    </row>
    <row r="72" spans="4:16">
      <c r="J72" s="249"/>
      <c r="K72" s="249"/>
      <c r="L72" s="249"/>
      <c r="M72" s="249"/>
      <c r="N72" s="249"/>
      <c r="O72" s="249"/>
    </row>
    <row r="73" spans="4:16">
      <c r="J73" s="249"/>
      <c r="K73" s="249"/>
      <c r="L73" s="249"/>
      <c r="M73" s="249"/>
      <c r="N73" s="249"/>
      <c r="O73" s="249"/>
    </row>
    <row r="74" spans="4:16">
      <c r="J74" s="249"/>
      <c r="K74" s="249"/>
      <c r="L74" s="249"/>
      <c r="M74" s="249"/>
      <c r="N74" s="249"/>
      <c r="O74" s="249"/>
    </row>
    <row r="75" spans="4:16">
      <c r="J75" s="249"/>
      <c r="K75" s="249"/>
      <c r="L75" s="249"/>
      <c r="M75" s="249"/>
      <c r="N75" s="249"/>
      <c r="O75" s="249"/>
    </row>
    <row r="76" spans="4:16">
      <c r="J76" s="249"/>
      <c r="K76" s="249"/>
      <c r="L76" s="249"/>
      <c r="M76" s="249"/>
      <c r="N76" s="249"/>
      <c r="O76" s="249"/>
    </row>
    <row r="77" spans="4:16">
      <c r="J77" s="249"/>
      <c r="K77" s="249"/>
      <c r="L77" s="249"/>
      <c r="M77" s="249"/>
      <c r="N77" s="249"/>
      <c r="O77" s="249"/>
    </row>
    <row r="78" spans="4:16">
      <c r="J78" s="249"/>
      <c r="K78" s="249"/>
      <c r="L78" s="249"/>
      <c r="M78" s="249"/>
      <c r="N78" s="249"/>
      <c r="O78" s="249"/>
    </row>
    <row r="79" spans="4:16">
      <c r="J79" s="249"/>
      <c r="K79" s="249"/>
      <c r="L79" s="249"/>
      <c r="M79" s="249"/>
      <c r="N79" s="249"/>
      <c r="O79" s="249"/>
    </row>
    <row r="80" spans="4:16">
      <c r="J80" s="249"/>
      <c r="K80" s="249"/>
      <c r="L80" s="249"/>
      <c r="M80" s="249"/>
      <c r="N80" s="249"/>
      <c r="O80" s="249"/>
    </row>
    <row r="81" spans="10:15">
      <c r="J81" s="249"/>
      <c r="K81" s="249"/>
      <c r="L81" s="249"/>
      <c r="M81" s="249"/>
      <c r="N81" s="249"/>
      <c r="O81" s="249"/>
    </row>
    <row r="82" spans="10:15">
      <c r="J82" s="249"/>
      <c r="K82" s="249"/>
      <c r="L82" s="249"/>
      <c r="M82" s="249"/>
      <c r="N82" s="249"/>
      <c r="O82" s="249"/>
    </row>
    <row r="83" spans="10:15">
      <c r="J83" s="249"/>
      <c r="K83" s="249"/>
      <c r="L83" s="249"/>
      <c r="M83" s="249"/>
      <c r="N83" s="249"/>
      <c r="O83" s="249"/>
    </row>
    <row r="84" spans="10:15">
      <c r="J84" s="249"/>
      <c r="K84" s="249"/>
      <c r="L84" s="249"/>
      <c r="M84" s="249"/>
      <c r="N84" s="249"/>
      <c r="O84" s="249"/>
    </row>
    <row r="85" spans="10:15">
      <c r="J85" s="249"/>
      <c r="K85" s="249"/>
      <c r="L85" s="249"/>
      <c r="M85" s="249"/>
      <c r="N85" s="249"/>
      <c r="O85" s="249"/>
    </row>
    <row r="86" spans="10:15">
      <c r="J86" s="249"/>
      <c r="K86" s="249"/>
      <c r="L86" s="249"/>
      <c r="M86" s="249"/>
      <c r="N86" s="249"/>
      <c r="O86" s="249"/>
    </row>
    <row r="87" spans="10:15">
      <c r="J87" s="249"/>
      <c r="K87" s="249"/>
      <c r="L87" s="249"/>
      <c r="M87" s="249"/>
      <c r="N87" s="249"/>
      <c r="O87" s="249"/>
    </row>
    <row r="88" spans="10:15">
      <c r="J88" s="249"/>
      <c r="K88" s="249"/>
      <c r="L88" s="249"/>
      <c r="M88" s="249"/>
      <c r="N88" s="249"/>
      <c r="O88" s="249"/>
    </row>
    <row r="89" spans="10:15">
      <c r="J89" s="249"/>
      <c r="K89" s="249"/>
      <c r="L89" s="249"/>
      <c r="M89" s="249"/>
      <c r="N89" s="249"/>
      <c r="O89" s="249"/>
    </row>
    <row r="90" spans="10:15">
      <c r="J90" s="249"/>
      <c r="K90" s="249"/>
      <c r="L90" s="249"/>
      <c r="M90" s="249"/>
      <c r="N90" s="249"/>
      <c r="O90" s="249"/>
    </row>
    <row r="91" spans="10:15">
      <c r="J91" s="249"/>
      <c r="K91" s="249"/>
      <c r="L91" s="249"/>
      <c r="M91" s="249"/>
      <c r="N91" s="249"/>
      <c r="O91" s="249"/>
    </row>
    <row r="92" spans="10:15">
      <c r="J92" s="249"/>
      <c r="K92" s="249"/>
      <c r="L92" s="249"/>
      <c r="M92" s="249"/>
      <c r="N92" s="249"/>
      <c r="O92" s="249"/>
    </row>
    <row r="93" spans="10:15">
      <c r="J93" s="249"/>
      <c r="K93" s="249"/>
      <c r="L93" s="249"/>
      <c r="M93" s="249"/>
      <c r="N93" s="249"/>
      <c r="O93" s="249"/>
    </row>
    <row r="94" spans="10:15">
      <c r="J94" s="249"/>
      <c r="K94" s="249"/>
      <c r="L94" s="249"/>
      <c r="M94" s="249"/>
      <c r="N94" s="249"/>
      <c r="O94" s="249"/>
    </row>
    <row r="95" spans="10:15">
      <c r="J95" s="249"/>
      <c r="K95" s="249"/>
      <c r="L95" s="249"/>
      <c r="M95" s="249"/>
      <c r="N95" s="249"/>
      <c r="O95" s="249"/>
    </row>
    <row r="96" spans="10:15">
      <c r="J96" s="249"/>
      <c r="K96" s="249"/>
      <c r="L96" s="249"/>
      <c r="M96" s="249"/>
      <c r="N96" s="249"/>
      <c r="O96" s="249"/>
    </row>
    <row r="97" spans="10:15">
      <c r="J97" s="249"/>
      <c r="K97" s="249"/>
      <c r="L97" s="249"/>
      <c r="M97" s="249"/>
      <c r="N97" s="249"/>
      <c r="O97" s="249"/>
    </row>
    <row r="98" spans="10:15">
      <c r="J98" s="249"/>
      <c r="K98" s="249"/>
      <c r="L98" s="249"/>
      <c r="M98" s="249"/>
      <c r="N98" s="249"/>
      <c r="O98" s="249"/>
    </row>
    <row r="99" spans="10:15">
      <c r="J99" s="249"/>
      <c r="K99" s="249"/>
      <c r="L99" s="249"/>
      <c r="M99" s="249"/>
      <c r="N99" s="249"/>
      <c r="O99" s="249"/>
    </row>
    <row r="100" spans="10:15">
      <c r="J100" s="249"/>
      <c r="K100" s="249"/>
      <c r="L100" s="249"/>
      <c r="M100" s="249"/>
      <c r="N100" s="249"/>
      <c r="O100" s="249"/>
    </row>
    <row r="101" spans="10:15">
      <c r="J101" s="249"/>
      <c r="K101" s="249"/>
      <c r="L101" s="249"/>
      <c r="M101" s="249"/>
      <c r="N101" s="249"/>
      <c r="O101" s="249"/>
    </row>
    <row r="102" spans="10:15">
      <c r="J102" s="249"/>
      <c r="K102" s="249"/>
      <c r="L102" s="249"/>
      <c r="M102" s="249"/>
      <c r="N102" s="249"/>
      <c r="O102" s="249"/>
    </row>
    <row r="103" spans="10:15">
      <c r="J103" s="249"/>
      <c r="K103" s="249"/>
      <c r="L103" s="249"/>
      <c r="M103" s="249"/>
      <c r="N103" s="249"/>
      <c r="O103" s="249"/>
    </row>
    <row r="104" spans="10:15">
      <c r="J104" s="249"/>
      <c r="K104" s="249"/>
      <c r="L104" s="249"/>
      <c r="M104" s="249"/>
      <c r="N104" s="249"/>
      <c r="O104" s="249"/>
    </row>
    <row r="105" spans="10:15">
      <c r="J105" s="249"/>
      <c r="K105" s="249"/>
      <c r="L105" s="249"/>
      <c r="M105" s="249"/>
      <c r="N105" s="249"/>
      <c r="O105" s="249"/>
    </row>
    <row r="106" spans="10:15">
      <c r="J106" s="249"/>
      <c r="K106" s="249"/>
      <c r="L106" s="249"/>
      <c r="M106" s="249"/>
      <c r="N106" s="249"/>
      <c r="O106" s="249"/>
    </row>
    <row r="107" spans="10:15">
      <c r="J107" s="249"/>
      <c r="K107" s="249"/>
      <c r="L107" s="249"/>
      <c r="M107" s="249"/>
      <c r="N107" s="249"/>
      <c r="O107" s="249"/>
    </row>
  </sheetData>
  <mergeCells count="18">
    <mergeCell ref="B9:P9"/>
    <mergeCell ref="K2:P2"/>
    <mergeCell ref="K3:P3"/>
    <mergeCell ref="B6:P6"/>
    <mergeCell ref="B7:P7"/>
    <mergeCell ref="B8:P8"/>
    <mergeCell ref="B49:P49"/>
    <mergeCell ref="B11:B12"/>
    <mergeCell ref="C11:C12"/>
    <mergeCell ref="D11:D12"/>
    <mergeCell ref="E11:E12"/>
    <mergeCell ref="F11:F12"/>
    <mergeCell ref="G11:P11"/>
    <mergeCell ref="B13:P13"/>
    <mergeCell ref="B14:B25"/>
    <mergeCell ref="B26:B40"/>
    <mergeCell ref="B46:P46"/>
    <mergeCell ref="B48:P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4" fitToHeight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1"/>
  <sheetViews>
    <sheetView zoomScale="110" zoomScaleNormal="110" workbookViewId="0">
      <pane xSplit="10" ySplit="3" topLeftCell="K25" activePane="bottomRight" state="frozen"/>
      <selection pane="topRight" activeCell="K1" sqref="K1"/>
      <selection pane="bottomLeft" activeCell="A4" sqref="A4"/>
      <selection pane="bottomRight" activeCell="E27" sqref="E27:E28"/>
    </sheetView>
  </sheetViews>
  <sheetFormatPr defaultRowHeight="14.4"/>
  <cols>
    <col min="1" max="1" width="36.33203125" customWidth="1"/>
    <col min="2" max="2" width="14.88671875" customWidth="1"/>
    <col min="3" max="3" width="15.88671875" customWidth="1"/>
    <col min="4" max="4" width="14.6640625" customWidth="1"/>
    <col min="5" max="5" width="17" customWidth="1"/>
    <col min="6" max="9" width="15.33203125" customWidth="1"/>
    <col min="10" max="10" width="19.6640625" customWidth="1"/>
    <col min="11" max="11" width="17.5546875" customWidth="1"/>
    <col min="13" max="13" width="16.88671875" customWidth="1"/>
    <col min="14" max="14" width="16" customWidth="1"/>
    <col min="15" max="15" width="21.44140625" customWidth="1"/>
    <col min="16" max="16" width="14.6640625" bestFit="1" customWidth="1"/>
    <col min="21" max="21" width="18" customWidth="1"/>
    <col min="26" max="26" width="16.88671875" customWidth="1"/>
    <col min="27" max="27" width="22" customWidth="1"/>
  </cols>
  <sheetData>
    <row r="1" spans="1:27" ht="40.5" customHeight="1" thickBot="1">
      <c r="A1" s="640" t="s">
        <v>563</v>
      </c>
      <c r="B1" s="643" t="s">
        <v>564</v>
      </c>
      <c r="C1" s="644"/>
      <c r="D1" s="644"/>
      <c r="E1" s="644"/>
      <c r="F1" s="644"/>
      <c r="G1" s="644"/>
      <c r="H1" s="644"/>
      <c r="I1" s="644"/>
      <c r="J1" s="645"/>
    </row>
    <row r="2" spans="1:27" ht="15" thickBot="1">
      <c r="A2" s="641"/>
      <c r="B2" s="646" t="s">
        <v>565</v>
      </c>
      <c r="C2" s="643" t="s">
        <v>566</v>
      </c>
      <c r="D2" s="644"/>
      <c r="E2" s="644"/>
      <c r="F2" s="644"/>
      <c r="G2" s="644"/>
      <c r="H2" s="644"/>
      <c r="I2" s="644"/>
      <c r="J2" s="645"/>
    </row>
    <row r="3" spans="1:27" ht="15" thickBot="1">
      <c r="A3" s="642"/>
      <c r="B3" s="647"/>
      <c r="C3" s="326">
        <v>2015</v>
      </c>
      <c r="D3" s="326">
        <v>2016</v>
      </c>
      <c r="E3" s="326">
        <v>2017</v>
      </c>
      <c r="F3" s="326">
        <v>2018</v>
      </c>
      <c r="G3" s="326">
        <v>2019</v>
      </c>
      <c r="H3" s="326">
        <v>2020</v>
      </c>
      <c r="I3" s="326">
        <v>2021</v>
      </c>
      <c r="J3" s="326">
        <v>2022</v>
      </c>
    </row>
    <row r="4" spans="1:27" ht="21.75" customHeight="1" thickBot="1">
      <c r="A4" s="648" t="s">
        <v>567</v>
      </c>
      <c r="B4" s="649"/>
      <c r="C4" s="649"/>
      <c r="D4" s="649"/>
      <c r="E4" s="649"/>
      <c r="F4" s="649"/>
      <c r="G4" s="649"/>
      <c r="H4" s="649"/>
      <c r="I4" s="649"/>
      <c r="J4" s="650"/>
      <c r="M4" s="327" t="s">
        <v>565</v>
      </c>
      <c r="Z4" s="328"/>
    </row>
    <row r="5" spans="1:27" ht="15" thickBot="1">
      <c r="A5" s="329" t="s">
        <v>568</v>
      </c>
      <c r="B5" s="330">
        <f>SUM(C5:J5)</f>
        <v>74110276.019999996</v>
      </c>
      <c r="C5" s="330">
        <f>SUM(C6:C9)</f>
        <v>7389522.1000000006</v>
      </c>
      <c r="D5" s="330">
        <f t="shared" ref="D5:J5" si="0">SUM(D6:D9)</f>
        <v>8542648.9199999999</v>
      </c>
      <c r="E5" s="330">
        <f t="shared" si="0"/>
        <v>9673332</v>
      </c>
      <c r="F5" s="330">
        <f t="shared" si="0"/>
        <v>7922631</v>
      </c>
      <c r="G5" s="330">
        <f t="shared" si="0"/>
        <v>7599923.2000000002</v>
      </c>
      <c r="H5" s="330">
        <f t="shared" si="0"/>
        <v>10764694.999999998</v>
      </c>
      <c r="I5" s="330">
        <f t="shared" si="0"/>
        <v>10995566.399999999</v>
      </c>
      <c r="J5" s="330">
        <f t="shared" si="0"/>
        <v>11221957.399999999</v>
      </c>
      <c r="M5" s="331">
        <f>B5-72919374.8</f>
        <v>1190901.2199999988</v>
      </c>
      <c r="Z5" s="328">
        <v>72919374.799999997</v>
      </c>
      <c r="AA5" s="328">
        <f>B5-Z5</f>
        <v>1190901.2199999988</v>
      </c>
    </row>
    <row r="6" spans="1:27" ht="15" thickBot="1">
      <c r="A6" s="332" t="s">
        <v>569</v>
      </c>
      <c r="B6" s="330">
        <f t="shared" ref="B6:B24" si="1">SUM(C6:J6)</f>
        <v>8666935.5199999996</v>
      </c>
      <c r="C6" s="330">
        <f>C11+C16+C21</f>
        <v>1562163.2000000002</v>
      </c>
      <c r="D6" s="330">
        <f t="shared" ref="D6:J7" si="2">D11+D16+D21</f>
        <v>733434.82</v>
      </c>
      <c r="E6" s="330">
        <f>E11+E16+E21</f>
        <v>1254745.3999999999</v>
      </c>
      <c r="F6" s="330">
        <f t="shared" si="2"/>
        <v>975000</v>
      </c>
      <c r="G6" s="330">
        <f t="shared" si="2"/>
        <v>0</v>
      </c>
      <c r="H6" s="330">
        <f t="shared" si="2"/>
        <v>1380530.7</v>
      </c>
      <c r="I6" s="330">
        <f t="shared" si="2"/>
        <v>1380530.7</v>
      </c>
      <c r="J6" s="330">
        <f t="shared" si="2"/>
        <v>1380530.7</v>
      </c>
      <c r="M6" s="331">
        <f>B6-10917605.7</f>
        <v>-2250670.1799999997</v>
      </c>
      <c r="Z6" s="328">
        <v>10917605.699999999</v>
      </c>
      <c r="AA6" s="328">
        <f t="shared" ref="AA6:AA8" si="3">B6-Z6</f>
        <v>-2250670.1799999997</v>
      </c>
    </row>
    <row r="7" spans="1:27" ht="15" thickBot="1">
      <c r="A7" s="329" t="s">
        <v>570</v>
      </c>
      <c r="B7" s="330">
        <f t="shared" si="1"/>
        <v>64372696.600000001</v>
      </c>
      <c r="C7" s="330">
        <f>C12+C17+C22</f>
        <v>5446414.7000000002</v>
      </c>
      <c r="D7" s="330">
        <f>D12+D17+D22</f>
        <v>7684169.6000000006</v>
      </c>
      <c r="E7" s="330">
        <f>E12+E17+E22</f>
        <v>8270169.5</v>
      </c>
      <c r="F7" s="330">
        <f t="shared" si="2"/>
        <v>6842808.7000000002</v>
      </c>
      <c r="G7" s="330">
        <f t="shared" si="2"/>
        <v>7514438.2999999998</v>
      </c>
      <c r="H7" s="330">
        <f t="shared" si="2"/>
        <v>9313197.1999999993</v>
      </c>
      <c r="I7" s="330">
        <f t="shared" si="2"/>
        <v>9539810.5999999996</v>
      </c>
      <c r="J7" s="330">
        <f t="shared" si="2"/>
        <v>9761688</v>
      </c>
      <c r="M7" s="331">
        <f>B7-61145423.5</f>
        <v>3227273.1000000015</v>
      </c>
      <c r="Z7" s="328">
        <v>61145423.5</v>
      </c>
      <c r="AA7" s="328">
        <f t="shared" si="3"/>
        <v>3227273.1000000015</v>
      </c>
    </row>
    <row r="8" spans="1:27" ht="15" thickBot="1">
      <c r="A8" s="332" t="s">
        <v>571</v>
      </c>
      <c r="B8" s="330">
        <f t="shared" si="1"/>
        <v>1070643.9000000001</v>
      </c>
      <c r="C8" s="330">
        <f>C13+C18+C23</f>
        <v>380944.2</v>
      </c>
      <c r="D8" s="330">
        <f t="shared" ref="D8:J9" si="4">D13+D18+D23</f>
        <v>125044.5</v>
      </c>
      <c r="E8" s="330">
        <f t="shared" si="4"/>
        <v>148417.1</v>
      </c>
      <c r="F8" s="330">
        <f t="shared" si="4"/>
        <v>104822.29999999999</v>
      </c>
      <c r="G8" s="330">
        <f t="shared" si="4"/>
        <v>85484.9</v>
      </c>
      <c r="H8" s="330">
        <f t="shared" si="4"/>
        <v>70967.100000000006</v>
      </c>
      <c r="I8" s="330">
        <f t="shared" si="4"/>
        <v>75225.100000000006</v>
      </c>
      <c r="J8" s="330">
        <f t="shared" si="4"/>
        <v>79738.7</v>
      </c>
      <c r="M8" s="331">
        <f>B8-85634.6</f>
        <v>985009.30000000016</v>
      </c>
      <c r="Z8" s="328">
        <v>856345.59999999998</v>
      </c>
      <c r="AA8" s="328">
        <f t="shared" si="3"/>
        <v>214298.30000000016</v>
      </c>
    </row>
    <row r="9" spans="1:27" ht="15" thickBot="1">
      <c r="A9" s="332" t="s">
        <v>572</v>
      </c>
      <c r="B9" s="330">
        <f t="shared" si="1"/>
        <v>0</v>
      </c>
      <c r="C9" s="330">
        <f>C14+C19+C24</f>
        <v>0</v>
      </c>
      <c r="D9" s="330">
        <f t="shared" si="4"/>
        <v>0</v>
      </c>
      <c r="E9" s="330">
        <f t="shared" si="4"/>
        <v>0</v>
      </c>
      <c r="F9" s="330">
        <f t="shared" si="4"/>
        <v>0</v>
      </c>
      <c r="G9" s="330">
        <f t="shared" si="4"/>
        <v>0</v>
      </c>
      <c r="H9" s="330">
        <f t="shared" si="4"/>
        <v>0</v>
      </c>
      <c r="I9" s="330">
        <f t="shared" si="4"/>
        <v>0</v>
      </c>
      <c r="J9" s="330">
        <f t="shared" si="4"/>
        <v>0</v>
      </c>
    </row>
    <row r="10" spans="1:27" ht="15" thickBot="1">
      <c r="A10" s="333" t="s">
        <v>573</v>
      </c>
      <c r="B10" s="330">
        <f>SUM(C10:J10)</f>
        <v>16975024.719999999</v>
      </c>
      <c r="C10" s="330">
        <f>SUM(C11:C14)</f>
        <v>1721621.6</v>
      </c>
      <c r="D10" s="330">
        <f t="shared" ref="D10:J10" si="5">SUM(D11:D14)</f>
        <v>1219454.52</v>
      </c>
      <c r="E10" s="330">
        <f t="shared" si="5"/>
        <v>1886282.8</v>
      </c>
      <c r="F10" s="330">
        <f t="shared" si="5"/>
        <v>1198809.7999999998</v>
      </c>
      <c r="G10" s="330">
        <f>SUM(G11:G14)</f>
        <v>1095968</v>
      </c>
      <c r="H10" s="330">
        <f t="shared" si="5"/>
        <v>3234078.8000000003</v>
      </c>
      <c r="I10" s="330">
        <f t="shared" si="5"/>
        <v>3284291.8000000003</v>
      </c>
      <c r="J10" s="330">
        <f t="shared" si="5"/>
        <v>3334517.4000000004</v>
      </c>
      <c r="K10" s="331">
        <f>C10+D10+E10+F10+G10+H10+I10+J10</f>
        <v>16975024.719999999</v>
      </c>
    </row>
    <row r="11" spans="1:27" ht="15" thickBot="1">
      <c r="A11" s="332" t="s">
        <v>569</v>
      </c>
      <c r="B11" s="330">
        <f t="shared" si="1"/>
        <v>6497022.7200000007</v>
      </c>
      <c r="C11" s="330">
        <v>1104798.1000000001</v>
      </c>
      <c r="D11" s="330">
        <v>625434.81999999995</v>
      </c>
      <c r="E11" s="330">
        <v>445107.7</v>
      </c>
      <c r="F11" s="330">
        <v>180090</v>
      </c>
      <c r="G11" s="330">
        <v>0</v>
      </c>
      <c r="H11" s="330">
        <v>1380530.7</v>
      </c>
      <c r="I11" s="330">
        <v>1380530.7</v>
      </c>
      <c r="J11" s="330">
        <v>1380530.7</v>
      </c>
    </row>
    <row r="12" spans="1:27" ht="15" thickBot="1">
      <c r="A12" s="329" t="s">
        <v>570</v>
      </c>
      <c r="B12" s="330">
        <f t="shared" si="1"/>
        <v>10114520.300000001</v>
      </c>
      <c r="C12" s="330">
        <v>288964.5</v>
      </c>
      <c r="D12" s="330">
        <v>589700.9</v>
      </c>
      <c r="E12" s="330">
        <f>1429700.5+3474-66.5</f>
        <v>1433108</v>
      </c>
      <c r="F12" s="330">
        <v>1010126.4</v>
      </c>
      <c r="G12" s="330">
        <v>1092620.5</v>
      </c>
      <c r="H12" s="330">
        <v>1850000</v>
      </c>
      <c r="I12" s="330">
        <v>1900000</v>
      </c>
      <c r="J12" s="330">
        <v>1950000</v>
      </c>
    </row>
    <row r="13" spans="1:27" ht="15" thickBot="1">
      <c r="A13" s="332" t="s">
        <v>571</v>
      </c>
      <c r="B13" s="330">
        <f t="shared" si="1"/>
        <v>363481.69999999995</v>
      </c>
      <c r="C13" s="330">
        <v>327859</v>
      </c>
      <c r="D13" s="330">
        <v>4318.8</v>
      </c>
      <c r="E13" s="330">
        <v>8067.1</v>
      </c>
      <c r="F13" s="330">
        <v>8593.4</v>
      </c>
      <c r="G13" s="330">
        <v>3347.5</v>
      </c>
      <c r="H13" s="330">
        <v>3548.1</v>
      </c>
      <c r="I13" s="330">
        <v>3761.1</v>
      </c>
      <c r="J13" s="330">
        <v>3986.7</v>
      </c>
    </row>
    <row r="14" spans="1:27" ht="15" thickBot="1">
      <c r="A14" s="332" t="s">
        <v>572</v>
      </c>
      <c r="B14" s="330">
        <f t="shared" si="1"/>
        <v>0</v>
      </c>
      <c r="C14" s="330">
        <f>C35</f>
        <v>0</v>
      </c>
      <c r="D14" s="330">
        <f t="shared" ref="D14:J14" si="6">D35</f>
        <v>0</v>
      </c>
      <c r="E14" s="330">
        <f t="shared" si="6"/>
        <v>0</v>
      </c>
      <c r="F14" s="330">
        <f t="shared" si="6"/>
        <v>0</v>
      </c>
      <c r="G14" s="330">
        <f t="shared" si="6"/>
        <v>0</v>
      </c>
      <c r="H14" s="330">
        <f t="shared" si="6"/>
        <v>0</v>
      </c>
      <c r="I14" s="330">
        <f t="shared" si="6"/>
        <v>0</v>
      </c>
      <c r="J14" s="330">
        <f t="shared" si="6"/>
        <v>0</v>
      </c>
    </row>
    <row r="15" spans="1:27" ht="15" thickBot="1">
      <c r="A15" s="333" t="s">
        <v>574</v>
      </c>
      <c r="B15" s="330">
        <f>SUM(C15:J15)</f>
        <v>69360</v>
      </c>
      <c r="C15" s="330">
        <f>SUM(C16:C19)</f>
        <v>3000</v>
      </c>
      <c r="D15" s="330">
        <f t="shared" ref="D15:J15" si="7">SUM(D16:D19)</f>
        <v>610</v>
      </c>
      <c r="E15" s="330">
        <f t="shared" si="7"/>
        <v>7750</v>
      </c>
      <c r="F15" s="330">
        <f t="shared" si="7"/>
        <v>13000</v>
      </c>
      <c r="G15" s="330">
        <f t="shared" si="7"/>
        <v>3000</v>
      </c>
      <c r="H15" s="330">
        <f t="shared" si="7"/>
        <v>12000</v>
      </c>
      <c r="I15" s="330">
        <f t="shared" si="7"/>
        <v>14000</v>
      </c>
      <c r="J15" s="330">
        <f t="shared" si="7"/>
        <v>16000</v>
      </c>
    </row>
    <row r="16" spans="1:27" ht="15" thickBot="1">
      <c r="A16" s="332" t="s">
        <v>569</v>
      </c>
      <c r="B16" s="330">
        <f t="shared" si="1"/>
        <v>0</v>
      </c>
      <c r="C16" s="330">
        <f>C37</f>
        <v>0</v>
      </c>
      <c r="D16" s="330">
        <f t="shared" ref="D16:I19" si="8">D37</f>
        <v>0</v>
      </c>
      <c r="E16" s="330">
        <f t="shared" si="8"/>
        <v>0</v>
      </c>
      <c r="F16" s="330">
        <f t="shared" si="8"/>
        <v>0</v>
      </c>
      <c r="G16" s="330">
        <f t="shared" si="8"/>
        <v>0</v>
      </c>
      <c r="H16" s="330">
        <f t="shared" si="8"/>
        <v>0</v>
      </c>
      <c r="I16" s="330">
        <f t="shared" si="8"/>
        <v>0</v>
      </c>
      <c r="J16" s="330">
        <f>J37</f>
        <v>0</v>
      </c>
    </row>
    <row r="17" spans="1:11" ht="15" thickBot="1">
      <c r="A17" s="329" t="s">
        <v>570</v>
      </c>
      <c r="B17" s="330">
        <f t="shared" si="1"/>
        <v>69360</v>
      </c>
      <c r="C17" s="330">
        <f>C38</f>
        <v>3000</v>
      </c>
      <c r="D17" s="330">
        <f t="shared" si="8"/>
        <v>610</v>
      </c>
      <c r="E17" s="330">
        <v>7750</v>
      </c>
      <c r="F17" s="330">
        <f t="shared" si="8"/>
        <v>13000</v>
      </c>
      <c r="G17" s="330">
        <f t="shared" si="8"/>
        <v>3000</v>
      </c>
      <c r="H17" s="330">
        <f t="shared" si="8"/>
        <v>12000</v>
      </c>
      <c r="I17" s="330">
        <f t="shared" si="8"/>
        <v>14000</v>
      </c>
      <c r="J17" s="330">
        <f>J38</f>
        <v>16000</v>
      </c>
    </row>
    <row r="18" spans="1:11" ht="15" thickBot="1">
      <c r="A18" s="332" t="s">
        <v>571</v>
      </c>
      <c r="B18" s="330">
        <f t="shared" si="1"/>
        <v>0</v>
      </c>
      <c r="C18" s="330">
        <f>C39</f>
        <v>0</v>
      </c>
      <c r="D18" s="330">
        <f t="shared" si="8"/>
        <v>0</v>
      </c>
      <c r="E18" s="330">
        <f t="shared" si="8"/>
        <v>0</v>
      </c>
      <c r="F18" s="330">
        <f t="shared" si="8"/>
        <v>0</v>
      </c>
      <c r="G18" s="330">
        <f t="shared" si="8"/>
        <v>0</v>
      </c>
      <c r="H18" s="330">
        <f t="shared" si="8"/>
        <v>0</v>
      </c>
      <c r="I18" s="330">
        <f t="shared" si="8"/>
        <v>0</v>
      </c>
      <c r="J18" s="330">
        <f>J39</f>
        <v>0</v>
      </c>
    </row>
    <row r="19" spans="1:11" ht="15" thickBot="1">
      <c r="A19" s="332" t="s">
        <v>572</v>
      </c>
      <c r="B19" s="330">
        <f t="shared" si="1"/>
        <v>0</v>
      </c>
      <c r="C19" s="330">
        <f>C40</f>
        <v>0</v>
      </c>
      <c r="D19" s="330">
        <f t="shared" si="8"/>
        <v>0</v>
      </c>
      <c r="E19" s="330">
        <f t="shared" si="8"/>
        <v>0</v>
      </c>
      <c r="F19" s="330">
        <f t="shared" si="8"/>
        <v>0</v>
      </c>
      <c r="G19" s="330">
        <f t="shared" si="8"/>
        <v>0</v>
      </c>
      <c r="H19" s="330">
        <f t="shared" si="8"/>
        <v>0</v>
      </c>
      <c r="I19" s="330">
        <f t="shared" si="8"/>
        <v>0</v>
      </c>
      <c r="J19" s="330">
        <f>J40</f>
        <v>0</v>
      </c>
    </row>
    <row r="20" spans="1:11" ht="15" thickBot="1">
      <c r="A20" s="333" t="s">
        <v>575</v>
      </c>
      <c r="B20" s="330">
        <f>SUM(C20:J20)</f>
        <v>57065891.300000004</v>
      </c>
      <c r="C20" s="330">
        <f>SUM(C21:C24)</f>
        <v>5664900.5</v>
      </c>
      <c r="D20" s="330">
        <f t="shared" ref="D20:J20" si="9">SUM(D21:D24)</f>
        <v>7322584.4000000004</v>
      </c>
      <c r="E20" s="330">
        <f t="shared" si="9"/>
        <v>7779299.2000000002</v>
      </c>
      <c r="F20" s="330">
        <f t="shared" si="9"/>
        <v>6710821.2000000002</v>
      </c>
      <c r="G20" s="330">
        <f t="shared" si="9"/>
        <v>6500955.2000000002</v>
      </c>
      <c r="H20" s="330">
        <f t="shared" si="9"/>
        <v>7518616.2000000002</v>
      </c>
      <c r="I20" s="330">
        <f t="shared" si="9"/>
        <v>7697274.5999999996</v>
      </c>
      <c r="J20" s="330">
        <f t="shared" si="9"/>
        <v>7871440</v>
      </c>
    </row>
    <row r="21" spans="1:11" ht="15" thickBot="1">
      <c r="A21" s="332" t="s">
        <v>569</v>
      </c>
      <c r="B21" s="330">
        <f t="shared" si="1"/>
        <v>2169912.7999999998</v>
      </c>
      <c r="C21" s="330">
        <v>457365.1</v>
      </c>
      <c r="D21" s="330">
        <v>108000</v>
      </c>
      <c r="E21" s="330">
        <v>809637.7</v>
      </c>
      <c r="F21" s="330">
        <v>794910</v>
      </c>
      <c r="G21" s="330">
        <v>0</v>
      </c>
      <c r="H21" s="330">
        <v>0</v>
      </c>
      <c r="I21" s="330">
        <v>0</v>
      </c>
      <c r="J21" s="330">
        <v>0</v>
      </c>
    </row>
    <row r="22" spans="1:11" ht="15" thickBot="1">
      <c r="A22" s="329" t="s">
        <v>570</v>
      </c>
      <c r="B22" s="330">
        <f t="shared" si="1"/>
        <v>54188816.300000004</v>
      </c>
      <c r="C22" s="330">
        <v>5154450.2</v>
      </c>
      <c r="D22" s="330">
        <v>7093858.7000000002</v>
      </c>
      <c r="E22" s="330">
        <f>6809245.1+20000+66.4</f>
        <v>6829311.5</v>
      </c>
      <c r="F22" s="330">
        <v>5819682.2999999998</v>
      </c>
      <c r="G22" s="330">
        <v>6418817.7999999998</v>
      </c>
      <c r="H22" s="330">
        <v>7451197.2000000002</v>
      </c>
      <c r="I22" s="330">
        <v>7625810.5999999996</v>
      </c>
      <c r="J22" s="330">
        <v>7795688</v>
      </c>
    </row>
    <row r="23" spans="1:11" ht="15" thickBot="1">
      <c r="A23" s="332" t="s">
        <v>571</v>
      </c>
      <c r="B23" s="330">
        <f t="shared" si="1"/>
        <v>707162.20000000007</v>
      </c>
      <c r="C23" s="330">
        <v>53085.2</v>
      </c>
      <c r="D23" s="330">
        <v>120725.7</v>
      </c>
      <c r="E23" s="330">
        <f>139297.4+1052.6</f>
        <v>140350</v>
      </c>
      <c r="F23" s="330">
        <v>96228.9</v>
      </c>
      <c r="G23" s="330">
        <v>82137.399999999994</v>
      </c>
      <c r="H23" s="330">
        <v>67419</v>
      </c>
      <c r="I23" s="330">
        <v>71464</v>
      </c>
      <c r="J23" s="330">
        <v>75752</v>
      </c>
    </row>
    <row r="24" spans="1:11" ht="15" thickBot="1">
      <c r="A24" s="332" t="s">
        <v>572</v>
      </c>
      <c r="B24" s="330">
        <f t="shared" si="1"/>
        <v>0</v>
      </c>
      <c r="C24" s="330">
        <f>C45</f>
        <v>0</v>
      </c>
      <c r="D24" s="330">
        <f t="shared" ref="D24:J24" si="10">D45</f>
        <v>0</v>
      </c>
      <c r="E24" s="330">
        <f t="shared" si="10"/>
        <v>0</v>
      </c>
      <c r="F24" s="330">
        <f t="shared" si="10"/>
        <v>0</v>
      </c>
      <c r="G24" s="330">
        <f t="shared" si="10"/>
        <v>0</v>
      </c>
      <c r="H24" s="330">
        <f t="shared" si="10"/>
        <v>0</v>
      </c>
      <c r="I24" s="330">
        <f t="shared" si="10"/>
        <v>0</v>
      </c>
      <c r="J24" s="330">
        <f t="shared" si="10"/>
        <v>0</v>
      </c>
    </row>
    <row r="25" spans="1:11" ht="20.25" customHeight="1" thickBot="1">
      <c r="A25" s="637" t="s">
        <v>576</v>
      </c>
      <c r="B25" s="638"/>
      <c r="C25" s="638"/>
      <c r="D25" s="638"/>
      <c r="E25" s="638"/>
      <c r="F25" s="638"/>
      <c r="G25" s="638"/>
      <c r="H25" s="638"/>
      <c r="I25" s="638"/>
      <c r="J25" s="639"/>
    </row>
    <row r="26" spans="1:11" ht="15" thickBot="1">
      <c r="A26" s="329" t="s">
        <v>568</v>
      </c>
      <c r="B26" s="330">
        <f t="shared" ref="B26:B45" si="11">SUM(C26:J26)</f>
        <v>74110276.019999996</v>
      </c>
      <c r="C26" s="330">
        <f>SUM(C27:C30)</f>
        <v>7389522.1000000006</v>
      </c>
      <c r="D26" s="330">
        <f t="shared" ref="D26:I26" si="12">SUM(D27:D30)</f>
        <v>8542648.9199999999</v>
      </c>
      <c r="E26" s="330">
        <f t="shared" si="12"/>
        <v>9673332</v>
      </c>
      <c r="F26" s="330">
        <f t="shared" si="12"/>
        <v>7922631</v>
      </c>
      <c r="G26" s="330">
        <f t="shared" si="12"/>
        <v>7599923.2000000002</v>
      </c>
      <c r="H26" s="330">
        <f t="shared" si="12"/>
        <v>10764694.999999998</v>
      </c>
      <c r="I26" s="330">
        <f t="shared" si="12"/>
        <v>10995566.399999999</v>
      </c>
      <c r="J26" s="330">
        <f>SUM(J27:J30)</f>
        <v>11221957.399999999</v>
      </c>
    </row>
    <row r="27" spans="1:11" ht="15" thickBot="1">
      <c r="A27" s="332" t="s">
        <v>569</v>
      </c>
      <c r="B27" s="330">
        <f t="shared" si="11"/>
        <v>8666935.5199999996</v>
      </c>
      <c r="C27" s="330">
        <f>C32+C37+C42</f>
        <v>1562163.2000000002</v>
      </c>
      <c r="D27" s="330">
        <f t="shared" ref="D27:J28" si="13">D32+D37+D42</f>
        <v>733434.82</v>
      </c>
      <c r="E27" s="330">
        <f t="shared" si="13"/>
        <v>1254745.3999999999</v>
      </c>
      <c r="F27" s="330">
        <f>F32+F37+F42</f>
        <v>975000</v>
      </c>
      <c r="G27" s="330">
        <f t="shared" si="13"/>
        <v>0</v>
      </c>
      <c r="H27" s="330">
        <f t="shared" si="13"/>
        <v>1380530.7</v>
      </c>
      <c r="I27" s="330">
        <f t="shared" si="13"/>
        <v>1380530.7</v>
      </c>
      <c r="J27" s="330">
        <f t="shared" si="13"/>
        <v>1380530.7</v>
      </c>
    </row>
    <row r="28" spans="1:11" ht="15" thickBot="1">
      <c r="A28" s="329" t="s">
        <v>570</v>
      </c>
      <c r="B28" s="330">
        <f t="shared" si="11"/>
        <v>64372696.600000001</v>
      </c>
      <c r="C28" s="330">
        <f>C33+C38+C43</f>
        <v>5446414.7000000002</v>
      </c>
      <c r="D28" s="330">
        <f>D33+D38+D43</f>
        <v>7684169.6000000006</v>
      </c>
      <c r="E28" s="330">
        <f>E33+E38+E43</f>
        <v>8270169.5</v>
      </c>
      <c r="F28" s="330">
        <f t="shared" si="13"/>
        <v>6842808.7000000002</v>
      </c>
      <c r="G28" s="330">
        <f t="shared" si="13"/>
        <v>7514438.2999999998</v>
      </c>
      <c r="H28" s="330">
        <f t="shared" si="13"/>
        <v>9313197.1999999993</v>
      </c>
      <c r="I28" s="330">
        <f t="shared" si="13"/>
        <v>9539810.5999999996</v>
      </c>
      <c r="J28" s="330">
        <f t="shared" si="13"/>
        <v>9761688</v>
      </c>
    </row>
    <row r="29" spans="1:11" ht="15" thickBot="1">
      <c r="A29" s="332" t="s">
        <v>571</v>
      </c>
      <c r="B29" s="330">
        <f t="shared" si="11"/>
        <v>1070643.9000000001</v>
      </c>
      <c r="C29" s="330">
        <f>C34+C39+C44</f>
        <v>380944.2</v>
      </c>
      <c r="D29" s="330">
        <f t="shared" ref="D29:J30" si="14">D34+D39+D44</f>
        <v>125044.5</v>
      </c>
      <c r="E29" s="330">
        <f t="shared" si="14"/>
        <v>148417.1</v>
      </c>
      <c r="F29" s="330">
        <f t="shared" si="14"/>
        <v>104822.29999999999</v>
      </c>
      <c r="G29" s="330">
        <f t="shared" si="14"/>
        <v>85484.9</v>
      </c>
      <c r="H29" s="330">
        <f t="shared" si="14"/>
        <v>70967.100000000006</v>
      </c>
      <c r="I29" s="330">
        <f t="shared" si="14"/>
        <v>75225.100000000006</v>
      </c>
      <c r="J29" s="330">
        <f t="shared" si="14"/>
        <v>79738.7</v>
      </c>
    </row>
    <row r="30" spans="1:11" ht="15" thickBot="1">
      <c r="A30" s="332" t="s">
        <v>572</v>
      </c>
      <c r="B30" s="330">
        <f t="shared" si="11"/>
        <v>0</v>
      </c>
      <c r="C30" s="330">
        <f>C35+C40+C45</f>
        <v>0</v>
      </c>
      <c r="D30" s="330">
        <f t="shared" si="14"/>
        <v>0</v>
      </c>
      <c r="E30" s="330">
        <f t="shared" si="14"/>
        <v>0</v>
      </c>
      <c r="F30" s="330">
        <f t="shared" si="14"/>
        <v>0</v>
      </c>
      <c r="G30" s="330">
        <f t="shared" si="14"/>
        <v>0</v>
      </c>
      <c r="H30" s="330">
        <f t="shared" si="14"/>
        <v>0</v>
      </c>
      <c r="I30" s="330">
        <f t="shared" si="14"/>
        <v>0</v>
      </c>
      <c r="J30" s="330">
        <f t="shared" si="14"/>
        <v>0</v>
      </c>
    </row>
    <row r="31" spans="1:11" ht="19.5" customHeight="1" thickBot="1">
      <c r="A31" s="329" t="s">
        <v>573</v>
      </c>
      <c r="B31" s="330">
        <f>SUM(C31:J31)</f>
        <v>16975024.719999999</v>
      </c>
      <c r="C31" s="330">
        <f>SUM(C32:C35)</f>
        <v>1721621.6</v>
      </c>
      <c r="D31" s="330">
        <f t="shared" ref="D31:J31" si="15">SUM(D32:D35)</f>
        <v>1219454.52</v>
      </c>
      <c r="E31" s="330">
        <f t="shared" si="15"/>
        <v>1886282.8</v>
      </c>
      <c r="F31" s="330">
        <f>SUM(F32:F35)</f>
        <v>1198809.7999999998</v>
      </c>
      <c r="G31" s="330">
        <f>SUM(G32:G35)</f>
        <v>1095968</v>
      </c>
      <c r="H31" s="330">
        <f>SUM(H32:H35)</f>
        <v>3234078.8000000003</v>
      </c>
      <c r="I31" s="330">
        <f t="shared" si="15"/>
        <v>3284291.8000000003</v>
      </c>
      <c r="J31" s="330">
        <f t="shared" si="15"/>
        <v>3334517.4000000004</v>
      </c>
      <c r="K31" s="331">
        <f>C31+D31+E31+F31+G31+H31+I31+J31</f>
        <v>16975024.719999999</v>
      </c>
    </row>
    <row r="32" spans="1:11" ht="15" thickBot="1">
      <c r="A32" s="332" t="s">
        <v>569</v>
      </c>
      <c r="B32" s="330">
        <f>SUM(C32:J32)</f>
        <v>6497022.7200000007</v>
      </c>
      <c r="C32" s="330">
        <v>1104798.1000000001</v>
      </c>
      <c r="D32" s="330">
        <v>625434.81999999995</v>
      </c>
      <c r="E32" s="330">
        <v>445107.7</v>
      </c>
      <c r="F32" s="330">
        <v>180090</v>
      </c>
      <c r="G32" s="330">
        <v>0</v>
      </c>
      <c r="H32" s="330">
        <v>1380530.7</v>
      </c>
      <c r="I32" s="330">
        <v>1380530.7</v>
      </c>
      <c r="J32" s="330">
        <v>1380530.7</v>
      </c>
    </row>
    <row r="33" spans="1:11" ht="15" thickBot="1">
      <c r="A33" s="329" t="s">
        <v>570</v>
      </c>
      <c r="B33" s="330">
        <f>SUM(C33:J33)</f>
        <v>10114520.300000001</v>
      </c>
      <c r="C33" s="330">
        <v>288964.5</v>
      </c>
      <c r="D33" s="330">
        <v>589700.9</v>
      </c>
      <c r="E33" s="330">
        <f>1429700.5+3474-66.5</f>
        <v>1433108</v>
      </c>
      <c r="F33" s="330">
        <v>1010126.4</v>
      </c>
      <c r="G33" s="330">
        <v>1092620.5</v>
      </c>
      <c r="H33" s="330">
        <v>1850000</v>
      </c>
      <c r="I33" s="330">
        <v>1900000</v>
      </c>
      <c r="J33" s="330">
        <v>1950000</v>
      </c>
    </row>
    <row r="34" spans="1:11" ht="15" thickBot="1">
      <c r="A34" s="332" t="s">
        <v>571</v>
      </c>
      <c r="B34" s="330">
        <f t="shared" si="11"/>
        <v>363481.69999999995</v>
      </c>
      <c r="C34" s="330">
        <v>327859</v>
      </c>
      <c r="D34" s="330">
        <v>4318.8</v>
      </c>
      <c r="E34" s="330">
        <v>8067.1</v>
      </c>
      <c r="F34" s="330">
        <v>8593.4</v>
      </c>
      <c r="G34" s="330">
        <v>3347.5</v>
      </c>
      <c r="H34" s="330">
        <v>3548.1</v>
      </c>
      <c r="I34" s="330">
        <v>3761.1</v>
      </c>
      <c r="J34" s="330">
        <v>3986.7</v>
      </c>
    </row>
    <row r="35" spans="1:11" ht="15" thickBot="1">
      <c r="A35" s="332" t="s">
        <v>572</v>
      </c>
      <c r="B35" s="330">
        <f t="shared" si="11"/>
        <v>0</v>
      </c>
      <c r="C35" s="330">
        <f>C56</f>
        <v>0</v>
      </c>
      <c r="D35" s="330">
        <f t="shared" ref="D35:J35" si="16">D56</f>
        <v>0</v>
      </c>
      <c r="E35" s="330">
        <f>E56</f>
        <v>0</v>
      </c>
      <c r="F35" s="330">
        <f t="shared" si="16"/>
        <v>0</v>
      </c>
      <c r="G35" s="330">
        <f t="shared" si="16"/>
        <v>0</v>
      </c>
      <c r="H35" s="330">
        <f t="shared" si="16"/>
        <v>0</v>
      </c>
      <c r="I35" s="330">
        <f t="shared" si="16"/>
        <v>0</v>
      </c>
      <c r="J35" s="330">
        <f t="shared" si="16"/>
        <v>0</v>
      </c>
    </row>
    <row r="36" spans="1:11" ht="15" thickBot="1">
      <c r="A36" s="332" t="s">
        <v>574</v>
      </c>
      <c r="B36" s="330">
        <f>SUM(C36:J36)</f>
        <v>69360</v>
      </c>
      <c r="C36" s="330">
        <f>SUM(C37:C40)</f>
        <v>3000</v>
      </c>
      <c r="D36" s="330">
        <f t="shared" ref="D36:J36" si="17">SUM(D37:D40)</f>
        <v>610</v>
      </c>
      <c r="E36" s="330">
        <f t="shared" si="17"/>
        <v>7750</v>
      </c>
      <c r="F36" s="330">
        <f t="shared" si="17"/>
        <v>13000</v>
      </c>
      <c r="G36" s="330">
        <f t="shared" si="17"/>
        <v>3000</v>
      </c>
      <c r="H36" s="330">
        <f t="shared" si="17"/>
        <v>12000</v>
      </c>
      <c r="I36" s="330">
        <f>SUM(I37:I40)</f>
        <v>14000</v>
      </c>
      <c r="J36" s="330">
        <f t="shared" si="17"/>
        <v>16000</v>
      </c>
      <c r="K36" s="331">
        <f>7684169.6-D38-D33</f>
        <v>7093858.6999999993</v>
      </c>
    </row>
    <row r="37" spans="1:11" ht="15" thickBot="1">
      <c r="A37" s="332" t="s">
        <v>569</v>
      </c>
      <c r="B37" s="330">
        <f t="shared" si="11"/>
        <v>0</v>
      </c>
      <c r="C37" s="330">
        <v>0</v>
      </c>
      <c r="D37" s="330">
        <v>0</v>
      </c>
      <c r="E37" s="330">
        <v>0</v>
      </c>
      <c r="F37" s="330">
        <v>0</v>
      </c>
      <c r="G37" s="330">
        <v>0</v>
      </c>
      <c r="H37" s="330">
        <v>0</v>
      </c>
      <c r="I37" s="330">
        <v>0</v>
      </c>
      <c r="J37" s="330">
        <v>0</v>
      </c>
    </row>
    <row r="38" spans="1:11" ht="15" thickBot="1">
      <c r="A38" s="329" t="s">
        <v>570</v>
      </c>
      <c r="B38" s="330">
        <f t="shared" si="11"/>
        <v>69360</v>
      </c>
      <c r="C38" s="330">
        <v>3000</v>
      </c>
      <c r="D38" s="330">
        <v>610</v>
      </c>
      <c r="E38" s="330">
        <v>7750</v>
      </c>
      <c r="F38" s="330">
        <v>13000</v>
      </c>
      <c r="G38" s="330">
        <v>3000</v>
      </c>
      <c r="H38" s="330">
        <v>12000</v>
      </c>
      <c r="I38" s="330">
        <v>14000</v>
      </c>
      <c r="J38" s="330">
        <v>16000</v>
      </c>
    </row>
    <row r="39" spans="1:11" ht="15" thickBot="1">
      <c r="A39" s="332" t="s">
        <v>571</v>
      </c>
      <c r="B39" s="330">
        <f t="shared" si="11"/>
        <v>0</v>
      </c>
      <c r="C39" s="330">
        <v>0</v>
      </c>
      <c r="D39" s="330">
        <v>0</v>
      </c>
      <c r="E39" s="330">
        <v>0</v>
      </c>
      <c r="F39" s="330">
        <v>0</v>
      </c>
      <c r="G39" s="330">
        <v>0</v>
      </c>
      <c r="H39" s="330">
        <v>0</v>
      </c>
      <c r="I39" s="330">
        <v>0</v>
      </c>
      <c r="J39" s="330">
        <v>0</v>
      </c>
    </row>
    <row r="40" spans="1:11" ht="15" thickBot="1">
      <c r="A40" s="332" t="s">
        <v>572</v>
      </c>
      <c r="B40" s="330">
        <f t="shared" si="11"/>
        <v>0</v>
      </c>
      <c r="C40" s="330">
        <v>0</v>
      </c>
      <c r="D40" s="330">
        <v>0</v>
      </c>
      <c r="E40" s="330">
        <v>0</v>
      </c>
      <c r="F40" s="330">
        <v>0</v>
      </c>
      <c r="G40" s="330">
        <v>0</v>
      </c>
      <c r="H40" s="330">
        <v>0</v>
      </c>
      <c r="I40" s="330">
        <v>0</v>
      </c>
      <c r="J40" s="330">
        <v>0</v>
      </c>
    </row>
    <row r="41" spans="1:11" ht="15" thickBot="1">
      <c r="A41" s="329" t="s">
        <v>575</v>
      </c>
      <c r="B41" s="330">
        <f t="shared" si="11"/>
        <v>57065891.300000004</v>
      </c>
      <c r="C41" s="330">
        <f>SUM(C42:C45)</f>
        <v>5664900.5</v>
      </c>
      <c r="D41" s="330">
        <f t="shared" ref="D41:J41" si="18">SUM(D42:D45)</f>
        <v>7322584.4000000004</v>
      </c>
      <c r="E41" s="330">
        <f t="shared" si="18"/>
        <v>7779299.2000000002</v>
      </c>
      <c r="F41" s="330">
        <f t="shared" si="18"/>
        <v>6710821.2000000002</v>
      </c>
      <c r="G41" s="330">
        <f t="shared" si="18"/>
        <v>6500955.2000000002</v>
      </c>
      <c r="H41" s="330">
        <f t="shared" si="18"/>
        <v>7518616.2000000002</v>
      </c>
      <c r="I41" s="330">
        <f t="shared" si="18"/>
        <v>7697274.5999999996</v>
      </c>
      <c r="J41" s="330">
        <f t="shared" si="18"/>
        <v>7871440</v>
      </c>
    </row>
    <row r="42" spans="1:11" ht="15" thickBot="1">
      <c r="A42" s="332" t="s">
        <v>569</v>
      </c>
      <c r="B42" s="330">
        <f t="shared" si="11"/>
        <v>2169912.7999999998</v>
      </c>
      <c r="C42" s="330">
        <v>457365.1</v>
      </c>
      <c r="D42" s="330">
        <v>108000</v>
      </c>
      <c r="E42" s="330">
        <v>809637.7</v>
      </c>
      <c r="F42" s="330">
        <v>794910</v>
      </c>
      <c r="G42" s="330">
        <v>0</v>
      </c>
      <c r="H42" s="330">
        <v>0</v>
      </c>
      <c r="I42" s="330">
        <v>0</v>
      </c>
      <c r="J42" s="330">
        <v>0</v>
      </c>
    </row>
    <row r="43" spans="1:11" ht="15" thickBot="1">
      <c r="A43" s="329" t="s">
        <v>570</v>
      </c>
      <c r="B43" s="330">
        <f t="shared" si="11"/>
        <v>54188816.300000004</v>
      </c>
      <c r="C43" s="330">
        <v>5154450.2</v>
      </c>
      <c r="D43" s="330">
        <v>7093858.7000000002</v>
      </c>
      <c r="E43" s="330">
        <f>6809245.1+20000+66.4</f>
        <v>6829311.5</v>
      </c>
      <c r="F43" s="330">
        <v>5819682.2999999998</v>
      </c>
      <c r="G43" s="330">
        <v>6418817.7999999998</v>
      </c>
      <c r="H43" s="330">
        <v>7451197.2000000002</v>
      </c>
      <c r="I43" s="330">
        <v>7625810.5999999996</v>
      </c>
      <c r="J43" s="330">
        <v>7795688</v>
      </c>
    </row>
    <row r="44" spans="1:11" ht="15" thickBot="1">
      <c r="A44" s="332" t="s">
        <v>571</v>
      </c>
      <c r="B44" s="330">
        <f t="shared" si="11"/>
        <v>707162.20000000007</v>
      </c>
      <c r="C44" s="330">
        <v>53085.2</v>
      </c>
      <c r="D44" s="330">
        <v>120725.7</v>
      </c>
      <c r="E44" s="330">
        <f>139297.4+1052.6</f>
        <v>140350</v>
      </c>
      <c r="F44" s="330">
        <v>96228.9</v>
      </c>
      <c r="G44" s="330">
        <v>82137.399999999994</v>
      </c>
      <c r="H44" s="330">
        <v>67419</v>
      </c>
      <c r="I44" s="330">
        <v>71464</v>
      </c>
      <c r="J44" s="330">
        <v>75752</v>
      </c>
    </row>
    <row r="45" spans="1:11" ht="15" thickBot="1">
      <c r="A45" s="332" t="s">
        <v>572</v>
      </c>
      <c r="B45" s="330">
        <f t="shared" si="11"/>
        <v>0</v>
      </c>
      <c r="C45" s="330">
        <v>0</v>
      </c>
      <c r="D45" s="330">
        <v>0</v>
      </c>
      <c r="E45" s="330">
        <v>0</v>
      </c>
      <c r="F45" s="330">
        <v>0</v>
      </c>
      <c r="G45" s="330">
        <v>0</v>
      </c>
      <c r="H45" s="330">
        <v>0</v>
      </c>
      <c r="I45" s="330">
        <v>0</v>
      </c>
      <c r="J45" s="330">
        <v>0</v>
      </c>
    </row>
    <row r="46" spans="1:11" ht="50.25" customHeight="1" thickBot="1">
      <c r="A46" s="329" t="s">
        <v>577</v>
      </c>
      <c r="B46" s="330">
        <f>SUM(C46:J46)</f>
        <v>4568153.8</v>
      </c>
      <c r="C46" s="330">
        <v>533688</v>
      </c>
      <c r="D46" s="330">
        <v>560906</v>
      </c>
      <c r="E46" s="330">
        <v>527465.6</v>
      </c>
      <c r="F46" s="330">
        <v>519173</v>
      </c>
      <c r="G46" s="330">
        <v>584439.69999999995</v>
      </c>
      <c r="H46" s="330">
        <v>607817.30000000005</v>
      </c>
      <c r="I46" s="330">
        <v>614138.6</v>
      </c>
      <c r="J46" s="330">
        <v>620525.6</v>
      </c>
    </row>
    <row r="47" spans="1:11">
      <c r="A47" s="429" t="s">
        <v>578</v>
      </c>
      <c r="B47" s="631">
        <f>SUM(C47:J48)</f>
        <v>8666935.5199999996</v>
      </c>
      <c r="C47" s="631">
        <f>SUM(C50:C53)</f>
        <v>1562163.2000000002</v>
      </c>
      <c r="D47" s="631">
        <f t="shared" ref="D47:J47" si="19">SUM(D50:D53)</f>
        <v>733434.82</v>
      </c>
      <c r="E47" s="631">
        <f t="shared" si="19"/>
        <v>1254745.3999999999</v>
      </c>
      <c r="F47" s="631">
        <f t="shared" si="19"/>
        <v>975000</v>
      </c>
      <c r="G47" s="631">
        <f t="shared" si="19"/>
        <v>0</v>
      </c>
      <c r="H47" s="631">
        <f t="shared" si="19"/>
        <v>1380530.7</v>
      </c>
      <c r="I47" s="631">
        <f t="shared" si="19"/>
        <v>1380530.7</v>
      </c>
      <c r="J47" s="631">
        <f t="shared" si="19"/>
        <v>1380530.7</v>
      </c>
    </row>
    <row r="48" spans="1:11" ht="68.25" customHeight="1" thickBot="1">
      <c r="A48" s="428" t="s">
        <v>579</v>
      </c>
      <c r="B48" s="632"/>
      <c r="C48" s="632"/>
      <c r="D48" s="632"/>
      <c r="E48" s="632"/>
      <c r="F48" s="632"/>
      <c r="G48" s="632"/>
      <c r="H48" s="632"/>
      <c r="I48" s="632"/>
      <c r="J48" s="632"/>
    </row>
    <row r="49" spans="1:21" s="334" customFormat="1" ht="15" hidden="1" thickBot="1">
      <c r="A49" s="329" t="s">
        <v>31</v>
      </c>
      <c r="B49" s="330">
        <f>SUM(C49:J49)</f>
        <v>8666935.5199999996</v>
      </c>
      <c r="C49" s="330">
        <f>SUM(C50:C53)</f>
        <v>1562163.2000000002</v>
      </c>
      <c r="D49" s="330">
        <f>SUM(D50:D53)</f>
        <v>733434.82</v>
      </c>
      <c r="E49" s="330">
        <f t="shared" ref="E49:J49" si="20">SUM(E50:E53)</f>
        <v>1254745.3999999999</v>
      </c>
      <c r="F49" s="330">
        <f t="shared" si="20"/>
        <v>975000</v>
      </c>
      <c r="G49" s="330">
        <f t="shared" si="20"/>
        <v>0</v>
      </c>
      <c r="H49" s="330">
        <f t="shared" si="20"/>
        <v>1380530.7</v>
      </c>
      <c r="I49" s="330">
        <f t="shared" si="20"/>
        <v>1380530.7</v>
      </c>
      <c r="J49" s="330">
        <f t="shared" si="20"/>
        <v>1380530.7</v>
      </c>
    </row>
    <row r="50" spans="1:21" ht="133.5" customHeight="1" thickBot="1">
      <c r="A50" s="332" t="s">
        <v>580</v>
      </c>
      <c r="B50" s="330">
        <f>SUM(C50:J50)</f>
        <v>453331.80000000005</v>
      </c>
      <c r="C50" s="330">
        <v>95879.3</v>
      </c>
      <c r="D50" s="330">
        <v>60969.599999999999</v>
      </c>
      <c r="E50" s="330">
        <v>296482.90000000002</v>
      </c>
      <c r="F50" s="330">
        <v>0</v>
      </c>
      <c r="G50" s="330">
        <v>0</v>
      </c>
      <c r="H50" s="330">
        <v>0</v>
      </c>
      <c r="I50" s="330">
        <v>0</v>
      </c>
      <c r="J50" s="330">
        <v>0</v>
      </c>
    </row>
    <row r="51" spans="1:21" ht="108.75" customHeight="1" thickBot="1">
      <c r="A51" s="332" t="s">
        <v>581</v>
      </c>
      <c r="B51" s="330">
        <f t="shared" ref="B51:B53" si="21">SUM(C51:J51)</f>
        <v>5720768.6200000001</v>
      </c>
      <c r="C51" s="330">
        <v>1008918.8</v>
      </c>
      <c r="D51" s="330">
        <v>564465.22</v>
      </c>
      <c r="E51" s="330">
        <v>5792.5</v>
      </c>
      <c r="F51" s="330"/>
      <c r="G51" s="330"/>
      <c r="H51" s="330">
        <v>1380530.7</v>
      </c>
      <c r="I51" s="330">
        <v>1380530.7</v>
      </c>
      <c r="J51" s="330">
        <v>1380530.7</v>
      </c>
    </row>
    <row r="52" spans="1:21" ht="85.5" customHeight="1" thickBot="1">
      <c r="A52" s="332" t="s">
        <v>582</v>
      </c>
      <c r="B52" s="330">
        <f t="shared" si="21"/>
        <v>565365.1</v>
      </c>
      <c r="C52" s="330">
        <v>457365.1</v>
      </c>
      <c r="D52" s="330">
        <v>108000</v>
      </c>
      <c r="E52" s="330">
        <v>0</v>
      </c>
      <c r="F52" s="330">
        <v>0</v>
      </c>
      <c r="G52" s="330">
        <v>0</v>
      </c>
      <c r="H52" s="330">
        <v>0</v>
      </c>
      <c r="I52" s="330">
        <v>0</v>
      </c>
      <c r="J52" s="330">
        <v>0</v>
      </c>
    </row>
    <row r="53" spans="1:21" ht="120.75" customHeight="1" thickBot="1">
      <c r="A53" s="335" t="s">
        <v>657</v>
      </c>
      <c r="B53" s="330">
        <f t="shared" si="21"/>
        <v>1927470</v>
      </c>
      <c r="C53" s="330"/>
      <c r="D53" s="330"/>
      <c r="E53" s="330">
        <v>952470</v>
      </c>
      <c r="F53" s="330">
        <v>975000</v>
      </c>
      <c r="G53" s="330"/>
      <c r="H53" s="330"/>
      <c r="I53" s="330"/>
      <c r="J53" s="330"/>
      <c r="K53" s="336">
        <f>B53</f>
        <v>1927470</v>
      </c>
    </row>
    <row r="54" spans="1:21" ht="30" customHeight="1" thickBot="1"/>
    <row r="55" spans="1:21" ht="45" customHeight="1" thickBot="1">
      <c r="A55" s="337" t="s">
        <v>584</v>
      </c>
      <c r="B55" s="338">
        <f>SUM(C55:J55)</f>
        <v>0</v>
      </c>
      <c r="C55" s="338"/>
      <c r="D55" s="338">
        <v>0</v>
      </c>
      <c r="E55" s="338"/>
      <c r="F55" s="338"/>
      <c r="G55" s="338"/>
      <c r="H55" s="338"/>
      <c r="I55" s="338"/>
      <c r="J55" s="338"/>
      <c r="K55" s="336">
        <f>B55</f>
        <v>0</v>
      </c>
    </row>
    <row r="56" spans="1:21" ht="33.75" customHeight="1" thickBot="1">
      <c r="A56" s="337" t="s">
        <v>585</v>
      </c>
      <c r="B56" s="338">
        <f>SUM(C56:J56)</f>
        <v>0</v>
      </c>
      <c r="C56" s="338"/>
      <c r="D56" s="338"/>
      <c r="E56" s="338"/>
      <c r="F56" s="338"/>
      <c r="G56" s="338"/>
      <c r="H56" s="338"/>
      <c r="I56" s="338"/>
      <c r="J56" s="338"/>
      <c r="K56" s="336">
        <f>B56</f>
        <v>0</v>
      </c>
      <c r="M56" s="339">
        <v>20261000</v>
      </c>
      <c r="O56">
        <f>(6078+14183)*1000</f>
        <v>20261000</v>
      </c>
      <c r="P56" s="331">
        <f>B56-O56</f>
        <v>-20261000</v>
      </c>
    </row>
    <row r="57" spans="1:21" ht="15" customHeight="1">
      <c r="A57" s="340">
        <f>B62-G57-H57-I57</f>
        <v>1927470</v>
      </c>
      <c r="B57" s="341"/>
      <c r="C57" s="341"/>
      <c r="D57" s="341">
        <f>D56+D55+D53</f>
        <v>0</v>
      </c>
      <c r="E57" s="341">
        <f>E56+E55+E53</f>
        <v>952470</v>
      </c>
      <c r="F57" s="341">
        <f t="shared" ref="F57:I57" si="22">F56+F55+F53</f>
        <v>975000</v>
      </c>
      <c r="G57" s="341">
        <f t="shared" si="22"/>
        <v>0</v>
      </c>
      <c r="H57" s="341">
        <f t="shared" si="22"/>
        <v>0</v>
      </c>
      <c r="I57" s="341">
        <f t="shared" si="22"/>
        <v>0</v>
      </c>
      <c r="J57" s="341"/>
      <c r="K57" s="336">
        <f>SUM(D57:I57)</f>
        <v>1927470</v>
      </c>
      <c r="M57" s="339"/>
      <c r="P57" s="331"/>
    </row>
    <row r="58" spans="1:21" ht="17.25" customHeight="1">
      <c r="A58" s="342"/>
      <c r="B58" s="341"/>
      <c r="C58" s="341"/>
      <c r="D58" s="343">
        <f>D57/K57</f>
        <v>0</v>
      </c>
      <c r="E58" s="343">
        <f>E57/K57</f>
        <v>0.49415555105916048</v>
      </c>
      <c r="F58" s="343">
        <f>F57/K57</f>
        <v>0.50584444894083958</v>
      </c>
      <c r="G58" s="343">
        <f>G57/K57</f>
        <v>0</v>
      </c>
      <c r="H58" s="343">
        <f>H57/K57</f>
        <v>0</v>
      </c>
      <c r="I58" s="343">
        <f>I57/K57</f>
        <v>0</v>
      </c>
      <c r="J58" s="341"/>
      <c r="K58" s="343">
        <f>SUM(D58:J58)</f>
        <v>1</v>
      </c>
      <c r="M58" s="339"/>
      <c r="P58" s="331"/>
    </row>
    <row r="59" spans="1:21" ht="17.25" customHeight="1">
      <c r="A59" s="342"/>
      <c r="B59" s="341"/>
      <c r="C59" s="341"/>
      <c r="D59" s="343"/>
      <c r="E59" s="343"/>
      <c r="F59" s="343"/>
      <c r="G59" s="343"/>
      <c r="H59" s="343"/>
      <c r="I59" s="343"/>
      <c r="J59" s="341"/>
      <c r="K59" s="336"/>
      <c r="M59" s="339"/>
      <c r="P59" s="331"/>
    </row>
    <row r="60" spans="1:21">
      <c r="B60" s="344">
        <f>SUM(E60:I60)</f>
        <v>1</v>
      </c>
      <c r="C60" s="344"/>
      <c r="D60" s="344"/>
      <c r="E60" s="343">
        <v>8.1598864711447491E-2</v>
      </c>
      <c r="F60" s="343">
        <v>0.15692999053926207</v>
      </c>
      <c r="G60" s="343">
        <v>0.22630873541469568</v>
      </c>
      <c r="H60" s="343">
        <v>0.21669031851151058</v>
      </c>
      <c r="I60" s="343">
        <v>0.3184720908230842</v>
      </c>
      <c r="K60" s="345">
        <f>SUM(K53:K56)</f>
        <v>1927470</v>
      </c>
    </row>
    <row r="61" spans="1:21">
      <c r="D61" s="331">
        <f>D53+D55+D56</f>
        <v>0</v>
      </c>
      <c r="E61" s="331">
        <f>E53+E55+E56</f>
        <v>952470</v>
      </c>
      <c r="F61" s="331">
        <f t="shared" ref="F61:I61" si="23">F53+F55+F56</f>
        <v>975000</v>
      </c>
      <c r="G61" s="331">
        <f t="shared" si="23"/>
        <v>0</v>
      </c>
      <c r="H61" s="331">
        <f t="shared" si="23"/>
        <v>0</v>
      </c>
      <c r="I61" s="331">
        <f t="shared" si="23"/>
        <v>0</v>
      </c>
      <c r="U61" s="331">
        <f>B62-D61-E61</f>
        <v>975000</v>
      </c>
    </row>
    <row r="62" spans="1:21">
      <c r="B62" s="346">
        <f>B53+B55+B56</f>
        <v>1927470</v>
      </c>
    </row>
    <row r="63" spans="1:21">
      <c r="C63" s="327">
        <v>2015</v>
      </c>
      <c r="D63" s="327">
        <v>2016</v>
      </c>
      <c r="E63" s="327">
        <v>2017</v>
      </c>
      <c r="F63" s="327">
        <v>2018</v>
      </c>
      <c r="G63" s="327">
        <v>2019</v>
      </c>
      <c r="H63" s="327">
        <v>2020</v>
      </c>
      <c r="I63" s="327">
        <v>2021</v>
      </c>
    </row>
    <row r="64" spans="1:21">
      <c r="B64" s="346"/>
      <c r="D64" s="347">
        <v>107.31489163336438</v>
      </c>
      <c r="E64" s="348">
        <v>106.80419218815939</v>
      </c>
      <c r="F64" s="348">
        <v>106.40296400340539</v>
      </c>
      <c r="G64" s="348">
        <v>105.28755638334495</v>
      </c>
      <c r="H64" s="349">
        <v>104.62228427027578</v>
      </c>
      <c r="I64" s="350">
        <v>103.90195775089536</v>
      </c>
    </row>
    <row r="65" spans="1:15">
      <c r="A65" s="351" t="s">
        <v>586</v>
      </c>
      <c r="D65" s="352">
        <f>D64/100</f>
        <v>1.0731489163336438</v>
      </c>
      <c r="E65" s="352">
        <f t="shared" ref="E65:I65" si="24">E64/100</f>
        <v>1.068041921881594</v>
      </c>
      <c r="F65" s="352">
        <f t="shared" si="24"/>
        <v>1.0640296400340539</v>
      </c>
      <c r="G65" s="352">
        <f t="shared" si="24"/>
        <v>1.0528755638334495</v>
      </c>
      <c r="H65" s="352">
        <f t="shared" si="24"/>
        <v>1.0462228427027578</v>
      </c>
      <c r="I65" s="352">
        <f t="shared" si="24"/>
        <v>1.0390195775089537</v>
      </c>
    </row>
    <row r="66" spans="1:15">
      <c r="A66" s="353"/>
      <c r="C66" s="354">
        <f>32078587.37</f>
        <v>32078587.370000001</v>
      </c>
      <c r="D66" s="354">
        <v>775000</v>
      </c>
      <c r="E66" s="354">
        <f>$C66/5-775000/5</f>
        <v>6260717.4740000004</v>
      </c>
      <c r="F66" s="354">
        <f>$C66/5-775000/5</f>
        <v>6260717.4740000004</v>
      </c>
      <c r="G66" s="354">
        <f>$C66/5-775000/5</f>
        <v>6260717.4740000004</v>
      </c>
      <c r="H66" s="354">
        <f>$C66/5-775000/5</f>
        <v>6260717.4740000004</v>
      </c>
      <c r="I66" s="354">
        <f>$C66/5-775000/5</f>
        <v>6260717.4740000004</v>
      </c>
      <c r="J66" s="355">
        <f>SUM(D66:I66)</f>
        <v>32078587.370000001</v>
      </c>
    </row>
    <row r="67" spans="1:15">
      <c r="A67" s="353"/>
      <c r="B67" s="356">
        <v>1</v>
      </c>
      <c r="C67" s="357" t="s">
        <v>587</v>
      </c>
      <c r="D67" s="358">
        <v>775000</v>
      </c>
      <c r="E67" s="358">
        <f>E65*E66</f>
        <v>6686708.7232886385</v>
      </c>
      <c r="F67" s="358">
        <f>F65*F66</f>
        <v>6661588.9602151318</v>
      </c>
      <c r="G67" s="358">
        <f>G65*G66</f>
        <v>6591756.4404396797</v>
      </c>
      <c r="H67" s="358">
        <f>H65*H66</f>
        <v>6550105.6330071092</v>
      </c>
      <c r="I67" s="358">
        <f>I65*I66</f>
        <v>6505008.024738404</v>
      </c>
      <c r="J67" s="359">
        <f>SUM(D67:I67)</f>
        <v>33770167.781688958</v>
      </c>
    </row>
    <row r="68" spans="1:15" hidden="1">
      <c r="A68" s="353"/>
      <c r="E68" s="354">
        <f>33770167.8*0.75/5</f>
        <v>5065525.17</v>
      </c>
      <c r="F68" s="354">
        <f t="shared" ref="F68:I68" si="25">33770167.8*0.75/5</f>
        <v>5065525.17</v>
      </c>
      <c r="G68" s="354">
        <f t="shared" si="25"/>
        <v>5065525.17</v>
      </c>
      <c r="H68" s="354">
        <f t="shared" si="25"/>
        <v>5065525.17</v>
      </c>
      <c r="I68" s="354">
        <f t="shared" si="25"/>
        <v>5065525.17</v>
      </c>
      <c r="J68" s="355">
        <f>SUM(E68:I68)</f>
        <v>25327625.850000001</v>
      </c>
      <c r="K68" s="354">
        <f>25368000-J68</f>
        <v>40374.14999999851</v>
      </c>
      <c r="M68" s="360"/>
    </row>
    <row r="69" spans="1:15" hidden="1">
      <c r="A69" s="353"/>
      <c r="E69" s="360">
        <f>K68/5</f>
        <v>8074.8299999997016</v>
      </c>
      <c r="F69" s="360">
        <v>8074.8299999997016</v>
      </c>
      <c r="G69" s="360">
        <v>8074.8299999997016</v>
      </c>
      <c r="H69" s="360">
        <v>8074.8299999997016</v>
      </c>
      <c r="I69" s="360">
        <v>8074.8299999997016</v>
      </c>
      <c r="J69" s="355">
        <f t="shared" ref="J69:J72" si="26">SUM(E69:I69)</f>
        <v>40374.14999999851</v>
      </c>
    </row>
    <row r="70" spans="1:15" hidden="1">
      <c r="A70" s="353"/>
      <c r="B70" s="356">
        <v>0.75</v>
      </c>
      <c r="C70" s="357" t="s">
        <v>588</v>
      </c>
      <c r="D70" s="361"/>
      <c r="E70" s="362">
        <f>E68+E69</f>
        <v>5073600</v>
      </c>
      <c r="F70" s="362">
        <f t="shared" ref="F70:I70" si="27">F68+F69</f>
        <v>5073600</v>
      </c>
      <c r="G70" s="362">
        <f t="shared" si="27"/>
        <v>5073600</v>
      </c>
      <c r="H70" s="362">
        <f t="shared" si="27"/>
        <v>5073600</v>
      </c>
      <c r="I70" s="362">
        <f t="shared" si="27"/>
        <v>5073600</v>
      </c>
      <c r="J70" s="359">
        <f>SUM(E70:I70)</f>
        <v>25368000</v>
      </c>
      <c r="K70" s="633">
        <f>J70+J72+J71</f>
        <v>33770167.781688958</v>
      </c>
    </row>
    <row r="71" spans="1:15" hidden="1">
      <c r="A71" s="353"/>
      <c r="B71" s="356"/>
      <c r="C71" s="357" t="s">
        <v>589</v>
      </c>
      <c r="D71" s="362">
        <v>775000</v>
      </c>
      <c r="E71" s="363">
        <v>2011000</v>
      </c>
      <c r="F71" s="363">
        <v>1272000</v>
      </c>
      <c r="G71" s="362"/>
      <c r="H71" s="362"/>
      <c r="I71" s="362"/>
      <c r="J71" s="359">
        <f>SUM(D71:I71)</f>
        <v>4058000</v>
      </c>
      <c r="K71" s="633"/>
      <c r="M71" s="360"/>
    </row>
    <row r="72" spans="1:15" hidden="1">
      <c r="A72" s="353"/>
      <c r="B72" s="356">
        <v>0.25</v>
      </c>
      <c r="C72" s="357" t="s">
        <v>590</v>
      </c>
      <c r="D72" s="361"/>
      <c r="E72" s="362">
        <f>E67-E70-E71</f>
        <v>-397891.27671136148</v>
      </c>
      <c r="F72" s="362">
        <f t="shared" ref="F72:I72" si="28">F67-F70-F71</f>
        <v>315988.96021513175</v>
      </c>
      <c r="G72" s="362">
        <f t="shared" si="28"/>
        <v>1518156.4404396797</v>
      </c>
      <c r="H72" s="362">
        <f t="shared" si="28"/>
        <v>1476505.6330071092</v>
      </c>
      <c r="I72" s="362">
        <f t="shared" si="28"/>
        <v>1431408.024738404</v>
      </c>
      <c r="J72" s="359">
        <f t="shared" si="26"/>
        <v>4344167.7816889631</v>
      </c>
      <c r="K72" s="634"/>
    </row>
    <row r="73" spans="1:15" hidden="1">
      <c r="A73" s="353"/>
    </row>
    <row r="74" spans="1:15" hidden="1">
      <c r="A74" s="353"/>
    </row>
    <row r="75" spans="1:15" hidden="1">
      <c r="A75" s="353"/>
      <c r="E75" s="362">
        <f>8079000</f>
        <v>8079000</v>
      </c>
      <c r="F75" s="362">
        <f>5497000</f>
        <v>5497000</v>
      </c>
      <c r="G75" s="362">
        <f>5741000</f>
        <v>5741000</v>
      </c>
      <c r="H75" s="362">
        <f>3981000</f>
        <v>3981000</v>
      </c>
      <c r="I75" s="362">
        <f>2070000</f>
        <v>2070000</v>
      </c>
      <c r="J75" s="360">
        <f>SUM(E75:I75)</f>
        <v>25368000</v>
      </c>
    </row>
    <row r="76" spans="1:15" hidden="1">
      <c r="A76" s="635" t="s">
        <v>591</v>
      </c>
      <c r="C76" s="357" t="s">
        <v>588</v>
      </c>
      <c r="E76" s="364">
        <f>E75/$K70</f>
        <v>0.23923481968545737</v>
      </c>
      <c r="F76" s="364">
        <f>F75/$K70</f>
        <v>0.16277680453162016</v>
      </c>
      <c r="G76" s="364">
        <f>G75/$K70</f>
        <v>0.17000211657559236</v>
      </c>
      <c r="H76" s="364">
        <f>H75/$K70</f>
        <v>0.11788511166825175</v>
      </c>
      <c r="I76" s="364">
        <f>I75/$K70</f>
        <v>6.129670463533813E-2</v>
      </c>
      <c r="J76" s="364">
        <f>SUM(E76:I76)</f>
        <v>0.75119555709625974</v>
      </c>
    </row>
    <row r="77" spans="1:15" hidden="1">
      <c r="A77" s="635"/>
      <c r="C77" s="357" t="s">
        <v>590</v>
      </c>
      <c r="E77" s="364">
        <f>E76/$J76</f>
        <v>0.3184720908230842</v>
      </c>
      <c r="F77" s="364">
        <f t="shared" ref="F77:I77" si="29">F76/$J76</f>
        <v>0.21669031851151058</v>
      </c>
      <c r="G77" s="364">
        <f t="shared" si="29"/>
        <v>0.22630873541469568</v>
      </c>
      <c r="H77" s="364">
        <f t="shared" si="29"/>
        <v>0.15692999053926207</v>
      </c>
      <c r="I77" s="364">
        <f t="shared" si="29"/>
        <v>8.1598864711447491E-2</v>
      </c>
      <c r="J77" s="364">
        <f>SUM(E77:I77)</f>
        <v>1</v>
      </c>
    </row>
    <row r="78" spans="1:15" ht="15" thickBot="1">
      <c r="A78" s="365"/>
      <c r="C78" s="366"/>
      <c r="E78" s="344"/>
      <c r="F78" s="344"/>
      <c r="G78" s="344"/>
      <c r="H78" s="344"/>
      <c r="I78" s="344"/>
    </row>
    <row r="79" spans="1:15" ht="15" thickBot="1">
      <c r="A79" s="635" t="s">
        <v>592</v>
      </c>
      <c r="B79" s="356">
        <v>0.75</v>
      </c>
      <c r="C79" s="357" t="s">
        <v>588</v>
      </c>
      <c r="D79" s="361"/>
      <c r="E79" s="362">
        <f>$K70*E76</f>
        <v>8079000</v>
      </c>
      <c r="F79" s="362">
        <f>$K70*F76</f>
        <v>5497000</v>
      </c>
      <c r="G79" s="362">
        <f>$K70*G76</f>
        <v>5741000</v>
      </c>
      <c r="H79" s="362">
        <f>$K70*H76</f>
        <v>3981000</v>
      </c>
      <c r="I79" s="362">
        <f>$K70*I76</f>
        <v>2070000</v>
      </c>
      <c r="J79" s="359">
        <f>SUM(D79:I79)</f>
        <v>25368000</v>
      </c>
      <c r="K79" s="636">
        <f>J79+J81+J80</f>
        <v>33824000</v>
      </c>
      <c r="O79" s="367"/>
    </row>
    <row r="80" spans="1:15" ht="15" thickBot="1">
      <c r="A80" s="635"/>
      <c r="B80" s="356"/>
      <c r="C80" s="357" t="s">
        <v>589</v>
      </c>
      <c r="E80" s="363">
        <v>775000</v>
      </c>
      <c r="F80" s="363">
        <v>2011000</v>
      </c>
      <c r="G80" s="363">
        <v>1272000</v>
      </c>
      <c r="H80" s="362"/>
      <c r="I80" s="362"/>
      <c r="J80" s="359">
        <f>SUM(E80:I80)</f>
        <v>4058000</v>
      </c>
      <c r="K80" s="636"/>
      <c r="M80" s="360"/>
      <c r="O80" s="368"/>
    </row>
    <row r="81" spans="1:16">
      <c r="A81" s="635"/>
      <c r="B81" s="356">
        <v>0.25</v>
      </c>
      <c r="C81" s="357" t="s">
        <v>590</v>
      </c>
      <c r="D81" s="357"/>
      <c r="E81" s="362">
        <v>1400640.2554399243</v>
      </c>
      <c r="F81" s="362">
        <v>953004.02081362344</v>
      </c>
      <c r="G81" s="362">
        <v>995305.81835383154</v>
      </c>
      <c r="H81" s="362">
        <v>690178.09839167458</v>
      </c>
      <c r="I81" s="362">
        <v>358871.80700094608</v>
      </c>
      <c r="J81" s="359">
        <f t="shared" ref="J81" si="30">SUM(D81:I81)</f>
        <v>4398000</v>
      </c>
      <c r="K81" s="636"/>
    </row>
    <row r="82" spans="1:16">
      <c r="A82" s="635"/>
      <c r="B82" s="369">
        <v>1</v>
      </c>
      <c r="C82" s="370" t="s">
        <v>593</v>
      </c>
      <c r="D82" s="371">
        <f>SUM(D79:D81)</f>
        <v>0</v>
      </c>
      <c r="E82" s="371">
        <f>SUM(E79:E81)</f>
        <v>10254640.255439924</v>
      </c>
      <c r="F82" s="371">
        <f t="shared" ref="F82:I82" si="31">SUM(F79:F81)</f>
        <v>8461004.0208136234</v>
      </c>
      <c r="G82" s="371">
        <f t="shared" si="31"/>
        <v>8008305.8183538318</v>
      </c>
      <c r="H82" s="371">
        <f t="shared" si="31"/>
        <v>4671178.0983916745</v>
      </c>
      <c r="I82" s="371">
        <f t="shared" si="31"/>
        <v>2428871.8070009463</v>
      </c>
      <c r="J82" s="371">
        <f>SUM(J79:J81)</f>
        <v>33824000</v>
      </c>
      <c r="K82" s="372"/>
    </row>
    <row r="83" spans="1:16" ht="19.5" customHeight="1">
      <c r="B83" s="629" t="s">
        <v>591</v>
      </c>
      <c r="C83" s="629"/>
      <c r="D83" s="373">
        <f>D82/$K79</f>
        <v>0</v>
      </c>
      <c r="E83" s="373">
        <f>E82/$K79</f>
        <v>0.3031764503145673</v>
      </c>
      <c r="F83" s="373">
        <f t="shared" ref="F83:I83" si="32">F82/$K79</f>
        <v>0.25014794290484932</v>
      </c>
      <c r="G83" s="373">
        <f t="shared" si="32"/>
        <v>0.23676400834773628</v>
      </c>
      <c r="H83" s="373">
        <f t="shared" si="32"/>
        <v>0.13810247452671695</v>
      </c>
      <c r="I83" s="373">
        <f t="shared" si="32"/>
        <v>7.1809123906130146E-2</v>
      </c>
      <c r="J83" s="373">
        <f>SUM(D83:I83)</f>
        <v>1</v>
      </c>
      <c r="O83" s="360"/>
    </row>
    <row r="85" spans="1:16">
      <c r="B85" s="374">
        <v>0.75</v>
      </c>
      <c r="C85" s="375" t="s">
        <v>588</v>
      </c>
      <c r="D85" s="376"/>
      <c r="E85" s="377">
        <f>8079000</f>
        <v>8079000</v>
      </c>
      <c r="F85" s="377">
        <f>5497000</f>
        <v>5497000</v>
      </c>
      <c r="G85" s="377">
        <f>5741000</f>
        <v>5741000</v>
      </c>
      <c r="H85" s="377">
        <f>3981000</f>
        <v>3981000</v>
      </c>
      <c r="I85" s="377">
        <f>2070000</f>
        <v>2070000</v>
      </c>
      <c r="J85" s="378">
        <f>SUM(E85:I85)</f>
        <v>25368000</v>
      </c>
      <c r="N85" t="s">
        <v>594</v>
      </c>
      <c r="O85" s="360">
        <v>25368000</v>
      </c>
      <c r="P85" s="364">
        <f>O85/O89</f>
        <v>0.75</v>
      </c>
    </row>
    <row r="86" spans="1:16">
      <c r="B86" s="374"/>
      <c r="C86" s="375" t="s">
        <v>589</v>
      </c>
      <c r="D86" s="376">
        <v>0</v>
      </c>
      <c r="E86" s="376">
        <v>775000</v>
      </c>
      <c r="F86" s="376">
        <v>2011000</v>
      </c>
      <c r="G86" s="376">
        <v>1272000</v>
      </c>
      <c r="H86" s="376"/>
      <c r="I86" s="376"/>
      <c r="J86" s="378">
        <f>SUM(D86:I86)</f>
        <v>4058000</v>
      </c>
      <c r="N86" t="s">
        <v>595</v>
      </c>
      <c r="O86" s="360">
        <v>4058000</v>
      </c>
      <c r="P86" s="364">
        <f>O86/O89</f>
        <v>0.11997398297067172</v>
      </c>
    </row>
    <row r="87" spans="1:16">
      <c r="B87" s="374">
        <v>0.25</v>
      </c>
      <c r="C87" s="375" t="s">
        <v>590</v>
      </c>
      <c r="D87" s="376"/>
      <c r="E87" s="377">
        <v>358871.80700094608</v>
      </c>
      <c r="F87" s="377">
        <v>690178.09839167458</v>
      </c>
      <c r="G87" s="377">
        <v>995305.81835383154</v>
      </c>
      <c r="H87" s="377">
        <v>953004.02081362344</v>
      </c>
      <c r="I87" s="377">
        <v>1400640.2554399243</v>
      </c>
      <c r="J87" s="378">
        <f>SUM(D87:I87)</f>
        <v>4398000</v>
      </c>
      <c r="K87" s="360"/>
      <c r="N87" t="s">
        <v>596</v>
      </c>
      <c r="O87" s="360">
        <v>4398000</v>
      </c>
      <c r="P87" s="364">
        <f>O87/O89</f>
        <v>0.13002601702932828</v>
      </c>
    </row>
    <row r="88" spans="1:16">
      <c r="B88" s="374"/>
      <c r="C88" s="375"/>
      <c r="D88" s="376"/>
      <c r="E88" s="343">
        <f>E87/J87</f>
        <v>8.1598864711447491E-2</v>
      </c>
      <c r="F88" s="343">
        <f>F87/J87</f>
        <v>0.15692999053926207</v>
      </c>
      <c r="G88" s="343">
        <f>G87/J87</f>
        <v>0.22630873541469568</v>
      </c>
      <c r="H88" s="343">
        <f>H87/J87</f>
        <v>0.21669031851151055</v>
      </c>
      <c r="I88" s="343">
        <f>I87/J87</f>
        <v>0.3184720908230842</v>
      </c>
      <c r="J88" s="378">
        <f>SUM(D88:I88)</f>
        <v>1</v>
      </c>
      <c r="K88" s="360"/>
      <c r="O88" s="360"/>
      <c r="P88" s="364"/>
    </row>
    <row r="89" spans="1:16">
      <c r="B89" s="379">
        <v>1</v>
      </c>
      <c r="C89" s="379" t="s">
        <v>593</v>
      </c>
      <c r="D89" s="380">
        <f>SUM(D85:D87)</f>
        <v>0</v>
      </c>
      <c r="E89" s="380">
        <f>SUM(E85:E87)</f>
        <v>9212871.8070009463</v>
      </c>
      <c r="F89" s="380">
        <f t="shared" ref="F89:I89" si="33">SUM(F85:F87)</f>
        <v>8198178.0983916745</v>
      </c>
      <c r="G89" s="380">
        <f t="shared" si="33"/>
        <v>8008305.8183538318</v>
      </c>
      <c r="H89" s="380">
        <f t="shared" si="33"/>
        <v>4934004.0208136234</v>
      </c>
      <c r="I89" s="380">
        <f t="shared" si="33"/>
        <v>3470640.2554399241</v>
      </c>
      <c r="J89" s="380">
        <f>SUM(J85:J87)</f>
        <v>33824000</v>
      </c>
      <c r="N89" t="s">
        <v>597</v>
      </c>
      <c r="O89" s="381">
        <f>SUM(O85:O87)</f>
        <v>33824000</v>
      </c>
      <c r="P89" s="364">
        <v>1</v>
      </c>
    </row>
    <row r="90" spans="1:16">
      <c r="B90" s="630" t="s">
        <v>591</v>
      </c>
      <c r="C90" s="630"/>
      <c r="D90" s="382">
        <f>D89/$J89</f>
        <v>0</v>
      </c>
      <c r="E90" s="382">
        <f>E89/$J89</f>
        <v>0.27237676818238371</v>
      </c>
      <c r="F90" s="382">
        <f t="shared" ref="F90:I90" si="34">F89/$J89</f>
        <v>0.24237754548225149</v>
      </c>
      <c r="G90" s="382">
        <f t="shared" si="34"/>
        <v>0.23676400834773628</v>
      </c>
      <c r="H90" s="382">
        <f>H89/$J89</f>
        <v>0.14587287194931478</v>
      </c>
      <c r="I90" s="382">
        <f t="shared" si="34"/>
        <v>0.10260880603831374</v>
      </c>
      <c r="J90" s="382">
        <f>SUM(D90:I90)</f>
        <v>1</v>
      </c>
    </row>
    <row r="92" spans="1:16">
      <c r="D92" s="364"/>
      <c r="E92" s="364">
        <f>E85/O89</f>
        <v>0.23885406811731316</v>
      </c>
      <c r="F92" s="364">
        <f>F85/O89</f>
        <v>0.16251773888363291</v>
      </c>
      <c r="G92" s="364">
        <f>G85/O89</f>
        <v>0.16973155156102177</v>
      </c>
      <c r="H92" s="364">
        <f>H85/O89</f>
        <v>0.11769749290444655</v>
      </c>
      <c r="I92" s="364">
        <f>I85/O89</f>
        <v>6.1199148533585622E-2</v>
      </c>
      <c r="J92" s="344">
        <f>SUM(D92:I92)</f>
        <v>0.75</v>
      </c>
    </row>
    <row r="93" spans="1:16">
      <c r="E93" s="383">
        <f>E87/$J87</f>
        <v>8.1598864711447491E-2</v>
      </c>
      <c r="F93" s="383">
        <f t="shared" ref="F93:I93" si="35">F87/$J87</f>
        <v>0.15692999053926207</v>
      </c>
      <c r="G93" s="383">
        <f t="shared" si="35"/>
        <v>0.22630873541469568</v>
      </c>
      <c r="H93" s="383">
        <f t="shared" si="35"/>
        <v>0.21669031851151055</v>
      </c>
      <c r="I93" s="383">
        <f t="shared" si="35"/>
        <v>0.3184720908230842</v>
      </c>
      <c r="J93" s="344">
        <f>SUM(D93:I93)</f>
        <v>1</v>
      </c>
    </row>
    <row r="94" spans="1:16">
      <c r="E94" s="383"/>
      <c r="F94" s="383"/>
      <c r="G94" s="383"/>
      <c r="H94" s="383"/>
      <c r="I94" s="383"/>
    </row>
    <row r="95" spans="1:16">
      <c r="E95" s="383"/>
      <c r="F95" s="383"/>
      <c r="G95" s="383"/>
      <c r="H95" s="383"/>
      <c r="I95" s="383"/>
    </row>
    <row r="96" spans="1:16">
      <c r="B96" s="384" t="s">
        <v>598</v>
      </c>
      <c r="D96" s="385">
        <v>2016</v>
      </c>
      <c r="E96" s="385">
        <v>2017</v>
      </c>
      <c r="F96" s="385">
        <v>2018</v>
      </c>
      <c r="G96" s="385">
        <v>2019</v>
      </c>
      <c r="H96" s="385">
        <v>2020</v>
      </c>
      <c r="I96" s="385">
        <v>2021</v>
      </c>
    </row>
    <row r="97" spans="2:10">
      <c r="B97" s="384" t="s">
        <v>599</v>
      </c>
      <c r="D97" s="386">
        <v>24994.5</v>
      </c>
      <c r="E97" s="386">
        <v>26644.1</v>
      </c>
      <c r="F97" s="386">
        <v>28349.3</v>
      </c>
      <c r="G97" s="386">
        <f>F97*G65</f>
        <v>29848.285221783608</v>
      </c>
      <c r="H97" s="386">
        <f>G97*H65</f>
        <v>31227.95781453716</v>
      </c>
      <c r="I97" s="386">
        <f>H97*I65</f>
        <v>32446.459534927828</v>
      </c>
    </row>
    <row r="98" spans="2:10">
      <c r="B98" s="384" t="s">
        <v>600</v>
      </c>
      <c r="D98" s="387">
        <f t="shared" ref="D98:I98" si="36">D89/D97</f>
        <v>0</v>
      </c>
      <c r="E98" s="387">
        <f t="shared" si="36"/>
        <v>345.77530511448862</v>
      </c>
      <c r="F98" s="387">
        <f t="shared" si="36"/>
        <v>289.18449832594365</v>
      </c>
      <c r="G98" s="387">
        <f t="shared" si="36"/>
        <v>268.30036495729013</v>
      </c>
      <c r="H98" s="387">
        <f t="shared" si="36"/>
        <v>157.99957365501365</v>
      </c>
      <c r="I98" s="387">
        <f t="shared" si="36"/>
        <v>106.9651452018629</v>
      </c>
      <c r="J98" s="388">
        <f>SUM(D98:I98)</f>
        <v>1168.224887254599</v>
      </c>
    </row>
    <row r="100" spans="2:10">
      <c r="D100">
        <v>24554</v>
      </c>
      <c r="F100" s="360">
        <f>70000/F97</f>
        <v>2.4691967702906243</v>
      </c>
    </row>
    <row r="101" spans="2:10">
      <c r="D101" s="360">
        <f>D100/D97</f>
        <v>0.98237612274700437</v>
      </c>
    </row>
  </sheetData>
  <mergeCells count="21">
    <mergeCell ref="A25:J25"/>
    <mergeCell ref="A1:A3"/>
    <mergeCell ref="B1:J1"/>
    <mergeCell ref="B2:B3"/>
    <mergeCell ref="C2:J2"/>
    <mergeCell ref="A4:J4"/>
    <mergeCell ref="K70:K72"/>
    <mergeCell ref="A76:A77"/>
    <mergeCell ref="A79:A82"/>
    <mergeCell ref="K79:K81"/>
    <mergeCell ref="B47:B48"/>
    <mergeCell ref="C47:C48"/>
    <mergeCell ref="D47:D48"/>
    <mergeCell ref="E47:E48"/>
    <mergeCell ref="F47:F48"/>
    <mergeCell ref="G47:G48"/>
    <mergeCell ref="B83:C83"/>
    <mergeCell ref="B90:C90"/>
    <mergeCell ref="H47:H48"/>
    <mergeCell ref="I47:I48"/>
    <mergeCell ref="J47:J48"/>
  </mergeCells>
  <hyperlinks>
    <hyperlink ref="A6" r:id="rId1" display="consultantplus://offline/ref=BC496DE9CD4DD003661B9BE3DD29CC0BB84219353379C154704F53E6C66F167571238B5D4FA498D2047A2859L0N"/>
    <hyperlink ref="A8" r:id="rId2" display="consultantplus://offline/ref=BC496DE9CD4DD003661B9BE3DD29CC0BB84219353379C154704F53E6C66F167571238B5D4FA498D2047A2859L0N"/>
    <hyperlink ref="A9" r:id="rId3" display="consultantplus://offline/ref=BC496DE9CD4DD003661B9BE3DD29CC0BB84219353379C154704F53E6C66F167571238B5D4FA498D2047A2859L0N"/>
    <hyperlink ref="A11" r:id="rId4" display="consultantplus://offline/ref=BC496DE9CD4DD003661B9BE3DD29CC0BB84219353379C154704F53E6C66F167571238B5D4FA498D2047A2859L0N"/>
    <hyperlink ref="A13" r:id="rId5" display="consultantplus://offline/ref=BC496DE9CD4DD003661B9BE3DD29CC0BB84219353379C154704F53E6C66F167571238B5D4FA498D2047A2859L0N"/>
    <hyperlink ref="A14" r:id="rId6" display="consultantplus://offline/ref=BC496DE9CD4DD003661B9BE3DD29CC0BB84219353379C154704F53E6C66F167571238B5D4FA498D2047A2859L0N"/>
    <hyperlink ref="A15" r:id="rId7" display="consultantplus://offline/ref=BC496DE9CD4DD003661B9BE3DD29CC0BB84219353379C154704F53E6C66F167571238B5D4FA498D2047A2859L3N"/>
    <hyperlink ref="A16" r:id="rId8" display="consultantplus://offline/ref=BC496DE9CD4DD003661B9BE3DD29CC0BB84219353379C154704F53E6C66F167571238B5D4FA498D2047A2859L0N"/>
    <hyperlink ref="A18" r:id="rId9" display="consultantplus://offline/ref=BC496DE9CD4DD003661B9BE3DD29CC0BB84219353379C154704F53E6C66F167571238B5D4FA498D2047A2859L0N"/>
    <hyperlink ref="A19" r:id="rId10" display="consultantplus://offline/ref=BC496DE9CD4DD003661B9BE3DD29CC0BB84219353379C154704F53E6C66F167571238B5D4FA498D2047A2859L0N"/>
    <hyperlink ref="A21" r:id="rId11" display="consultantplus://offline/ref=BC496DE9CD4DD003661B9BE3DD29CC0BB84219353379C154704F53E6C66F167571238B5D4FA498D2047A2859L0N"/>
    <hyperlink ref="A23" r:id="rId12" display="consultantplus://offline/ref=BC496DE9CD4DD003661B9BE3DD29CC0BB84219353379C154704F53E6C66F167571238B5D4FA498D2047A2859L0N"/>
    <hyperlink ref="A24" r:id="rId13" display="consultantplus://offline/ref=BC496DE9CD4DD003661B9BE3DD29CC0BB84219353379C154704F53E6C66F167571238B5D4FA498D2047A2859L0N"/>
    <hyperlink ref="A27" r:id="rId14" display="consultantplus://offline/ref=BC496DE9CD4DD003661B9BE3DD29CC0BB84219353379C154704F53E6C66F167571238B5D4FA498D2047A2859L0N"/>
    <hyperlink ref="A29" r:id="rId15" display="consultantplus://offline/ref=BC496DE9CD4DD003661B9BE3DD29CC0BB84219353379C154704F53E6C66F167571238B5D4FA498D2047A2859L0N"/>
    <hyperlink ref="A30" r:id="rId16" display="consultantplus://offline/ref=BC496DE9CD4DD003661B9BE3DD29CC0BB84219353379C154704F53E6C66F167571238B5D4FA498D2047A2859L0N"/>
    <hyperlink ref="A32" r:id="rId17" display="consultantplus://offline/ref=BC496DE9CD4DD003661B9BE3DD29CC0BB84219353379C154704F53E6C66F167571238B5D4FA498D2047A2859L0N"/>
    <hyperlink ref="A34" r:id="rId18" display="consultantplus://offline/ref=BC496DE9CD4DD003661B9BE3DD29CC0BB84219353379C154704F53E6C66F167571238B5D4FA498D2047A2859L0N"/>
    <hyperlink ref="A35" r:id="rId19" display="consultantplus://offline/ref=BC496DE9CD4DD003661B9BE3DD29CC0BB84219353379C154704F53E6C66F167571238B5D4FA498D2047A2859L0N"/>
    <hyperlink ref="A36" r:id="rId20" display="consultantplus://offline/ref=BC496DE9CD4DD003661B9BE3DD29CC0BB84219353379C154704F53E6C66F167571238B5D4FA498D2047A2859L3N"/>
    <hyperlink ref="A37" r:id="rId21" display="consultantplus://offline/ref=BC496DE9CD4DD003661B9BE3DD29CC0BB84219353379C154704F53E6C66F167571238B5D4FA498D2047A2859L0N"/>
    <hyperlink ref="A39" r:id="rId22" display="consultantplus://offline/ref=BC496DE9CD4DD003661B9BE3DD29CC0BB84219353379C154704F53E6C66F167571238B5D4FA498D2047A2859L0N"/>
    <hyperlink ref="A40" r:id="rId23" display="consultantplus://offline/ref=BC496DE9CD4DD003661B9BE3DD29CC0BB84219353379C154704F53E6C66F167571238B5D4FA498D2047A2859L0N"/>
    <hyperlink ref="A42" r:id="rId24" display="consultantplus://offline/ref=BC496DE9CD4DD003661B9BE3DD29CC0BB84219353379C154704F53E6C66F167571238B5D4FA498D2047A2859L0N"/>
    <hyperlink ref="A44" r:id="rId25" display="consultantplus://offline/ref=BC496DE9CD4DD003661B9BE3DD29CC0BB84219353379C154704F53E6C66F167571238B5D4FA498D2047A2859L0N"/>
    <hyperlink ref="A45" r:id="rId26" display="consultantplus://offline/ref=BC496DE9CD4DD003661B9BE3DD29CC0BB84219353379C154704F53E6C66F167571238B5D4FA498D2047A2859L0N"/>
    <hyperlink ref="A50" r:id="rId27" display="consultantplus://offline/ref=BC496DE9CD4DD003661B85EECB459202B04E433B3E7BCE04281008BB91661C22366CD21F0BA999D350L2N"/>
    <hyperlink ref="A51" r:id="rId28" display="consultantplus://offline/ref=BC496DE9CD4DD003661B85EECB459202B04F45393C7FCE04281008BB91661C22366CD21F0BA999D550L3N"/>
    <hyperlink ref="A52" r:id="rId29" display="consultantplus://offline/ref=BC496DE9CD4DD003661B85EECB459202B04F45393C7FCE04281008BB91661C22366CD21F0BA999D550L3N"/>
    <hyperlink ref="A53" r:id="rId30" display="consultantplus://offline/ref=BC496DE9CD4DD003661B85EECB459202B04F45393C7FCE04281008BB91661C22366CD21F0BA999D550L3N"/>
  </hyperlinks>
  <pageMargins left="0.70866141732283472" right="0.70866141732283472" top="0.74803149606299213" bottom="0.74803149606299213" header="0.31496062992125984" footer="0.31496062992125984"/>
  <pageSetup paperSize="9" fitToHeight="0" orientation="landscape" r:id="rId31"/>
  <legacyDrawing r:id="rId3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94"/>
  <sheetViews>
    <sheetView workbookViewId="0">
      <pane xSplit="10" ySplit="3" topLeftCell="K16" activePane="bottomRight" state="frozen"/>
      <selection pane="topRight" activeCell="K1" sqref="K1"/>
      <selection pane="bottomLeft" activeCell="A4" sqref="A4"/>
      <selection pane="bottomRight" activeCell="B5" sqref="B5"/>
    </sheetView>
  </sheetViews>
  <sheetFormatPr defaultRowHeight="14.4"/>
  <cols>
    <col min="1" max="1" width="33.6640625" customWidth="1"/>
    <col min="2" max="2" width="14.109375" customWidth="1"/>
    <col min="3" max="3" width="20.88671875" customWidth="1"/>
    <col min="4" max="4" width="12.88671875" customWidth="1"/>
    <col min="5" max="6" width="18.6640625" customWidth="1"/>
    <col min="7" max="7" width="17.33203125" customWidth="1"/>
    <col min="8" max="8" width="16.6640625" customWidth="1"/>
    <col min="9" max="9" width="18" customWidth="1"/>
    <col min="10" max="10" width="15.6640625" customWidth="1"/>
    <col min="11" max="11" width="17.5546875" customWidth="1"/>
    <col min="13" max="13" width="16.88671875" customWidth="1"/>
    <col min="14" max="14" width="10.33203125" customWidth="1"/>
    <col min="15" max="15" width="21.44140625" customWidth="1"/>
    <col min="21" max="21" width="18" customWidth="1"/>
  </cols>
  <sheetData>
    <row r="1" spans="1:11" ht="40.5" customHeight="1">
      <c r="A1" s="654" t="s">
        <v>298</v>
      </c>
      <c r="B1" s="654" t="s">
        <v>564</v>
      </c>
      <c r="C1" s="654"/>
      <c r="D1" s="654"/>
      <c r="E1" s="654"/>
      <c r="F1" s="654"/>
      <c r="G1" s="654"/>
      <c r="H1" s="654"/>
      <c r="I1" s="654"/>
      <c r="J1" s="654"/>
    </row>
    <row r="2" spans="1:11">
      <c r="A2" s="654"/>
      <c r="B2" s="654" t="s">
        <v>565</v>
      </c>
      <c r="C2" s="654" t="s">
        <v>566</v>
      </c>
      <c r="D2" s="654"/>
      <c r="E2" s="654"/>
      <c r="F2" s="654"/>
      <c r="G2" s="654"/>
      <c r="H2" s="654"/>
      <c r="I2" s="654"/>
      <c r="J2" s="654"/>
    </row>
    <row r="3" spans="1:11">
      <c r="A3" s="654"/>
      <c r="B3" s="654"/>
      <c r="C3" s="389">
        <v>2015</v>
      </c>
      <c r="D3" s="389">
        <v>2016</v>
      </c>
      <c r="E3" s="389">
        <v>2017</v>
      </c>
      <c r="F3" s="389">
        <v>2018</v>
      </c>
      <c r="G3" s="389">
        <v>2019</v>
      </c>
      <c r="H3" s="389">
        <v>2020</v>
      </c>
      <c r="I3" s="389">
        <v>2021</v>
      </c>
      <c r="J3" s="389">
        <v>2022</v>
      </c>
    </row>
    <row r="4" spans="1:11" ht="21.75" customHeight="1">
      <c r="A4" s="655" t="s">
        <v>567</v>
      </c>
      <c r="B4" s="655"/>
      <c r="C4" s="655"/>
      <c r="D4" s="655"/>
      <c r="E4" s="655"/>
      <c r="F4" s="655"/>
      <c r="G4" s="655"/>
      <c r="H4" s="655"/>
      <c r="I4" s="655"/>
      <c r="J4" s="655"/>
    </row>
    <row r="5" spans="1:11">
      <c r="A5" s="390" t="s">
        <v>568</v>
      </c>
      <c r="B5" s="391">
        <f>'[1]прил .6 с мостом'!B5</f>
        <v>78559983.919999987</v>
      </c>
      <c r="C5" s="391">
        <f>'[1]прил .6 с мостом'!C5</f>
        <v>7389522.1000000006</v>
      </c>
      <c r="D5" s="391">
        <f>'[1]прил .6 с мостом'!D5</f>
        <v>8429259.5199999996</v>
      </c>
      <c r="E5" s="391">
        <f>'[1]прил .6 с мостом'!E5</f>
        <v>9666667.4999999981</v>
      </c>
      <c r="F5" s="391">
        <f>'[1]прил .6 с мостом'!F5</f>
        <v>10032250.300000001</v>
      </c>
      <c r="G5" s="391">
        <f>'[1]прил .6 с мостом'!G5</f>
        <v>9939612.4999999981</v>
      </c>
      <c r="H5" s="391">
        <f>'[1]прил .6 с мостом'!H5</f>
        <v>10814708.099999998</v>
      </c>
      <c r="I5" s="391">
        <f>'[1]прил .6 с мостом'!I5</f>
        <v>11044938.499999998</v>
      </c>
      <c r="J5" s="391">
        <f>'[1]прил .6 с мостом'!J5</f>
        <v>11243025.399999999</v>
      </c>
    </row>
    <row r="6" spans="1:11">
      <c r="A6" s="390" t="s">
        <v>569</v>
      </c>
      <c r="B6" s="391">
        <f>'[1]прил .6 с мостом'!B6</f>
        <v>9086523.0199999996</v>
      </c>
      <c r="C6" s="391">
        <f>'[1]прил .6 с мостом'!C6</f>
        <v>1562163.2000000002</v>
      </c>
      <c r="D6" s="391">
        <f>'[1]прил .6 с мостом'!D6</f>
        <v>625434.81999999995</v>
      </c>
      <c r="E6" s="391">
        <f>'[1]прил .6 с мостом'!E6</f>
        <v>924750.6</v>
      </c>
      <c r="F6" s="391">
        <f>'[1]прил .6 с мостом'!F6</f>
        <v>899982.3</v>
      </c>
      <c r="G6" s="391">
        <f>'[1]прил .6 с мостом'!G6</f>
        <v>932600</v>
      </c>
      <c r="H6" s="391">
        <f>'[1]прил .6 с мостом'!H6</f>
        <v>1380530.7</v>
      </c>
      <c r="I6" s="391">
        <f>'[1]прил .6 с мостом'!I6</f>
        <v>1380530.7</v>
      </c>
      <c r="J6" s="391">
        <f>'[1]прил .6 с мостом'!J6</f>
        <v>1380530.7</v>
      </c>
    </row>
    <row r="7" spans="1:11">
      <c r="A7" s="390" t="s">
        <v>570</v>
      </c>
      <c r="B7" s="391">
        <f>'[1]прил .6 с мостом'!B7</f>
        <v>68317536.900000006</v>
      </c>
      <c r="C7" s="391">
        <f>'[1]прил .6 с мостом'!C7</f>
        <v>5446414.7000000002</v>
      </c>
      <c r="D7" s="391">
        <f>'[1]прил .6 с мостом'!D7</f>
        <v>7684169.5999999996</v>
      </c>
      <c r="E7" s="391">
        <f>'[1]прил .6 с мостом'!E7</f>
        <v>8638936.6999999993</v>
      </c>
      <c r="F7" s="391">
        <f>'[1]прил .6 с мостом'!F7</f>
        <v>9029287.8000000007</v>
      </c>
      <c r="G7" s="391">
        <f>'[1]прил .6 с мостом'!G7</f>
        <v>8904032.2999999989</v>
      </c>
      <c r="H7" s="391">
        <f>'[1]прил .6 с мостом'!H7</f>
        <v>9313197.1999999993</v>
      </c>
      <c r="I7" s="391">
        <f>'[1]прил .6 с мостом'!I7</f>
        <v>9539810.5999999996</v>
      </c>
      <c r="J7" s="391">
        <f>'[1]прил .6 с мостом'!J7</f>
        <v>9761688</v>
      </c>
    </row>
    <row r="8" spans="1:11">
      <c r="A8" s="390" t="s">
        <v>571</v>
      </c>
      <c r="B8" s="391">
        <f>'[1]прил .6 с мостом'!B8</f>
        <v>1155923.9999999998</v>
      </c>
      <c r="C8" s="391">
        <f>'[1]прил .6 с мостом'!C8</f>
        <v>380944.2</v>
      </c>
      <c r="D8" s="391">
        <f>'[1]прил .6 с мостом'!D8</f>
        <v>119655.09999999999</v>
      </c>
      <c r="E8" s="391">
        <f>'[1]прил .6 с мостом'!E8</f>
        <v>102980.2</v>
      </c>
      <c r="F8" s="391">
        <f>'[1]прил .6 с мостом'!F8</f>
        <v>102980.2</v>
      </c>
      <c r="G8" s="391">
        <f>'[1]прил .6 с мостом'!G8</f>
        <v>102980.2</v>
      </c>
      <c r="H8" s="391">
        <f>'[1]прил .6 с мостом'!H8</f>
        <v>120980.2</v>
      </c>
      <c r="I8" s="391">
        <f>'[1]прил .6 с мостом'!I8</f>
        <v>124597.2</v>
      </c>
      <c r="J8" s="391">
        <f>'[1]прил .6 с мостом'!J8</f>
        <v>100806.7</v>
      </c>
    </row>
    <row r="9" spans="1:11">
      <c r="A9" s="390" t="s">
        <v>572</v>
      </c>
      <c r="B9" s="391">
        <f>'[1]прил .6 с мостом'!B9</f>
        <v>0</v>
      </c>
      <c r="C9" s="392">
        <f>'[1]прил .6 с мостом'!C9</f>
        <v>0</v>
      </c>
      <c r="D9" s="392">
        <f>'[1]прил .6 с мостом'!D9</f>
        <v>0</v>
      </c>
      <c r="E9" s="391"/>
      <c r="F9" s="391"/>
      <c r="G9" s="391"/>
      <c r="H9" s="391"/>
      <c r="I9" s="391"/>
      <c r="J9" s="392"/>
    </row>
    <row r="10" spans="1:11">
      <c r="A10" s="390" t="s">
        <v>573</v>
      </c>
      <c r="B10" s="391">
        <f>'[1]прил .6 с мостом'!B10</f>
        <v>20485271.619999997</v>
      </c>
      <c r="C10" s="391">
        <f>'[1]прил .6 с мостом'!C10</f>
        <v>1721621.6</v>
      </c>
      <c r="D10" s="391">
        <f>'[1]прил .6 с мостом'!D10</f>
        <v>1278114.1199999999</v>
      </c>
      <c r="E10" s="391">
        <f>'[1]прил .6 с мостом'!E10</f>
        <v>2724550.3000000003</v>
      </c>
      <c r="F10" s="391">
        <f>'[1]прил .6 с мостом'!F10</f>
        <v>2525966</v>
      </c>
      <c r="G10" s="391">
        <f>'[1]прил .6 с мостом'!G10</f>
        <v>2335603.6</v>
      </c>
      <c r="H10" s="391">
        <f>'[1]прил .6 с мостом'!H10</f>
        <v>3257150.7</v>
      </c>
      <c r="I10" s="391">
        <f>'[1]прил .6 с мостом'!I10</f>
        <v>3308747.9000000004</v>
      </c>
      <c r="J10" s="391">
        <f>'[1]прил .6 с мостом'!J10</f>
        <v>3333517.4000000004</v>
      </c>
      <c r="K10" s="331">
        <f>C10+D10+E10+F10+G10+H10+I10+J10</f>
        <v>20485271.619999997</v>
      </c>
    </row>
    <row r="11" spans="1:11">
      <c r="A11" s="390" t="s">
        <v>569</v>
      </c>
      <c r="B11" s="391">
        <f>'[1]прил .6 с мостом'!B11</f>
        <v>8629157.9199999999</v>
      </c>
      <c r="C11" s="391">
        <f>'[1]прил .6 с мостом'!C11</f>
        <v>1104798.1000000001</v>
      </c>
      <c r="D11" s="391">
        <f>'[1]прил .6 с мостом'!D11</f>
        <v>625434.81999999995</v>
      </c>
      <c r="E11" s="391">
        <f>'[1]прил .6 с мостом'!E11</f>
        <v>924750.6</v>
      </c>
      <c r="F11" s="391">
        <f>'[1]прил .6 с мостом'!F11</f>
        <v>899982.3</v>
      </c>
      <c r="G11" s="391">
        <f>'[1]прил .6 с мостом'!G11</f>
        <v>932600</v>
      </c>
      <c r="H11" s="391">
        <f>'[1]прил .6 с мостом'!H11</f>
        <v>1380530.7</v>
      </c>
      <c r="I11" s="391">
        <f>'[1]прил .6 с мостом'!I11</f>
        <v>1380530.7</v>
      </c>
      <c r="J11" s="391">
        <f>'[1]прил .6 с мостом'!J11</f>
        <v>1380530.7</v>
      </c>
    </row>
    <row r="12" spans="1:11">
      <c r="A12" s="390" t="s">
        <v>570</v>
      </c>
      <c r="B12" s="391">
        <f>'[1]прил .6 с мостом'!B12</f>
        <v>11373151.9</v>
      </c>
      <c r="C12" s="391">
        <f>'[1]прил .6 с мостом'!C12</f>
        <v>288964.5</v>
      </c>
      <c r="D12" s="391">
        <f>'[1]прил .6 с мостом'!D12</f>
        <v>625717.6</v>
      </c>
      <c r="E12" s="391">
        <f>'[1]прил .6 с мостом'!E12</f>
        <v>1777303.5</v>
      </c>
      <c r="F12" s="391">
        <f>'[1]прил .6 с мостом'!F12</f>
        <v>1602362.7000000002</v>
      </c>
      <c r="G12" s="391">
        <f>'[1]прил .6 с мостом'!G12</f>
        <v>1378803.6</v>
      </c>
      <c r="H12" s="391">
        <f>'[1]прил .6 с мостом'!H12</f>
        <v>1850000</v>
      </c>
      <c r="I12" s="391">
        <f>'[1]прил .6 с мостом'!I12</f>
        <v>1900000</v>
      </c>
      <c r="J12" s="391">
        <f>'[1]прил .6 с мостом'!J12</f>
        <v>1950000</v>
      </c>
    </row>
    <row r="13" spans="1:11">
      <c r="A13" s="390" t="s">
        <v>571</v>
      </c>
      <c r="B13" s="392">
        <f>'[1]прил .6 с мостом'!B13</f>
        <v>482961.80000000005</v>
      </c>
      <c r="C13" s="392">
        <f>'[1]прил .6 с мостом'!C13</f>
        <v>327859</v>
      </c>
      <c r="D13" s="392">
        <f>'[1]прил .6 с мостом'!D13</f>
        <v>26961.7</v>
      </c>
      <c r="E13" s="392">
        <f>'[1]прил .6 с мостом'!E13</f>
        <v>22496.2</v>
      </c>
      <c r="F13" s="392">
        <f>'[1]прил .6 с мостом'!F13</f>
        <v>23621</v>
      </c>
      <c r="G13" s="392">
        <f>'[1]прил .6 с мостом'!G13</f>
        <v>24200</v>
      </c>
      <c r="H13" s="392">
        <f>'[1]прил .6 с мостом'!H13</f>
        <v>26620</v>
      </c>
      <c r="I13" s="392">
        <f>'[1]прил .6 с мостом'!I13</f>
        <v>28217.200000000001</v>
      </c>
      <c r="J13" s="392">
        <f>'[1]прил .6 с мостом'!J13</f>
        <v>2986.7</v>
      </c>
    </row>
    <row r="14" spans="1:11">
      <c r="A14" s="390" t="s">
        <v>572</v>
      </c>
      <c r="B14" s="391"/>
      <c r="C14" s="392"/>
      <c r="D14" s="392"/>
      <c r="E14" s="391"/>
      <c r="F14" s="391"/>
      <c r="G14" s="391"/>
      <c r="H14" s="391"/>
      <c r="I14" s="391"/>
      <c r="J14" s="392"/>
    </row>
    <row r="15" spans="1:11">
      <c r="A15" s="390" t="s">
        <v>574</v>
      </c>
      <c r="B15" s="391">
        <f>'[1]прил .6 с мостом'!B15</f>
        <v>57000</v>
      </c>
      <c r="C15" s="391">
        <f>'[1]прил .6 с мостом'!C15</f>
        <v>3000</v>
      </c>
      <c r="D15" s="391">
        <f>'[1]прил .6 с мостом'!D15</f>
        <v>3000</v>
      </c>
      <c r="E15" s="391">
        <f>'[1]прил .6 с мостом'!E15</f>
        <v>3000</v>
      </c>
      <c r="F15" s="391">
        <f>'[1]прил .6 с мостом'!F15</f>
        <v>3000</v>
      </c>
      <c r="G15" s="391">
        <f>'[1]прил .6 с мостом'!G15</f>
        <v>3000</v>
      </c>
      <c r="H15" s="391">
        <f>'[1]прил .6 с мостом'!H15</f>
        <v>12000</v>
      </c>
      <c r="I15" s="391">
        <f>'[1]прил .6 с мостом'!I15</f>
        <v>14000</v>
      </c>
      <c r="J15" s="391">
        <f>'[1]прил .6 с мостом'!J15</f>
        <v>16000</v>
      </c>
    </row>
    <row r="16" spans="1:11">
      <c r="A16" s="390" t="s">
        <v>569</v>
      </c>
      <c r="B16" s="392">
        <f>'[1]прил .6 с мостом'!B16</f>
        <v>0</v>
      </c>
      <c r="C16" s="392">
        <f>'[1]прил .6 с мостом'!C16</f>
        <v>0</v>
      </c>
      <c r="D16" s="392">
        <f>'[1]прил .6 с мостом'!D16</f>
        <v>0</v>
      </c>
      <c r="E16" s="392">
        <f>'[1]прил .6 с мостом'!E16</f>
        <v>0</v>
      </c>
      <c r="F16" s="392">
        <f>'[1]прил .6 с мостом'!F16</f>
        <v>0</v>
      </c>
      <c r="G16" s="392">
        <f>'[1]прил .6 с мостом'!G16</f>
        <v>0</v>
      </c>
      <c r="H16" s="392">
        <f>'[1]прил .6 с мостом'!H16</f>
        <v>0</v>
      </c>
      <c r="I16" s="392">
        <f>'[1]прил .6 с мостом'!I16</f>
        <v>0</v>
      </c>
      <c r="J16" s="392">
        <f>'[1]прил .6 с мостом'!J16</f>
        <v>0</v>
      </c>
    </row>
    <row r="17" spans="1:11">
      <c r="A17" s="390" t="s">
        <v>570</v>
      </c>
      <c r="B17" s="391">
        <f>'[1]прил .6 с мостом'!B17</f>
        <v>57000</v>
      </c>
      <c r="C17" s="391">
        <f>'[1]прил .6 с мостом'!C17</f>
        <v>3000</v>
      </c>
      <c r="D17" s="391">
        <f>'[1]прил .6 с мостом'!D17</f>
        <v>3000</v>
      </c>
      <c r="E17" s="391">
        <f>'[1]прил .6 с мостом'!E17</f>
        <v>3000</v>
      </c>
      <c r="F17" s="391">
        <f>'[1]прил .6 с мостом'!F17</f>
        <v>3000</v>
      </c>
      <c r="G17" s="391">
        <f>'[1]прил .6 с мостом'!G17</f>
        <v>3000</v>
      </c>
      <c r="H17" s="391">
        <f>'[1]прил .6 с мостом'!H17</f>
        <v>12000</v>
      </c>
      <c r="I17" s="391">
        <f>'[1]прил .6 с мостом'!I17</f>
        <v>14000</v>
      </c>
      <c r="J17" s="391">
        <f>'[1]прил .6 с мостом'!J17</f>
        <v>16000</v>
      </c>
    </row>
    <row r="18" spans="1:11">
      <c r="A18" s="390" t="s">
        <v>571</v>
      </c>
      <c r="B18" s="392">
        <f>'[1]прил .6 с мостом'!B18</f>
        <v>0</v>
      </c>
      <c r="C18" s="392">
        <f>'[1]прил .6 с мостом'!C18</f>
        <v>0</v>
      </c>
      <c r="D18" s="392">
        <f>'[1]прил .6 с мостом'!D18</f>
        <v>0</v>
      </c>
      <c r="E18" s="392">
        <f>'[1]прил .6 с мостом'!E18</f>
        <v>0</v>
      </c>
      <c r="F18" s="392">
        <f>'[1]прил .6 с мостом'!F18</f>
        <v>0</v>
      </c>
      <c r="G18" s="392">
        <f>'[1]прил .6 с мостом'!G18</f>
        <v>0</v>
      </c>
      <c r="H18" s="392">
        <f>'[1]прил .6 с мостом'!H18</f>
        <v>0</v>
      </c>
      <c r="I18" s="392">
        <f>'[1]прил .6 с мостом'!I18</f>
        <v>0</v>
      </c>
      <c r="J18" s="392">
        <f>'[1]прил .6 с мостом'!J18</f>
        <v>0</v>
      </c>
    </row>
    <row r="19" spans="1:11">
      <c r="A19" s="390" t="s">
        <v>572</v>
      </c>
      <c r="B19" s="392">
        <f>'[1]прил .6 с мостом'!B19</f>
        <v>0</v>
      </c>
      <c r="C19" s="392">
        <f>'[1]прил .6 с мостом'!C19</f>
        <v>0</v>
      </c>
      <c r="D19" s="392">
        <f>'[1]прил .6 с мостом'!D19</f>
        <v>0</v>
      </c>
      <c r="E19" s="392">
        <f>'[1]прил .6 с мостом'!E19</f>
        <v>0</v>
      </c>
      <c r="F19" s="392">
        <f>'[1]прил .6 с мостом'!F19</f>
        <v>0</v>
      </c>
      <c r="G19" s="392">
        <f>'[1]прил .6 с мостом'!G19</f>
        <v>0</v>
      </c>
      <c r="H19" s="392">
        <f>'[1]прил .6 с мостом'!H19</f>
        <v>0</v>
      </c>
      <c r="I19" s="392">
        <f>'[1]прил .6 с мостом'!I19</f>
        <v>0</v>
      </c>
      <c r="J19" s="392">
        <f>'[1]прил .6 с мостом'!J19</f>
        <v>0</v>
      </c>
    </row>
    <row r="20" spans="1:11">
      <c r="A20" s="390" t="s">
        <v>575</v>
      </c>
      <c r="B20" s="391">
        <f>'[1]прил .6 с мостом'!B20</f>
        <v>58017712.300000004</v>
      </c>
      <c r="C20" s="391">
        <f>'[1]прил .6 с мостом'!C20</f>
        <v>5664900.5</v>
      </c>
      <c r="D20" s="391">
        <f>'[1]прил .6 с мостом'!D20</f>
        <v>7148145.4000000004</v>
      </c>
      <c r="E20" s="391">
        <f>'[1]прил .6 с мостом'!E20</f>
        <v>6939117.2000000002</v>
      </c>
      <c r="F20" s="391">
        <f>'[1]прил .6 с мостом'!F20</f>
        <v>7503284.2999999998</v>
      </c>
      <c r="G20" s="391">
        <f>'[1]прил .6 с мостом'!G20</f>
        <v>7601008.8999999994</v>
      </c>
      <c r="H20" s="391">
        <f>'[1]прил .6 с мостом'!H20</f>
        <v>7545557.4000000004</v>
      </c>
      <c r="I20" s="391">
        <f>'[1]прил .6 с мостом'!I20</f>
        <v>7722190.5999999996</v>
      </c>
      <c r="J20" s="391">
        <f>'[1]прил .6 с мостом'!J20</f>
        <v>7893508</v>
      </c>
    </row>
    <row r="21" spans="1:11">
      <c r="A21" s="390" t="s">
        <v>569</v>
      </c>
      <c r="B21" s="391">
        <f>'[1]прил .6 с мостом'!B21</f>
        <v>457365.1</v>
      </c>
      <c r="C21" s="391">
        <f>'[1]прил .6 с мостом'!C21</f>
        <v>457365.1</v>
      </c>
      <c r="D21" s="392">
        <f>'[1]прил .6 с мостом'!D21</f>
        <v>0</v>
      </c>
      <c r="E21" s="392">
        <f>'[1]прил .6 с мостом'!E21</f>
        <v>0</v>
      </c>
      <c r="F21" s="392">
        <f>'[1]прил .6 с мостом'!F21</f>
        <v>0</v>
      </c>
      <c r="G21" s="392">
        <f>'[1]прил .6 с мостом'!G21</f>
        <v>0</v>
      </c>
      <c r="H21" s="392">
        <f>'[1]прил .6 с мостом'!H21</f>
        <v>0</v>
      </c>
      <c r="I21" s="392">
        <f>'[1]прил .6 с мостом'!I21</f>
        <v>0</v>
      </c>
      <c r="J21" s="392">
        <f>'[1]прил .6 с мостом'!J21</f>
        <v>0</v>
      </c>
    </row>
    <row r="22" spans="1:11">
      <c r="A22" s="390" t="s">
        <v>570</v>
      </c>
      <c r="B22" s="391">
        <f>'[1]прил .6 с мостом'!B22</f>
        <v>56887385.000000007</v>
      </c>
      <c r="C22" s="391">
        <f>'[1]прил .6 с мостом'!C22</f>
        <v>5154450.2</v>
      </c>
      <c r="D22" s="391">
        <f>'[1]прил .6 с мостом'!D22</f>
        <v>7055452</v>
      </c>
      <c r="E22" s="391">
        <f>'[1]прил .6 с мостом'!E22</f>
        <v>6858633.2000000002</v>
      </c>
      <c r="F22" s="391">
        <f>'[1]прил .6 с мостом'!F22</f>
        <v>7423925.0999999996</v>
      </c>
      <c r="G22" s="391">
        <f>'[1]прил .6 с мостом'!G22</f>
        <v>7522228.6999999993</v>
      </c>
      <c r="H22" s="391">
        <f>'[1]прил .6 с мостом'!H22</f>
        <v>7451197.2000000002</v>
      </c>
      <c r="I22" s="391">
        <f>'[1]прил .6 с мостом'!I22</f>
        <v>7625810.5999999996</v>
      </c>
      <c r="J22" s="391">
        <f>'[1]прил .6 с мостом'!J22</f>
        <v>7795688</v>
      </c>
    </row>
    <row r="23" spans="1:11">
      <c r="A23" s="390" t="s">
        <v>571</v>
      </c>
      <c r="B23" s="391">
        <f>'[1]прил .6 с мостом'!B23</f>
        <v>672962.2</v>
      </c>
      <c r="C23" s="391">
        <f>'[1]прил .6 с мостом'!C23</f>
        <v>53085.2</v>
      </c>
      <c r="D23" s="391">
        <f>'[1]прил .6 с мостом'!D23</f>
        <v>92693.4</v>
      </c>
      <c r="E23" s="391">
        <f>'[1]прил .6 с мостом'!E23</f>
        <v>80484</v>
      </c>
      <c r="F23" s="391">
        <f>'[1]прил .6 с мостом'!F23</f>
        <v>79359.199999999997</v>
      </c>
      <c r="G23" s="391">
        <f>'[1]прил .6 с мостом'!G23</f>
        <v>78780.2</v>
      </c>
      <c r="H23" s="391">
        <f>'[1]прил .6 с мостом'!H23</f>
        <v>94360.2</v>
      </c>
      <c r="I23" s="391">
        <f>'[1]прил .6 с мостом'!I23</f>
        <v>96380</v>
      </c>
      <c r="J23" s="391">
        <f>'[1]прил .6 с мостом'!J23</f>
        <v>97820</v>
      </c>
    </row>
    <row r="24" spans="1:11">
      <c r="A24" s="390" t="s">
        <v>572</v>
      </c>
      <c r="B24" s="392">
        <f>'[1]прил .6 с мостом'!B24</f>
        <v>0</v>
      </c>
      <c r="C24" s="392">
        <f>'[1]прил .6 с мостом'!C24</f>
        <v>0</v>
      </c>
      <c r="D24" s="392">
        <f>'[1]прил .6 с мостом'!D24</f>
        <v>0</v>
      </c>
      <c r="E24" s="392">
        <f>'[1]прил .6 с мостом'!E24</f>
        <v>0</v>
      </c>
      <c r="F24" s="392">
        <f>'[1]прил .6 с мостом'!F24</f>
        <v>0</v>
      </c>
      <c r="G24" s="392">
        <f>'[1]прил .6 с мостом'!G24</f>
        <v>0</v>
      </c>
      <c r="H24" s="392">
        <f>'[1]прил .6 с мостом'!H24</f>
        <v>0</v>
      </c>
      <c r="I24" s="392">
        <f>'[1]прил .6 с мостом'!I24</f>
        <v>0</v>
      </c>
      <c r="J24" s="392">
        <f>'[1]прил .6 с мостом'!J24</f>
        <v>0</v>
      </c>
    </row>
    <row r="25" spans="1:11" ht="20.25" customHeight="1">
      <c r="A25" s="656" t="s">
        <v>576</v>
      </c>
      <c r="B25" s="656"/>
      <c r="C25" s="656"/>
      <c r="D25" s="656"/>
      <c r="E25" s="656"/>
      <c r="F25" s="656"/>
      <c r="G25" s="656"/>
      <c r="H25" s="656"/>
      <c r="I25" s="656"/>
      <c r="J25" s="656"/>
    </row>
    <row r="26" spans="1:11">
      <c r="A26" s="390" t="s">
        <v>568</v>
      </c>
      <c r="B26" s="391">
        <f>'[1]прил .6 с мостом'!B26</f>
        <v>78559983.919999987</v>
      </c>
      <c r="C26" s="391">
        <f>'[1]прил .6 с мостом'!C26</f>
        <v>7389522.1000000006</v>
      </c>
      <c r="D26" s="391">
        <f>'[1]прил .6 с мостом'!D26</f>
        <v>8429259.5199999996</v>
      </c>
      <c r="E26" s="391">
        <f>'[1]прил .6 с мостом'!E26</f>
        <v>9666667.4999999981</v>
      </c>
      <c r="F26" s="391">
        <f>'[1]прил .6 с мостом'!F26</f>
        <v>10032250.300000001</v>
      </c>
      <c r="G26" s="391">
        <f>'[1]прил .6 с мостом'!G26</f>
        <v>9939612.4999999981</v>
      </c>
      <c r="H26" s="391">
        <f>'[1]прил .6 с мостом'!H26</f>
        <v>10814708.099999998</v>
      </c>
      <c r="I26" s="391">
        <f>'[1]прил .6 с мостом'!I26</f>
        <v>11044938.499999998</v>
      </c>
      <c r="J26" s="391">
        <f>'[1]прил .6 с мостом'!J26</f>
        <v>11243025.399999999</v>
      </c>
    </row>
    <row r="27" spans="1:11">
      <c r="A27" s="390" t="s">
        <v>569</v>
      </c>
      <c r="B27" s="391">
        <f>'[1]прил .6 с мостом'!B27</f>
        <v>9086523.0199999996</v>
      </c>
      <c r="C27" s="391">
        <f>'[1]прил .6 с мостом'!C27</f>
        <v>1562163.2000000002</v>
      </c>
      <c r="D27" s="391">
        <f>'[1]прил .6 с мостом'!D27</f>
        <v>625434.81999999995</v>
      </c>
      <c r="E27" s="391">
        <f>'[1]прил .6 с мостом'!E27</f>
        <v>924750.6</v>
      </c>
      <c r="F27" s="391">
        <f>'[1]прил .6 с мостом'!F27</f>
        <v>899982.3</v>
      </c>
      <c r="G27" s="391">
        <f>'[1]прил .6 с мостом'!G27</f>
        <v>932600</v>
      </c>
      <c r="H27" s="391">
        <f>'[1]прил .6 с мостом'!H27</f>
        <v>1380530.7</v>
      </c>
      <c r="I27" s="391">
        <f>'[1]прил .6 с мостом'!I27</f>
        <v>1380530.7</v>
      </c>
      <c r="J27" s="391">
        <f>'[1]прил .6 с мостом'!J27</f>
        <v>1380530.7</v>
      </c>
    </row>
    <row r="28" spans="1:11">
      <c r="A28" s="390" t="s">
        <v>570</v>
      </c>
      <c r="B28" s="391">
        <f>'[1]прил .6 с мостом'!B28</f>
        <v>68317536.900000006</v>
      </c>
      <c r="C28" s="391">
        <f>'[1]прил .6 с мостом'!C28</f>
        <v>5446414.7000000002</v>
      </c>
      <c r="D28" s="391">
        <f>'[1]прил .6 с мостом'!D28</f>
        <v>7684169.5999999996</v>
      </c>
      <c r="E28" s="391">
        <f>'[1]прил .6 с мостом'!E28</f>
        <v>8638936.6999999993</v>
      </c>
      <c r="F28" s="391">
        <f>'[1]прил .6 с мостом'!F28</f>
        <v>9029287.8000000007</v>
      </c>
      <c r="G28" s="391">
        <f>'[1]прил .6 с мостом'!G28</f>
        <v>8904032.2999999989</v>
      </c>
      <c r="H28" s="391">
        <f>'[1]прил .6 с мостом'!H28</f>
        <v>9313197.1999999993</v>
      </c>
      <c r="I28" s="391">
        <f>'[1]прил .6 с мостом'!I28</f>
        <v>9539810.5999999996</v>
      </c>
      <c r="J28" s="391">
        <f>'[1]прил .6 с мостом'!J28</f>
        <v>9761688</v>
      </c>
    </row>
    <row r="29" spans="1:11">
      <c r="A29" s="390" t="s">
        <v>571</v>
      </c>
      <c r="B29" s="391">
        <f>'[1]прил .6 с мостом'!B29</f>
        <v>1155923.9999999998</v>
      </c>
      <c r="C29" s="391">
        <f>'[1]прил .6 с мостом'!C29</f>
        <v>380944.2</v>
      </c>
      <c r="D29" s="391">
        <f>'[1]прил .6 с мостом'!D29</f>
        <v>119655.09999999999</v>
      </c>
      <c r="E29" s="391">
        <f>'[1]прил .6 с мостом'!E29</f>
        <v>102980.2</v>
      </c>
      <c r="F29" s="391">
        <f>'[1]прил .6 с мостом'!F29</f>
        <v>102980.2</v>
      </c>
      <c r="G29" s="391">
        <f>'[1]прил .6 с мостом'!G29</f>
        <v>102980.2</v>
      </c>
      <c r="H29" s="391">
        <f>'[1]прил .6 с мостом'!H29</f>
        <v>120980.2</v>
      </c>
      <c r="I29" s="391">
        <f>'[1]прил .6 с мостом'!I29</f>
        <v>124597.2</v>
      </c>
      <c r="J29" s="391">
        <f>'[1]прил .6 с мостом'!J29</f>
        <v>100806.7</v>
      </c>
    </row>
    <row r="30" spans="1:11">
      <c r="A30" s="390" t="s">
        <v>572</v>
      </c>
      <c r="B30" s="391"/>
      <c r="C30" s="392">
        <f>'[1]прил .6 с мостом'!C30</f>
        <v>0</v>
      </c>
      <c r="D30" s="392">
        <f>'[1]прил .6 с мостом'!D30</f>
        <v>0</v>
      </c>
      <c r="E30" s="391"/>
      <c r="F30" s="391"/>
      <c r="G30" s="391"/>
      <c r="H30" s="391"/>
      <c r="I30" s="391"/>
      <c r="J30" s="392">
        <f>'[1]прил .6 с мостом'!J30</f>
        <v>0</v>
      </c>
    </row>
    <row r="31" spans="1:11" ht="19.5" customHeight="1">
      <c r="A31" s="390" t="s">
        <v>573</v>
      </c>
      <c r="B31" s="391">
        <f>'[1]прил .6 с мостом'!B31</f>
        <v>20485271.619999997</v>
      </c>
      <c r="C31" s="391">
        <f>'[1]прил .6 с мостом'!C31</f>
        <v>1721621.6</v>
      </c>
      <c r="D31" s="391">
        <f>'[1]прил .6 с мостом'!D31</f>
        <v>1278114.1199999999</v>
      </c>
      <c r="E31" s="391">
        <f>'[1]прил .6 с мостом'!E31</f>
        <v>2724550.3000000003</v>
      </c>
      <c r="F31" s="391">
        <f>'[1]прил .6 с мостом'!F31</f>
        <v>2525966</v>
      </c>
      <c r="G31" s="391">
        <f>'[1]прил .6 с мостом'!G31</f>
        <v>2335603.6</v>
      </c>
      <c r="H31" s="391">
        <f>'[1]прил .6 с мостом'!H31</f>
        <v>3257150.7</v>
      </c>
      <c r="I31" s="391">
        <f>'[1]прил .6 с мостом'!I31</f>
        <v>3308747.9000000004</v>
      </c>
      <c r="J31" s="391">
        <f>'[1]прил .6 с мостом'!J31</f>
        <v>3333517.4000000004</v>
      </c>
      <c r="K31" s="331">
        <f>C31+D31+E31+F31+G31+H31+I31+J31</f>
        <v>20485271.619999997</v>
      </c>
    </row>
    <row r="32" spans="1:11">
      <c r="A32" s="390" t="s">
        <v>569</v>
      </c>
      <c r="B32" s="391">
        <f>'[1]прил .6 с мостом'!B32</f>
        <v>8629157.9199999999</v>
      </c>
      <c r="C32" s="391">
        <f>'[1]прил .6 с мостом'!C32</f>
        <v>1104798.1000000001</v>
      </c>
      <c r="D32" s="391">
        <f>'[1]прил .6 с мостом'!D32</f>
        <v>625434.81999999995</v>
      </c>
      <c r="E32" s="391">
        <f>'[1]прил .6 с мостом'!E32</f>
        <v>924750.6</v>
      </c>
      <c r="F32" s="391">
        <f>'[1]прил .6 с мостом'!F32</f>
        <v>899982.3</v>
      </c>
      <c r="G32" s="391">
        <f>'[1]прил .6 с мостом'!G32</f>
        <v>932600</v>
      </c>
      <c r="H32" s="391">
        <f>'[1]прил .6 с мостом'!H32</f>
        <v>1380530.7</v>
      </c>
      <c r="I32" s="391">
        <f>'[1]прил .6 с мостом'!I32</f>
        <v>1380530.7</v>
      </c>
      <c r="J32" s="391">
        <f>'[1]прил .6 с мостом'!J32</f>
        <v>1380530.7</v>
      </c>
    </row>
    <row r="33" spans="1:10">
      <c r="A33" s="390" t="s">
        <v>570</v>
      </c>
      <c r="B33" s="391">
        <f>'[1]прил .6 с мостом'!B33</f>
        <v>11373151.9</v>
      </c>
      <c r="C33" s="391">
        <f>'[1]прил .6 с мостом'!C33</f>
        <v>288964.5</v>
      </c>
      <c r="D33" s="391">
        <f>'[1]прил .6 с мостом'!D33</f>
        <v>625717.6</v>
      </c>
      <c r="E33" s="391">
        <f>'[1]прил .6 с мостом'!E33</f>
        <v>1777303.5</v>
      </c>
      <c r="F33" s="391">
        <f>'[1]прил .6 с мостом'!F33</f>
        <v>1602362.7000000002</v>
      </c>
      <c r="G33" s="391">
        <f>'[1]прил .6 с мостом'!G33</f>
        <v>1378803.6</v>
      </c>
      <c r="H33" s="391">
        <f>'[1]прил .6 с мостом'!H33</f>
        <v>1850000</v>
      </c>
      <c r="I33" s="391">
        <f>'[1]прил .6 с мостом'!I33</f>
        <v>1900000</v>
      </c>
      <c r="J33" s="391">
        <f>'[1]прил .6 с мостом'!J33</f>
        <v>1950000</v>
      </c>
    </row>
    <row r="34" spans="1:10">
      <c r="A34" s="390" t="s">
        <v>571</v>
      </c>
      <c r="B34" s="392">
        <f>'[1]прил .6 с мостом'!B34</f>
        <v>482961.80000000005</v>
      </c>
      <c r="C34" s="392">
        <f>'[1]прил .6 с мостом'!C34</f>
        <v>327859</v>
      </c>
      <c r="D34" s="392">
        <f>'[1]прил .6 с мостом'!D34</f>
        <v>26961.7</v>
      </c>
      <c r="E34" s="392">
        <f>'[1]прил .6 с мостом'!E34</f>
        <v>22496.2</v>
      </c>
      <c r="F34" s="392">
        <f>'[1]прил .6 с мостом'!F34</f>
        <v>23621</v>
      </c>
      <c r="G34" s="392">
        <f>'[1]прил .6 с мостом'!G34</f>
        <v>24200</v>
      </c>
      <c r="H34" s="392">
        <f>'[1]прил .6 с мостом'!H34</f>
        <v>26620</v>
      </c>
      <c r="I34" s="392">
        <f>'[1]прил .6 с мостом'!I34</f>
        <v>28217.200000000001</v>
      </c>
      <c r="J34" s="392">
        <f>'[1]прил .6 с мостом'!J34</f>
        <v>2986.7</v>
      </c>
    </row>
    <row r="35" spans="1:10">
      <c r="A35" s="390" t="s">
        <v>572</v>
      </c>
      <c r="B35" s="391"/>
      <c r="C35" s="392">
        <f>'[1]прил .6 с мостом'!C35</f>
        <v>0</v>
      </c>
      <c r="D35" s="392">
        <f>'[1]прил .6 с мостом'!D35</f>
        <v>0</v>
      </c>
      <c r="E35" s="391"/>
      <c r="F35" s="391"/>
      <c r="G35" s="391"/>
      <c r="H35" s="391"/>
      <c r="I35" s="391"/>
      <c r="J35" s="392"/>
    </row>
    <row r="36" spans="1:10">
      <c r="A36" s="390" t="s">
        <v>574</v>
      </c>
      <c r="B36" s="391">
        <f>'[1]прил .6 с мостом'!B36</f>
        <v>57000</v>
      </c>
      <c r="C36" s="391">
        <f>'[1]прил .6 с мостом'!C36</f>
        <v>3000</v>
      </c>
      <c r="D36" s="391">
        <f>'[1]прил .6 с мостом'!D36</f>
        <v>3000</v>
      </c>
      <c r="E36" s="391">
        <f>'[1]прил .6 с мостом'!E36</f>
        <v>3000</v>
      </c>
      <c r="F36" s="391">
        <f>'[1]прил .6 с мостом'!F36</f>
        <v>3000</v>
      </c>
      <c r="G36" s="391">
        <f>'[1]прил .6 с мостом'!G36</f>
        <v>3000</v>
      </c>
      <c r="H36" s="391">
        <f>'[1]прил .6 с мостом'!H36</f>
        <v>12000</v>
      </c>
      <c r="I36" s="391">
        <f>'[1]прил .6 с мостом'!I36</f>
        <v>14000</v>
      </c>
      <c r="J36" s="391">
        <f>'[1]прил .6 с мостом'!J36</f>
        <v>16000</v>
      </c>
    </row>
    <row r="37" spans="1:10">
      <c r="A37" s="390" t="s">
        <v>569</v>
      </c>
      <c r="B37" s="392">
        <f>'[1]прил .6 с мостом'!B37</f>
        <v>0</v>
      </c>
      <c r="C37" s="392">
        <f>'[1]прил .6 с мостом'!C37</f>
        <v>0</v>
      </c>
      <c r="D37" s="392">
        <f>'[1]прил .6 с мостом'!D37</f>
        <v>0</v>
      </c>
      <c r="E37" s="392">
        <f>'[1]прил .6 с мостом'!E37</f>
        <v>0</v>
      </c>
      <c r="F37" s="392">
        <f>'[1]прил .6 с мостом'!F37</f>
        <v>0</v>
      </c>
      <c r="G37" s="392">
        <f>'[1]прил .6 с мостом'!G37</f>
        <v>0</v>
      </c>
      <c r="H37" s="392">
        <f>'[1]прил .6 с мостом'!H37</f>
        <v>0</v>
      </c>
      <c r="I37" s="392">
        <f>'[1]прил .6 с мостом'!I37</f>
        <v>0</v>
      </c>
      <c r="J37" s="392">
        <f>'[1]прил .6 с мостом'!J37</f>
        <v>0</v>
      </c>
    </row>
    <row r="38" spans="1:10">
      <c r="A38" s="390" t="s">
        <v>570</v>
      </c>
      <c r="B38" s="391">
        <f>'[1]прил .6 с мостом'!B38</f>
        <v>57000</v>
      </c>
      <c r="C38" s="391">
        <f>'[1]прил .6 с мостом'!C38</f>
        <v>3000</v>
      </c>
      <c r="D38" s="391">
        <f>'[1]прил .6 с мостом'!D38</f>
        <v>3000</v>
      </c>
      <c r="E38" s="391">
        <f>'[1]прил .6 с мостом'!E38</f>
        <v>3000</v>
      </c>
      <c r="F38" s="391">
        <f>'[1]прил .6 с мостом'!F38</f>
        <v>3000</v>
      </c>
      <c r="G38" s="391">
        <f>'[1]прил .6 с мостом'!G38</f>
        <v>3000</v>
      </c>
      <c r="H38" s="391">
        <f>'[1]прил .6 с мостом'!H38</f>
        <v>12000</v>
      </c>
      <c r="I38" s="391">
        <f>'[1]прил .6 с мостом'!I38</f>
        <v>14000</v>
      </c>
      <c r="J38" s="391">
        <f>'[1]прил .6 с мостом'!J38</f>
        <v>16000</v>
      </c>
    </row>
    <row r="39" spans="1:10">
      <c r="A39" s="390" t="s">
        <v>571</v>
      </c>
      <c r="B39" s="392">
        <f>'[1]прил .6 с мостом'!B39</f>
        <v>0</v>
      </c>
      <c r="C39" s="392">
        <f>'[1]прил .6 с мостом'!C39</f>
        <v>0</v>
      </c>
      <c r="D39" s="392">
        <f>'[1]прил .6 с мостом'!D39</f>
        <v>0</v>
      </c>
      <c r="E39" s="392">
        <f>'[1]прил .6 с мостом'!E39</f>
        <v>0</v>
      </c>
      <c r="F39" s="392">
        <f>'[1]прил .6 с мостом'!F39</f>
        <v>0</v>
      </c>
      <c r="G39" s="392">
        <f>'[1]прил .6 с мостом'!G39</f>
        <v>0</v>
      </c>
      <c r="H39" s="392">
        <f>'[1]прил .6 с мостом'!H39</f>
        <v>0</v>
      </c>
      <c r="I39" s="392">
        <f>'[1]прил .6 с мостом'!I39</f>
        <v>0</v>
      </c>
      <c r="J39" s="392">
        <f>'[1]прил .6 с мостом'!J39</f>
        <v>0</v>
      </c>
    </row>
    <row r="40" spans="1:10">
      <c r="A40" s="390" t="s">
        <v>572</v>
      </c>
      <c r="B40" s="392">
        <f>'[1]прил .6 с мостом'!B40</f>
        <v>0</v>
      </c>
      <c r="C40" s="392">
        <f>'[1]прил .6 с мостом'!C40</f>
        <v>0</v>
      </c>
      <c r="D40" s="392">
        <f>'[1]прил .6 с мостом'!D40</f>
        <v>0</v>
      </c>
      <c r="E40" s="392">
        <f>'[1]прил .6 с мостом'!E40</f>
        <v>0</v>
      </c>
      <c r="F40" s="392">
        <f>'[1]прил .6 с мостом'!F40</f>
        <v>0</v>
      </c>
      <c r="G40" s="392">
        <f>'[1]прил .6 с мостом'!G40</f>
        <v>0</v>
      </c>
      <c r="H40" s="392">
        <f>'[1]прил .6 с мостом'!H40</f>
        <v>0</v>
      </c>
      <c r="I40" s="392">
        <f>'[1]прил .6 с мостом'!I40</f>
        <v>0</v>
      </c>
      <c r="J40" s="392">
        <f>'[1]прил .6 с мостом'!J40</f>
        <v>0</v>
      </c>
    </row>
    <row r="41" spans="1:10">
      <c r="A41" s="390" t="s">
        <v>575</v>
      </c>
      <c r="B41" s="391">
        <f>'[1]прил .6 с мостом'!B41</f>
        <v>58017712.300000004</v>
      </c>
      <c r="C41" s="391">
        <f>'[1]прил .6 с мостом'!C41</f>
        <v>5664900.5</v>
      </c>
      <c r="D41" s="391">
        <f>'[1]прил .6 с мостом'!D41</f>
        <v>7148145.4000000004</v>
      </c>
      <c r="E41" s="391">
        <f>'[1]прил .6 с мостом'!E41</f>
        <v>6939117.2000000002</v>
      </c>
      <c r="F41" s="391">
        <f>'[1]прил .6 с мостом'!F41</f>
        <v>7503284.2999999998</v>
      </c>
      <c r="G41" s="391">
        <f>'[1]прил .6 с мостом'!G41</f>
        <v>7601008.8999999994</v>
      </c>
      <c r="H41" s="391">
        <f>'[1]прил .6 с мостом'!H41</f>
        <v>7545557.4000000004</v>
      </c>
      <c r="I41" s="391">
        <f>'[1]прил .6 с мостом'!I41</f>
        <v>7722190.5999999996</v>
      </c>
      <c r="J41" s="391">
        <f>'[1]прил .6 с мостом'!J41</f>
        <v>7893508</v>
      </c>
    </row>
    <row r="42" spans="1:10">
      <c r="A42" s="390" t="s">
        <v>569</v>
      </c>
      <c r="B42" s="391">
        <f>'[1]прил .6 с мостом'!B42</f>
        <v>457365.1</v>
      </c>
      <c r="C42" s="391">
        <f>'[1]прил .6 с мостом'!C42</f>
        <v>457365.1</v>
      </c>
      <c r="D42" s="392">
        <f>'[1]прил .6 с мостом'!D42</f>
        <v>0</v>
      </c>
      <c r="E42" s="392">
        <f>'[1]прил .6 с мостом'!E42</f>
        <v>0</v>
      </c>
      <c r="F42" s="392">
        <f>'[1]прил .6 с мостом'!F42</f>
        <v>0</v>
      </c>
      <c r="G42" s="392">
        <f>'[1]прил .6 с мостом'!G42</f>
        <v>0</v>
      </c>
      <c r="H42" s="392">
        <f>'[1]прил .6 с мостом'!H42</f>
        <v>0</v>
      </c>
      <c r="I42" s="392">
        <f>'[1]прил .6 с мостом'!I42</f>
        <v>0</v>
      </c>
      <c r="J42" s="392">
        <f>'[1]прил .6 с мостом'!J42</f>
        <v>0</v>
      </c>
    </row>
    <row r="43" spans="1:10">
      <c r="A43" s="390" t="s">
        <v>570</v>
      </c>
      <c r="B43" s="391">
        <f>'[1]прил .6 с мостом'!B43</f>
        <v>56887385.000000007</v>
      </c>
      <c r="C43" s="391">
        <f>'[1]прил .6 с мостом'!C43</f>
        <v>5154450.2</v>
      </c>
      <c r="D43" s="391">
        <f>'[1]прил .6 с мостом'!D43</f>
        <v>7055452</v>
      </c>
      <c r="E43" s="391">
        <f>'[1]прил .6 с мостом'!E43</f>
        <v>6858633.2000000002</v>
      </c>
      <c r="F43" s="391">
        <f>'[1]прил .6 с мостом'!F43</f>
        <v>7423925.0999999996</v>
      </c>
      <c r="G43" s="391">
        <f>'[1]прил .6 с мостом'!G43</f>
        <v>7522228.6999999993</v>
      </c>
      <c r="H43" s="391">
        <f>'[1]прил .6 с мостом'!H43</f>
        <v>7451197.2000000002</v>
      </c>
      <c r="I43" s="391">
        <f>'[1]прил .6 с мостом'!I43</f>
        <v>7625810.5999999996</v>
      </c>
      <c r="J43" s="391">
        <f>'[1]прил .6 с мостом'!J43</f>
        <v>7795688</v>
      </c>
    </row>
    <row r="44" spans="1:10">
      <c r="A44" s="390" t="s">
        <v>571</v>
      </c>
      <c r="B44" s="391">
        <f>'[1]прил .6 с мостом'!B44</f>
        <v>672962.2</v>
      </c>
      <c r="C44" s="391">
        <f>'[1]прил .6 с мостом'!C44</f>
        <v>53085.2</v>
      </c>
      <c r="D44" s="391">
        <f>'[1]прил .6 с мостом'!D44</f>
        <v>92693.4</v>
      </c>
      <c r="E44" s="391">
        <f>'[1]прил .6 с мостом'!E44</f>
        <v>80484</v>
      </c>
      <c r="F44" s="391">
        <f>'[1]прил .6 с мостом'!F44</f>
        <v>79359.199999999997</v>
      </c>
      <c r="G44" s="391">
        <f>'[1]прил .6 с мостом'!G44</f>
        <v>78780.2</v>
      </c>
      <c r="H44" s="391">
        <f>'[1]прил .6 с мостом'!H44</f>
        <v>94360.2</v>
      </c>
      <c r="I44" s="391">
        <f>'[1]прил .6 с мостом'!I44</f>
        <v>96380</v>
      </c>
      <c r="J44" s="391">
        <f>'[1]прил .6 с мостом'!J44</f>
        <v>97820</v>
      </c>
    </row>
    <row r="45" spans="1:10">
      <c r="A45" s="390" t="s">
        <v>572</v>
      </c>
      <c r="B45" s="392">
        <f>'[1]прил .6 с мостом'!B45</f>
        <v>0</v>
      </c>
      <c r="C45" s="392">
        <f>'[1]прил .6 с мостом'!C45</f>
        <v>0</v>
      </c>
      <c r="D45" s="392">
        <f>'[1]прил .6 с мостом'!D45</f>
        <v>0</v>
      </c>
      <c r="E45" s="392">
        <f>'[1]прил .6 с мостом'!E45</f>
        <v>0</v>
      </c>
      <c r="F45" s="392">
        <f>'[1]прил .6 с мостом'!F45</f>
        <v>0</v>
      </c>
      <c r="G45" s="392">
        <f>'[1]прил .6 с мостом'!G45</f>
        <v>0</v>
      </c>
      <c r="H45" s="392">
        <f>'[1]прил .6 с мостом'!H45</f>
        <v>0</v>
      </c>
      <c r="I45" s="392">
        <f>'[1]прил .6 с мостом'!I45</f>
        <v>0</v>
      </c>
      <c r="J45" s="392">
        <f>'[1]прил .6 с мостом'!J45</f>
        <v>0</v>
      </c>
    </row>
    <row r="46" spans="1:10" ht="50.25" customHeight="1">
      <c r="A46" s="390" t="s">
        <v>577</v>
      </c>
      <c r="B46" s="391">
        <f>'[1]прил .6 с мостом'!B46</f>
        <v>4087696.2</v>
      </c>
      <c r="C46" s="391">
        <f>'[1]прил .6 с мостом'!C46</f>
        <v>533688</v>
      </c>
      <c r="D46" s="391">
        <f>'[1]прил .6 с мостом'!D46</f>
        <v>560906</v>
      </c>
      <c r="E46" s="391">
        <f>'[1]прил .6 с мостом'!E46</f>
        <v>429099</v>
      </c>
      <c r="F46" s="391">
        <f>'[1]прил .6 с мостом'!F46</f>
        <v>454844.9</v>
      </c>
      <c r="G46" s="391">
        <f>'[1]прил .6 с мостом'!G46</f>
        <v>482135.6</v>
      </c>
      <c r="H46" s="391">
        <f>'[1]прил .6 с мостом'!H46</f>
        <v>511063.8</v>
      </c>
      <c r="I46" s="391">
        <f>'[1]прил .6 с мостом'!I46</f>
        <v>541727.6</v>
      </c>
      <c r="J46" s="391">
        <f>'[1]прил .6 с мостом'!J46</f>
        <v>574231.30000000005</v>
      </c>
    </row>
    <row r="47" spans="1:10">
      <c r="A47" s="390" t="s">
        <v>578</v>
      </c>
      <c r="B47" s="653">
        <f>'[1]прил .6 с мостом'!B47:B48</f>
        <v>9086523.0500000007</v>
      </c>
      <c r="C47" s="653">
        <f>'[1]прил .6 с мостом'!C47:C48</f>
        <v>1562163.2000000002</v>
      </c>
      <c r="D47" s="653">
        <f>'[1]прил .6 с мостом'!D47:D48</f>
        <v>625434.81999999995</v>
      </c>
      <c r="E47" s="653">
        <f>'[1]прил .6 с мостом'!E47:E48</f>
        <v>924750.63000000012</v>
      </c>
      <c r="F47" s="653">
        <f>'[1]прил .6 с мостом'!F47:F48</f>
        <v>899982.3</v>
      </c>
      <c r="G47" s="653">
        <f>'[1]прил .6 с мостом'!G47:G48</f>
        <v>932600</v>
      </c>
      <c r="H47" s="653">
        <f>'[1]прил .6 с мостом'!H47:H48</f>
        <v>1380530.7</v>
      </c>
      <c r="I47" s="653">
        <f>'[1]прил .6 с мостом'!I47:I48</f>
        <v>1380530.7</v>
      </c>
      <c r="J47" s="653">
        <f>'[1]прил .6 с мостом'!J47:J48</f>
        <v>1380530.7</v>
      </c>
    </row>
    <row r="48" spans="1:10" ht="62.25" customHeight="1">
      <c r="A48" s="390" t="s">
        <v>579</v>
      </c>
      <c r="B48" s="653"/>
      <c r="C48" s="653"/>
      <c r="D48" s="653"/>
      <c r="E48" s="653"/>
      <c r="F48" s="653"/>
      <c r="G48" s="653"/>
      <c r="H48" s="653"/>
      <c r="I48" s="653"/>
      <c r="J48" s="653"/>
    </row>
    <row r="49" spans="1:21" s="334" customFormat="1" ht="15.75" hidden="1" customHeight="1">
      <c r="A49" s="390" t="s">
        <v>31</v>
      </c>
      <c r="B49" s="651">
        <f>'[1]прил .6 с мостом'!B50</f>
        <v>472799.23</v>
      </c>
      <c r="C49" s="651">
        <f>'[1]прил .6 с мостом'!C50</f>
        <v>95879.3</v>
      </c>
      <c r="D49" s="651">
        <f>'[1]прил .6 с мостом'!D50</f>
        <v>60969.599999999999</v>
      </c>
      <c r="E49" s="651">
        <f>'[1]прил .6 с мостом'!E50</f>
        <v>315950.33</v>
      </c>
      <c r="F49" s="651"/>
      <c r="G49" s="651"/>
      <c r="H49" s="651"/>
      <c r="I49" s="651"/>
      <c r="J49" s="651"/>
    </row>
    <row r="50" spans="1:21" ht="152.25" customHeight="1">
      <c r="A50" s="390" t="s">
        <v>580</v>
      </c>
      <c r="B50" s="652"/>
      <c r="C50" s="652"/>
      <c r="D50" s="652"/>
      <c r="E50" s="652"/>
      <c r="F50" s="652"/>
      <c r="G50" s="652"/>
      <c r="H50" s="652"/>
      <c r="I50" s="652"/>
      <c r="J50" s="652"/>
    </row>
    <row r="51" spans="1:21" ht="127.5" customHeight="1">
      <c r="A51" s="390" t="s">
        <v>581</v>
      </c>
      <c r="B51" s="391">
        <f>'[1]прил .6 с мостом'!B51</f>
        <v>8156358.7200000007</v>
      </c>
      <c r="C51" s="391">
        <f>'[1]прил .6 с мостом'!C51</f>
        <v>1008918.8</v>
      </c>
      <c r="D51" s="391">
        <f>'[1]прил .6 с мостом'!D51</f>
        <v>564465.22</v>
      </c>
      <c r="E51" s="391">
        <f>'[1]прил .6 с мостом'!E51</f>
        <v>608800.30000000005</v>
      </c>
      <c r="F51" s="391">
        <f>'[1]прил .6 с мостом'!F51</f>
        <v>899982.3</v>
      </c>
      <c r="G51" s="391">
        <f>'[1]прил .6 с мостом'!G51</f>
        <v>932600</v>
      </c>
      <c r="H51" s="391">
        <f>'[1]прил .6 с мостом'!H51</f>
        <v>1380530.7</v>
      </c>
      <c r="I51" s="391">
        <f>'[1]прил .6 с мостом'!I51</f>
        <v>1380530.7</v>
      </c>
      <c r="J51" s="391">
        <f>'[1]прил .6 с мостом'!J51</f>
        <v>1380530.7</v>
      </c>
    </row>
    <row r="52" spans="1:21" ht="102" customHeight="1">
      <c r="A52" s="390" t="s">
        <v>582</v>
      </c>
      <c r="B52" s="391">
        <f>'[1]прил .6 с мостом'!B52</f>
        <v>457365.1</v>
      </c>
      <c r="C52" s="391">
        <f>'[1]прил .6 с мостом'!C52</f>
        <v>457365.1</v>
      </c>
      <c r="D52" s="391"/>
      <c r="E52" s="391"/>
      <c r="F52" s="391"/>
      <c r="G52" s="391"/>
      <c r="H52" s="391"/>
      <c r="I52" s="391"/>
      <c r="J52" s="391"/>
    </row>
    <row r="53" spans="1:21" ht="146.25" customHeight="1">
      <c r="A53" s="390" t="s">
        <v>583</v>
      </c>
      <c r="B53" s="391"/>
      <c r="C53" s="391"/>
      <c r="D53" s="391"/>
      <c r="E53" s="391"/>
      <c r="F53" s="391"/>
      <c r="G53" s="391"/>
      <c r="H53" s="391"/>
      <c r="I53" s="391"/>
      <c r="J53" s="391"/>
      <c r="K53" s="336">
        <f>B53</f>
        <v>0</v>
      </c>
    </row>
    <row r="54" spans="1:21" ht="30" customHeight="1" thickBot="1"/>
    <row r="55" spans="1:21" ht="45" customHeight="1" thickBot="1">
      <c r="A55" s="337" t="s">
        <v>584</v>
      </c>
      <c r="B55" s="338">
        <f>'[1]прил .6 с мостом'!B55</f>
        <v>0</v>
      </c>
      <c r="C55" s="338">
        <f>'[1]прил .6 с мостом'!C55</f>
        <v>0</v>
      </c>
      <c r="D55" s="338">
        <f>'[1]прил .6 с мостом'!D55</f>
        <v>0</v>
      </c>
      <c r="E55" s="338">
        <f>'[1]прил .6 с мостом'!E55</f>
        <v>0</v>
      </c>
      <c r="F55" s="338">
        <f>'[1]прил .6 с мостом'!F55</f>
        <v>0</v>
      </c>
      <c r="G55" s="338">
        <f>'[1]прил .6 с мостом'!G55</f>
        <v>0</v>
      </c>
      <c r="H55" s="338">
        <f>'[1]прил .6 с мостом'!H55</f>
        <v>0</v>
      </c>
      <c r="I55" s="338">
        <f>'[1]прил .6 с мостом'!I55</f>
        <v>0</v>
      </c>
      <c r="J55" s="338">
        <f>'[1]прил .6 с мостом'!J55</f>
        <v>0</v>
      </c>
      <c r="K55" s="336">
        <f>B55</f>
        <v>0</v>
      </c>
    </row>
    <row r="56" spans="1:21" ht="33.75" customHeight="1" thickBot="1">
      <c r="A56" s="337" t="s">
        <v>585</v>
      </c>
      <c r="B56" s="338">
        <f>'[1]прил .6 с мостом'!B56</f>
        <v>0</v>
      </c>
      <c r="C56" s="338">
        <f>'[1]прил .6 с мостом'!C56</f>
        <v>0</v>
      </c>
      <c r="D56" s="338">
        <f>'[1]прил .6 с мостом'!D56</f>
        <v>0</v>
      </c>
      <c r="E56" s="338">
        <f>'[1]прил .6 с мостом'!E56</f>
        <v>0</v>
      </c>
      <c r="F56" s="338">
        <f>'[1]прил .6 с мостом'!F56</f>
        <v>0</v>
      </c>
      <c r="G56" s="338">
        <f>'[1]прил .6 с мостом'!G56</f>
        <v>0</v>
      </c>
      <c r="H56" s="338">
        <f>'[1]прил .6 с мостом'!H56</f>
        <v>0</v>
      </c>
      <c r="I56" s="338">
        <f>'[1]прил .6 с мостом'!I56</f>
        <v>0</v>
      </c>
      <c r="J56" s="338">
        <f>'[1]прил .6 с мостом'!J56</f>
        <v>0</v>
      </c>
      <c r="K56" s="336">
        <f>B56</f>
        <v>0</v>
      </c>
    </row>
    <row r="57" spans="1:21">
      <c r="K57" s="345">
        <f>SUM(K53:K56)</f>
        <v>0</v>
      </c>
    </row>
    <row r="58" spans="1:21">
      <c r="D58" s="331">
        <f>D53+D55+D56</f>
        <v>0</v>
      </c>
      <c r="E58" s="331">
        <f>E53+E55+E56</f>
        <v>0</v>
      </c>
      <c r="F58" s="331">
        <f t="shared" ref="F58:I58" si="0">F53+F55+F56</f>
        <v>0</v>
      </c>
      <c r="G58" s="331">
        <f t="shared" si="0"/>
        <v>0</v>
      </c>
      <c r="H58" s="331">
        <f t="shared" si="0"/>
        <v>0</v>
      </c>
      <c r="I58" s="331">
        <f t="shared" si="0"/>
        <v>0</v>
      </c>
      <c r="U58" s="331">
        <f>B59-D58-E58</f>
        <v>0</v>
      </c>
    </row>
    <row r="59" spans="1:21">
      <c r="B59" s="346">
        <f>B53+B55+B56</f>
        <v>0</v>
      </c>
    </row>
    <row r="60" spans="1:21">
      <c r="C60" s="327">
        <v>2015</v>
      </c>
      <c r="D60" s="327">
        <v>2016</v>
      </c>
      <c r="E60" s="327">
        <v>2017</v>
      </c>
      <c r="F60" s="327">
        <v>2018</v>
      </c>
      <c r="G60" s="327">
        <v>2019</v>
      </c>
      <c r="H60" s="327">
        <v>2020</v>
      </c>
      <c r="I60" s="327">
        <v>2021</v>
      </c>
    </row>
    <row r="61" spans="1:21">
      <c r="B61" s="346"/>
      <c r="D61" s="347">
        <v>107.31489163336438</v>
      </c>
      <c r="E61" s="348">
        <v>106.80419218815939</v>
      </c>
      <c r="F61" s="348">
        <v>106.40296400340539</v>
      </c>
      <c r="G61" s="348">
        <v>105.28755638334495</v>
      </c>
      <c r="H61" s="349">
        <v>104.62228427027578</v>
      </c>
      <c r="I61" s="350">
        <v>103.90195775089536</v>
      </c>
    </row>
    <row r="62" spans="1:21">
      <c r="A62" s="351" t="s">
        <v>586</v>
      </c>
      <c r="D62" s="352">
        <f>D61/100</f>
        <v>1.0731489163336438</v>
      </c>
      <c r="E62" s="352">
        <f t="shared" ref="E62:I62" si="1">E61/100</f>
        <v>1.068041921881594</v>
      </c>
      <c r="F62" s="352">
        <f t="shared" si="1"/>
        <v>1.0640296400340539</v>
      </c>
      <c r="G62" s="352">
        <f t="shared" si="1"/>
        <v>1.0528755638334495</v>
      </c>
      <c r="H62" s="352">
        <f t="shared" si="1"/>
        <v>1.0462228427027578</v>
      </c>
      <c r="I62" s="352">
        <f t="shared" si="1"/>
        <v>1.0390195775089537</v>
      </c>
    </row>
    <row r="63" spans="1:21">
      <c r="A63" s="353"/>
      <c r="C63" s="354">
        <f>32078587.37</f>
        <v>32078587.370000001</v>
      </c>
      <c r="D63" s="354">
        <v>775000</v>
      </c>
      <c r="E63" s="354">
        <f>$C63/5-775000/5</f>
        <v>6260717.4740000004</v>
      </c>
      <c r="F63" s="354">
        <f>$C63/5-775000/5</f>
        <v>6260717.4740000004</v>
      </c>
      <c r="G63" s="354">
        <f>$C63/5-775000/5</f>
        <v>6260717.4740000004</v>
      </c>
      <c r="H63" s="354">
        <f>$C63/5-775000/5</f>
        <v>6260717.4740000004</v>
      </c>
      <c r="I63" s="354">
        <f>$C63/5-775000/5</f>
        <v>6260717.4740000004</v>
      </c>
      <c r="J63" s="355">
        <f>SUM(D63:I63)</f>
        <v>32078587.370000001</v>
      </c>
    </row>
    <row r="64" spans="1:21">
      <c r="A64" s="353"/>
      <c r="B64" s="356">
        <v>1</v>
      </c>
      <c r="C64" s="357" t="s">
        <v>587</v>
      </c>
      <c r="D64" s="358">
        <v>775000</v>
      </c>
      <c r="E64" s="358">
        <f>E62*E63</f>
        <v>6686708.7232886385</v>
      </c>
      <c r="F64" s="358">
        <f>F62*F63</f>
        <v>6661588.9602151318</v>
      </c>
      <c r="G64" s="358">
        <f>G62*G63</f>
        <v>6591756.4404396797</v>
      </c>
      <c r="H64" s="358">
        <f>H62*H63</f>
        <v>6550105.6330071092</v>
      </c>
      <c r="I64" s="358">
        <f>I62*I63</f>
        <v>6505008.024738404</v>
      </c>
      <c r="J64" s="359">
        <f>SUM(D64:I64)</f>
        <v>33770167.781688958</v>
      </c>
    </row>
    <row r="65" spans="1:15" hidden="1">
      <c r="A65" s="353"/>
      <c r="E65" s="354">
        <f>33770167.8*0.75/5</f>
        <v>5065525.17</v>
      </c>
      <c r="F65" s="354">
        <f t="shared" ref="F65:I65" si="2">33770167.8*0.75/5</f>
        <v>5065525.17</v>
      </c>
      <c r="G65" s="354">
        <f t="shared" si="2"/>
        <v>5065525.17</v>
      </c>
      <c r="H65" s="354">
        <f t="shared" si="2"/>
        <v>5065525.17</v>
      </c>
      <c r="I65" s="354">
        <f t="shared" si="2"/>
        <v>5065525.17</v>
      </c>
      <c r="J65" s="355">
        <f>SUM(E65:I65)</f>
        <v>25327625.850000001</v>
      </c>
      <c r="K65" s="354">
        <f>25368000-J65</f>
        <v>40374.14999999851</v>
      </c>
      <c r="M65" s="360"/>
    </row>
    <row r="66" spans="1:15" hidden="1">
      <c r="A66" s="353"/>
      <c r="E66" s="360">
        <f>K65/5</f>
        <v>8074.8299999997016</v>
      </c>
      <c r="F66" s="360">
        <v>8074.8299999997016</v>
      </c>
      <c r="G66" s="360">
        <v>8074.8299999997016</v>
      </c>
      <c r="H66" s="360">
        <v>8074.8299999997016</v>
      </c>
      <c r="I66" s="360">
        <v>8074.8299999997016</v>
      </c>
      <c r="J66" s="355">
        <f t="shared" ref="J66:J69" si="3">SUM(E66:I66)</f>
        <v>40374.14999999851</v>
      </c>
    </row>
    <row r="67" spans="1:15" hidden="1">
      <c r="A67" s="353"/>
      <c r="B67" s="356">
        <v>0.75</v>
      </c>
      <c r="C67" s="357" t="s">
        <v>588</v>
      </c>
      <c r="D67" s="361"/>
      <c r="E67" s="362">
        <f>E65+E66</f>
        <v>5073600</v>
      </c>
      <c r="F67" s="362">
        <f t="shared" ref="F67:I67" si="4">F65+F66</f>
        <v>5073600</v>
      </c>
      <c r="G67" s="362">
        <f t="shared" si="4"/>
        <v>5073600</v>
      </c>
      <c r="H67" s="362">
        <f t="shared" si="4"/>
        <v>5073600</v>
      </c>
      <c r="I67" s="362">
        <f t="shared" si="4"/>
        <v>5073600</v>
      </c>
      <c r="J67" s="359">
        <f>SUM(E67:I67)</f>
        <v>25368000</v>
      </c>
      <c r="K67" s="633">
        <f>J67+J69+J68</f>
        <v>33770167.781688958</v>
      </c>
    </row>
    <row r="68" spans="1:15" hidden="1">
      <c r="A68" s="353"/>
      <c r="B68" s="356"/>
      <c r="C68" s="357" t="s">
        <v>589</v>
      </c>
      <c r="D68" s="362">
        <v>775000</v>
      </c>
      <c r="E68" s="363">
        <v>2011000</v>
      </c>
      <c r="F68" s="363">
        <v>1272000</v>
      </c>
      <c r="G68" s="362"/>
      <c r="H68" s="362"/>
      <c r="I68" s="362"/>
      <c r="J68" s="359">
        <f>SUM(D68:I68)</f>
        <v>4058000</v>
      </c>
      <c r="K68" s="633"/>
      <c r="M68" s="360"/>
    </row>
    <row r="69" spans="1:15" hidden="1">
      <c r="A69" s="353"/>
      <c r="B69" s="356">
        <v>0.25</v>
      </c>
      <c r="C69" s="357" t="s">
        <v>590</v>
      </c>
      <c r="D69" s="361"/>
      <c r="E69" s="362">
        <f>E64-E67-E68</f>
        <v>-397891.27671136148</v>
      </c>
      <c r="F69" s="362">
        <f t="shared" ref="F69:I69" si="5">F64-F67-F68</f>
        <v>315988.96021513175</v>
      </c>
      <c r="G69" s="362">
        <f t="shared" si="5"/>
        <v>1518156.4404396797</v>
      </c>
      <c r="H69" s="362">
        <f t="shared" si="5"/>
        <v>1476505.6330071092</v>
      </c>
      <c r="I69" s="362">
        <f t="shared" si="5"/>
        <v>1431408.024738404</v>
      </c>
      <c r="J69" s="359">
        <f t="shared" si="3"/>
        <v>4344167.7816889631</v>
      </c>
      <c r="K69" s="634"/>
    </row>
    <row r="70" spans="1:15" hidden="1">
      <c r="A70" s="353"/>
    </row>
    <row r="71" spans="1:15" hidden="1">
      <c r="A71" s="353"/>
    </row>
    <row r="72" spans="1:15" hidden="1">
      <c r="A72" s="353"/>
      <c r="E72" s="362">
        <f>8079000</f>
        <v>8079000</v>
      </c>
      <c r="F72" s="362">
        <f>5497000</f>
        <v>5497000</v>
      </c>
      <c r="G72" s="362">
        <f>5741000</f>
        <v>5741000</v>
      </c>
      <c r="H72" s="362">
        <f>3981000</f>
        <v>3981000</v>
      </c>
      <c r="I72" s="362">
        <f>2070000</f>
        <v>2070000</v>
      </c>
      <c r="J72" s="360">
        <f>SUM(E72:I72)</f>
        <v>25368000</v>
      </c>
    </row>
    <row r="73" spans="1:15" hidden="1">
      <c r="A73" s="635" t="s">
        <v>591</v>
      </c>
      <c r="C73" s="357" t="s">
        <v>588</v>
      </c>
      <c r="E73" s="364">
        <f>E72/$K67</f>
        <v>0.23923481968545737</v>
      </c>
      <c r="F73" s="364">
        <f>F72/$K67</f>
        <v>0.16277680453162016</v>
      </c>
      <c r="G73" s="364">
        <f>G72/$K67</f>
        <v>0.17000211657559236</v>
      </c>
      <c r="H73" s="364">
        <f>H72/$K67</f>
        <v>0.11788511166825175</v>
      </c>
      <c r="I73" s="364">
        <f>I72/$K67</f>
        <v>6.129670463533813E-2</v>
      </c>
      <c r="J73" s="364">
        <f>SUM(E73:I73)</f>
        <v>0.75119555709625974</v>
      </c>
    </row>
    <row r="74" spans="1:15" hidden="1">
      <c r="A74" s="635"/>
      <c r="C74" s="357" t="s">
        <v>590</v>
      </c>
      <c r="E74" s="364">
        <f>E73/$J73</f>
        <v>0.3184720908230842</v>
      </c>
      <c r="F74" s="364">
        <f t="shared" ref="F74:I74" si="6">F73/$J73</f>
        <v>0.21669031851151058</v>
      </c>
      <c r="G74" s="364">
        <f t="shared" si="6"/>
        <v>0.22630873541469568</v>
      </c>
      <c r="H74" s="364">
        <f t="shared" si="6"/>
        <v>0.15692999053926207</v>
      </c>
      <c r="I74" s="364">
        <f t="shared" si="6"/>
        <v>8.1598864711447491E-2</v>
      </c>
      <c r="J74" s="364">
        <f>SUM(E74:I74)</f>
        <v>1</v>
      </c>
    </row>
    <row r="75" spans="1:15">
      <c r="A75" s="365"/>
      <c r="C75" s="366"/>
      <c r="E75" s="344"/>
      <c r="F75" s="344"/>
      <c r="G75" s="344"/>
      <c r="H75" s="344"/>
      <c r="I75" s="344"/>
    </row>
    <row r="76" spans="1:15">
      <c r="A76" s="635" t="s">
        <v>592</v>
      </c>
      <c r="B76" s="356">
        <v>0.75</v>
      </c>
      <c r="C76" s="357" t="s">
        <v>588</v>
      </c>
      <c r="D76" s="361"/>
      <c r="E76" s="362">
        <f>$K67*E73</f>
        <v>8079000</v>
      </c>
      <c r="F76" s="362">
        <f>$K67*F73</f>
        <v>5497000</v>
      </c>
      <c r="G76" s="362">
        <f>$K67*G73</f>
        <v>5741000</v>
      </c>
      <c r="H76" s="362">
        <f>$K67*H73</f>
        <v>3981000</v>
      </c>
      <c r="I76" s="362">
        <f>$K67*I73</f>
        <v>2070000</v>
      </c>
      <c r="J76" s="359">
        <f>SUM(D76:I76)</f>
        <v>25368000</v>
      </c>
      <c r="K76" s="636">
        <f>J76+J78+J77</f>
        <v>33824000</v>
      </c>
    </row>
    <row r="77" spans="1:15">
      <c r="A77" s="635"/>
      <c r="B77" s="356"/>
      <c r="C77" s="357" t="s">
        <v>589</v>
      </c>
      <c r="D77" s="363">
        <v>775000</v>
      </c>
      <c r="E77" s="363">
        <v>2011000</v>
      </c>
      <c r="F77" s="363">
        <v>1272000</v>
      </c>
      <c r="G77" s="362"/>
      <c r="H77" s="362"/>
      <c r="I77" s="362"/>
      <c r="J77" s="359">
        <f t="shared" ref="J77:J78" si="7">SUM(D77:I77)</f>
        <v>4058000</v>
      </c>
      <c r="K77" s="636"/>
      <c r="M77" s="360"/>
    </row>
    <row r="78" spans="1:15">
      <c r="A78" s="635"/>
      <c r="B78" s="356">
        <v>0.25</v>
      </c>
      <c r="C78" s="357" t="s">
        <v>590</v>
      </c>
      <c r="D78" s="357"/>
      <c r="E78" s="362">
        <v>1400640.2554399243</v>
      </c>
      <c r="F78" s="362">
        <v>953004.02081362344</v>
      </c>
      <c r="G78" s="362">
        <v>995305.81835383154</v>
      </c>
      <c r="H78" s="362">
        <v>690178.09839167458</v>
      </c>
      <c r="I78" s="362">
        <v>358871.80700094608</v>
      </c>
      <c r="J78" s="359">
        <f t="shared" si="7"/>
        <v>4398000</v>
      </c>
      <c r="K78" s="636"/>
    </row>
    <row r="79" spans="1:15">
      <c r="A79" s="635"/>
      <c r="B79" s="369">
        <v>1</v>
      </c>
      <c r="C79" s="370" t="s">
        <v>593</v>
      </c>
      <c r="D79" s="371">
        <f>SUM(D76:D78)</f>
        <v>775000</v>
      </c>
      <c r="E79" s="371">
        <f>SUM(E76:E78)</f>
        <v>11490640.255439924</v>
      </c>
      <c r="F79" s="371">
        <f t="shared" ref="F79:I79" si="8">SUM(F76:F78)</f>
        <v>7722004.0208136234</v>
      </c>
      <c r="G79" s="371">
        <f t="shared" si="8"/>
        <v>6736305.8183538318</v>
      </c>
      <c r="H79" s="371">
        <f t="shared" si="8"/>
        <v>4671178.0983916745</v>
      </c>
      <c r="I79" s="371">
        <f t="shared" si="8"/>
        <v>2428871.8070009463</v>
      </c>
      <c r="J79" s="371">
        <f>SUM(J76:J78)</f>
        <v>33824000</v>
      </c>
      <c r="K79" s="372"/>
    </row>
    <row r="80" spans="1:15" ht="19.5" customHeight="1">
      <c r="B80" s="629" t="s">
        <v>591</v>
      </c>
      <c r="C80" s="629"/>
      <c r="D80" s="373">
        <f>D79/$K76</f>
        <v>2.2912724692526018E-2</v>
      </c>
      <c r="E80" s="373">
        <f>E79/$K76</f>
        <v>0.33971855059838946</v>
      </c>
      <c r="F80" s="373">
        <f t="shared" ref="F80:I80" si="9">F79/$K76</f>
        <v>0.22829955123029871</v>
      </c>
      <c r="G80" s="373">
        <f t="shared" si="9"/>
        <v>0.19915757504593873</v>
      </c>
      <c r="H80" s="373">
        <f t="shared" si="9"/>
        <v>0.13810247452671695</v>
      </c>
      <c r="I80" s="373">
        <f t="shared" si="9"/>
        <v>7.1809123906130146E-2</v>
      </c>
      <c r="J80" s="373">
        <f>SUM(D80:I80)</f>
        <v>1</v>
      </c>
      <c r="O80" s="360"/>
    </row>
    <row r="82" spans="2:16">
      <c r="B82" s="374">
        <v>0.75</v>
      </c>
      <c r="C82" s="375" t="s">
        <v>588</v>
      </c>
      <c r="D82" s="376"/>
      <c r="E82" s="377">
        <f>8079000</f>
        <v>8079000</v>
      </c>
      <c r="F82" s="377">
        <f>5497000</f>
        <v>5497000</v>
      </c>
      <c r="G82" s="377">
        <f>5741000</f>
        <v>5741000</v>
      </c>
      <c r="H82" s="377">
        <f>3981000</f>
        <v>3981000</v>
      </c>
      <c r="I82" s="377">
        <f>2070000</f>
        <v>2070000</v>
      </c>
      <c r="J82" s="378">
        <f>SUM(E82:I82)</f>
        <v>25368000</v>
      </c>
      <c r="N82" t="s">
        <v>594</v>
      </c>
      <c r="O82" s="360">
        <v>25368000</v>
      </c>
      <c r="P82" s="364">
        <f>O82/O85</f>
        <v>0.75</v>
      </c>
    </row>
    <row r="83" spans="2:16">
      <c r="B83" s="374"/>
      <c r="C83" s="375" t="s">
        <v>589</v>
      </c>
      <c r="D83" s="376">
        <v>775000</v>
      </c>
      <c r="E83" s="376">
        <v>2011000</v>
      </c>
      <c r="F83" s="376">
        <v>1272000</v>
      </c>
      <c r="G83" s="376"/>
      <c r="H83" s="376"/>
      <c r="I83" s="376"/>
      <c r="J83" s="378">
        <f>SUM(D83:I83)</f>
        <v>4058000</v>
      </c>
      <c r="N83" t="s">
        <v>595</v>
      </c>
      <c r="O83" s="360">
        <v>4058000</v>
      </c>
      <c r="P83" s="364">
        <f>O83/O85</f>
        <v>0.11997398297067172</v>
      </c>
    </row>
    <row r="84" spans="2:16">
      <c r="B84" s="374">
        <v>0.25</v>
      </c>
      <c r="C84" s="375" t="s">
        <v>590</v>
      </c>
      <c r="D84" s="376"/>
      <c r="E84" s="377">
        <v>358871.80700094608</v>
      </c>
      <c r="F84" s="377">
        <v>690178.09839167458</v>
      </c>
      <c r="G84" s="377">
        <v>995305.81835383154</v>
      </c>
      <c r="H84" s="377">
        <v>953004.02081362344</v>
      </c>
      <c r="I84" s="377">
        <v>1400640.2554399243</v>
      </c>
      <c r="J84" s="378">
        <f>SUM(D84:I84)</f>
        <v>4398000</v>
      </c>
      <c r="K84" s="360"/>
      <c r="N84" t="s">
        <v>596</v>
      </c>
      <c r="O84" s="360">
        <v>4398000</v>
      </c>
      <c r="P84" s="364">
        <f>O84/O85</f>
        <v>0.13002601702932828</v>
      </c>
    </row>
    <row r="85" spans="2:16">
      <c r="B85" s="379">
        <v>1</v>
      </c>
      <c r="C85" s="379" t="s">
        <v>593</v>
      </c>
      <c r="D85" s="380">
        <f>SUM(D82:D84)</f>
        <v>775000</v>
      </c>
      <c r="E85" s="380">
        <f>SUM(E82:E84)</f>
        <v>10448871.807000946</v>
      </c>
      <c r="F85" s="380">
        <f t="shared" ref="F85:I85" si="10">SUM(F82:F84)</f>
        <v>7459178.0983916745</v>
      </c>
      <c r="G85" s="380">
        <f t="shared" si="10"/>
        <v>6736305.8183538318</v>
      </c>
      <c r="H85" s="380">
        <f t="shared" si="10"/>
        <v>4934004.0208136234</v>
      </c>
      <c r="I85" s="380">
        <f t="shared" si="10"/>
        <v>3470640.2554399241</v>
      </c>
      <c r="J85" s="380">
        <f>SUM(J82:J84)</f>
        <v>33824000</v>
      </c>
      <c r="N85" t="s">
        <v>597</v>
      </c>
      <c r="O85" s="381">
        <f>SUM(O82:O84)</f>
        <v>33824000</v>
      </c>
      <c r="P85" s="364">
        <v>1</v>
      </c>
    </row>
    <row r="86" spans="2:16">
      <c r="B86" s="630" t="s">
        <v>591</v>
      </c>
      <c r="C86" s="630"/>
      <c r="D86" s="382">
        <f>D85/$J85</f>
        <v>2.2912724692526018E-2</v>
      </c>
      <c r="E86" s="382">
        <f t="shared" ref="E86:I86" si="11">E85/$J85</f>
        <v>0.30891886846620586</v>
      </c>
      <c r="F86" s="382">
        <f t="shared" si="11"/>
        <v>0.22052915380770088</v>
      </c>
      <c r="G86" s="382">
        <f t="shared" si="11"/>
        <v>0.19915757504593873</v>
      </c>
      <c r="H86" s="382">
        <f t="shared" si="11"/>
        <v>0.14587287194931478</v>
      </c>
      <c r="I86" s="382">
        <f t="shared" si="11"/>
        <v>0.10260880603831374</v>
      </c>
      <c r="J86" s="382">
        <f>SUM(D86:I86)</f>
        <v>1</v>
      </c>
    </row>
    <row r="88" spans="2:16">
      <c r="D88" s="364"/>
      <c r="E88" s="364">
        <f>E82/O85</f>
        <v>0.23885406811731316</v>
      </c>
      <c r="F88" s="364">
        <f>F82/O85</f>
        <v>0.16251773888363291</v>
      </c>
      <c r="G88" s="364">
        <f>G82/O85</f>
        <v>0.16973155156102177</v>
      </c>
      <c r="H88" s="364">
        <f>H82/O85</f>
        <v>0.11769749290444655</v>
      </c>
      <c r="I88" s="364">
        <f>I82/O85</f>
        <v>6.1199148533585622E-2</v>
      </c>
      <c r="J88" s="344">
        <f>SUM(D88:I88)</f>
        <v>0.75</v>
      </c>
    </row>
    <row r="89" spans="2:16">
      <c r="E89" s="383">
        <f>E84/$J84</f>
        <v>8.1598864711447491E-2</v>
      </c>
      <c r="F89" s="383">
        <f t="shared" ref="F89:I89" si="12">F84/$J84</f>
        <v>0.15692999053926207</v>
      </c>
      <c r="G89" s="383">
        <f t="shared" si="12"/>
        <v>0.22630873541469568</v>
      </c>
      <c r="H89" s="383">
        <f t="shared" si="12"/>
        <v>0.21669031851151055</v>
      </c>
      <c r="I89" s="383">
        <f t="shared" si="12"/>
        <v>0.3184720908230842</v>
      </c>
      <c r="J89" s="344">
        <f>SUM(D89:I89)</f>
        <v>1</v>
      </c>
    </row>
    <row r="90" spans="2:16">
      <c r="E90" s="383"/>
      <c r="F90" s="383"/>
      <c r="G90" s="383"/>
      <c r="H90" s="383"/>
      <c r="I90" s="383"/>
    </row>
    <row r="91" spans="2:16">
      <c r="E91" s="383"/>
      <c r="F91" s="383"/>
      <c r="G91" s="383"/>
      <c r="H91" s="383"/>
      <c r="I91" s="383"/>
    </row>
    <row r="92" spans="2:16">
      <c r="B92" s="384" t="s">
        <v>598</v>
      </c>
      <c r="D92" s="385">
        <v>2016</v>
      </c>
      <c r="E92" s="385">
        <v>2017</v>
      </c>
      <c r="F92" s="385">
        <v>2018</v>
      </c>
      <c r="G92" s="385">
        <v>2019</v>
      </c>
      <c r="H92" s="385">
        <v>2020</v>
      </c>
      <c r="I92" s="385">
        <v>2021</v>
      </c>
    </row>
    <row r="93" spans="2:16">
      <c r="B93" s="384" t="s">
        <v>599</v>
      </c>
      <c r="D93" s="386">
        <v>24994.5</v>
      </c>
      <c r="E93" s="386">
        <v>26644.1</v>
      </c>
      <c r="F93" s="386">
        <v>28349.3</v>
      </c>
      <c r="G93" s="386">
        <f>F93*G62</f>
        <v>29848.285221783608</v>
      </c>
      <c r="H93" s="386">
        <f>G93*H62</f>
        <v>31227.95781453716</v>
      </c>
      <c r="I93" s="386">
        <f>H93*I62</f>
        <v>32446.459534927828</v>
      </c>
    </row>
    <row r="94" spans="2:16">
      <c r="B94" s="384" t="s">
        <v>600</v>
      </c>
      <c r="D94" s="387">
        <f t="shared" ref="D94:I94" si="13">D85/D93</f>
        <v>31.006821500730162</v>
      </c>
      <c r="E94" s="387">
        <f t="shared" si="13"/>
        <v>392.1645620231476</v>
      </c>
      <c r="F94" s="387">
        <f t="shared" si="13"/>
        <v>263.11683527958979</v>
      </c>
      <c r="G94" s="387">
        <f t="shared" si="13"/>
        <v>225.68485151829094</v>
      </c>
      <c r="H94" s="387">
        <f t="shared" si="13"/>
        <v>157.99957365501365</v>
      </c>
      <c r="I94" s="387">
        <f t="shared" si="13"/>
        <v>106.9651452018629</v>
      </c>
      <c r="J94" s="388">
        <f>SUM(D94:I94)</f>
        <v>1176.9377891786351</v>
      </c>
    </row>
  </sheetData>
  <mergeCells count="30">
    <mergeCell ref="E47:E48"/>
    <mergeCell ref="F47:F48"/>
    <mergeCell ref="G47:G48"/>
    <mergeCell ref="A1:A3"/>
    <mergeCell ref="B1:J1"/>
    <mergeCell ref="B2:B3"/>
    <mergeCell ref="C2:J2"/>
    <mergeCell ref="A4:J4"/>
    <mergeCell ref="A25:J25"/>
    <mergeCell ref="A73:A74"/>
    <mergeCell ref="A76:A79"/>
    <mergeCell ref="K76:K78"/>
    <mergeCell ref="H47:H48"/>
    <mergeCell ref="I47:I48"/>
    <mergeCell ref="J47:J48"/>
    <mergeCell ref="B49:B50"/>
    <mergeCell ref="C49:C50"/>
    <mergeCell ref="D49:D50"/>
    <mergeCell ref="E49:E50"/>
    <mergeCell ref="F49:F50"/>
    <mergeCell ref="G49:G50"/>
    <mergeCell ref="H49:H50"/>
    <mergeCell ref="B47:B48"/>
    <mergeCell ref="C47:C48"/>
    <mergeCell ref="D47:D48"/>
    <mergeCell ref="B80:C80"/>
    <mergeCell ref="B86:C86"/>
    <mergeCell ref="I49:I50"/>
    <mergeCell ref="J49:J50"/>
    <mergeCell ref="K67:K69"/>
  </mergeCells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Индикаторы </vt:lpstr>
      <vt:lpstr>Мероприятия</vt:lpstr>
      <vt:lpstr>Подробный перечень</vt:lpstr>
      <vt:lpstr>прил. 1  (2)</vt:lpstr>
      <vt:lpstr>прил .6 с мостом</vt:lpstr>
      <vt:lpstr>для вставки в ворд</vt:lpstr>
      <vt:lpstr>Лист3</vt:lpstr>
      <vt:lpstr>'для вставки в ворд'!Заголовки_для_печати</vt:lpstr>
      <vt:lpstr>'Индикаторы '!Заголовки_для_печати</vt:lpstr>
      <vt:lpstr>Мероприятия!Заголовки_для_печати</vt:lpstr>
      <vt:lpstr>'Подробный перечень'!Заголовки_для_печати</vt:lpstr>
      <vt:lpstr>'прил .6 с мостом'!Заголовки_для_печати</vt:lpstr>
      <vt:lpstr>'прил. 1  (2)'!Заголовки_для_печати</vt:lpstr>
      <vt:lpstr>'Индикаторы '!Область_печати</vt:lpstr>
      <vt:lpstr>'Подробный перечень'!Область_печати</vt:lpstr>
      <vt:lpstr>'прил .6 с мостом'!Область_печати</vt:lpstr>
      <vt:lpstr>'прил. 1  (2)'!Область_печати</vt:lpstr>
    </vt:vector>
  </TitlesOfParts>
  <Company>АГНОиПНО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Анна Александровна</dc:creator>
  <cp:lastModifiedBy>Рофе Марина Ивановна</cp:lastModifiedBy>
  <cp:lastPrinted>2017-12-14T02:56:24Z</cp:lastPrinted>
  <dcterms:created xsi:type="dcterms:W3CDTF">2014-05-15T06:42:43Z</dcterms:created>
  <dcterms:modified xsi:type="dcterms:W3CDTF">2017-12-14T03:47:38Z</dcterms:modified>
</cp:coreProperties>
</file>