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рюкля\2021\Проекты НПА\5. О внесении изменений в 261-п\"/>
    </mc:Choice>
  </mc:AlternateContent>
  <bookViews>
    <workbookView xWindow="0" yWindow="0" windowWidth="23040" windowHeight="9405"/>
  </bookViews>
  <sheets>
    <sheet name="2019" sheetId="6" r:id="rId1"/>
  </sheets>
  <definedNames>
    <definedName name="_xlnm.Print_Area" localSheetId="0">'2019'!$A$1:$AM$28</definedName>
  </definedNames>
  <calcPr calcId="162913"/>
</workbook>
</file>

<file path=xl/calcChain.xml><?xml version="1.0" encoding="utf-8"?>
<calcChain xmlns="http://schemas.openxmlformats.org/spreadsheetml/2006/main">
  <c r="AK13" i="6" l="1"/>
  <c r="AJ13" i="6"/>
  <c r="AI13" i="6"/>
  <c r="AF13" i="6"/>
  <c r="AE13" i="6"/>
  <c r="AD13" i="6"/>
  <c r="AA13" i="6"/>
  <c r="Z13" i="6"/>
  <c r="Y13" i="6"/>
  <c r="V13" i="6"/>
  <c r="U13" i="6"/>
  <c r="T13" i="6"/>
  <c r="Q13" i="6"/>
  <c r="P13" i="6"/>
  <c r="O13" i="6"/>
  <c r="L13" i="6"/>
  <c r="K13" i="6"/>
  <c r="J13" i="6"/>
  <c r="E13" i="6"/>
  <c r="D13" i="6"/>
  <c r="D17" i="6" l="1"/>
  <c r="I15" i="6"/>
  <c r="N15" i="6"/>
  <c r="S15" i="6"/>
  <c r="X15" i="6"/>
  <c r="AC15" i="6"/>
  <c r="AH15" i="6"/>
  <c r="AM15" i="6"/>
  <c r="AL15" i="6"/>
  <c r="AG15" i="6"/>
  <c r="AB15" i="6"/>
  <c r="W15" i="6"/>
  <c r="R15" i="6"/>
  <c r="M15" i="6"/>
  <c r="H15" i="6"/>
  <c r="E14" i="6"/>
  <c r="D14" i="6"/>
  <c r="AK12" i="6"/>
  <c r="AJ12" i="6"/>
  <c r="AI12" i="6"/>
  <c r="AF12" i="6"/>
  <c r="AE12" i="6"/>
  <c r="AD12" i="6"/>
  <c r="AB12" i="6"/>
  <c r="AA12" i="6"/>
  <c r="Z12" i="6"/>
  <c r="Y12" i="6"/>
  <c r="W12" i="6"/>
  <c r="V12" i="6"/>
  <c r="U12" i="6"/>
  <c r="T12" i="6" l="1"/>
  <c r="R12" i="6"/>
  <c r="Q12" i="6"/>
  <c r="P12" i="6"/>
  <c r="O12" i="6"/>
  <c r="M12" i="6"/>
  <c r="L12" i="6"/>
  <c r="K12" i="6"/>
  <c r="J12" i="6"/>
  <c r="H12" i="6"/>
  <c r="G12" i="6"/>
  <c r="F12" i="6"/>
  <c r="E12" i="6"/>
  <c r="D12" i="6"/>
  <c r="E11" i="6"/>
  <c r="D11" i="6"/>
  <c r="D10" i="6"/>
  <c r="E10" i="6"/>
  <c r="F10" i="6"/>
  <c r="G10" i="6"/>
  <c r="J10" i="6"/>
  <c r="K10" i="6"/>
  <c r="L10" i="6"/>
  <c r="M10" i="6"/>
  <c r="O10" i="6"/>
  <c r="P10" i="6"/>
  <c r="Q10" i="6"/>
  <c r="R10" i="6"/>
  <c r="T10" i="6"/>
  <c r="U10" i="6"/>
  <c r="V10" i="6"/>
  <c r="W10" i="6"/>
  <c r="Y10" i="6"/>
  <c r="Z10" i="6"/>
  <c r="AA10" i="6"/>
  <c r="AB10" i="6"/>
  <c r="AD10" i="6"/>
  <c r="AE10" i="6"/>
  <c r="AF10" i="6"/>
  <c r="AG10" i="6"/>
  <c r="AI10" i="6"/>
  <c r="AJ10" i="6"/>
  <c r="AK10" i="6"/>
  <c r="AL10" i="6"/>
  <c r="AL9" i="6"/>
  <c r="AJ9" i="6"/>
  <c r="AI9" i="6"/>
  <c r="AG9" i="6"/>
  <c r="AE9" i="6"/>
  <c r="AD9" i="6"/>
  <c r="AB9" i="6"/>
  <c r="Z9" i="6"/>
  <c r="Y9" i="6"/>
  <c r="W9" i="6"/>
  <c r="U9" i="6"/>
  <c r="T9" i="6"/>
  <c r="R9" i="6"/>
  <c r="Q9" i="6"/>
  <c r="P9" i="6"/>
  <c r="O9" i="6"/>
  <c r="M9" i="6"/>
  <c r="L9" i="6"/>
  <c r="K9" i="6"/>
  <c r="J9" i="6"/>
  <c r="H9" i="6"/>
  <c r="G9" i="6"/>
  <c r="F9" i="6"/>
  <c r="E9" i="6"/>
  <c r="D9" i="6"/>
</calcChain>
</file>

<file path=xl/sharedStrings.xml><?xml version="1.0" encoding="utf-8"?>
<sst xmlns="http://schemas.openxmlformats.org/spreadsheetml/2006/main" count="143" uniqueCount="79">
  <si>
    <t>На единицу измерения</t>
  </si>
  <si>
    <t>1 лифт</t>
  </si>
  <si>
    <t>1 тип (2-3 этажный)</t>
  </si>
  <si>
    <t>2 тип (4-6 этажный)</t>
  </si>
  <si>
    <t>3 тип (7-10 этажный)</t>
  </si>
  <si>
    <t>4 тип (свыше 10 этажей)</t>
  </si>
  <si>
    <t>Ремонт фасада</t>
  </si>
  <si>
    <t>Ремонт внутридомовой инженерной системы теплоснабжения</t>
  </si>
  <si>
    <t>Ремонт внутридомовой инженерной системы холодного водоснабжения</t>
  </si>
  <si>
    <t>Ремонт внутридомовой инженерной системы горячего водоснабжения</t>
  </si>
  <si>
    <t>Ремонт внутридомовой инженерной системы  водоотведения (канализации)</t>
  </si>
  <si>
    <t>Ремонт внутридомовой инженерной системы газоснабжения</t>
  </si>
  <si>
    <t>Ремонт или замена лифтового оборудования, признанного непригодным для эксплуатации, ремонт лифтовых шахт</t>
  </si>
  <si>
    <t>Ремонт фундамента многоквартирного дома</t>
  </si>
  <si>
    <t xml:space="preserve">Ремонт крыши   </t>
  </si>
  <si>
    <t>Ремонт подвальных помещений, относящихся к общему имуществу в многоквартирном доме</t>
  </si>
  <si>
    <t>Ремонт внутридомовой инженерной системы электроснабжения</t>
  </si>
  <si>
    <t>Вид услуг и (или) работ</t>
  </si>
  <si>
    <t>Предельная стоимость услуг и (или) работ по капитальному ремонту по типам многоквартирных домов в рублях с учетом НДС</t>
  </si>
  <si>
    <t>кв.м площади
жилых и нежилых помещений дома</t>
  </si>
  <si>
    <t>кв.м 
площади фасада</t>
  </si>
  <si>
    <t>кв.м 
площади кровли</t>
  </si>
  <si>
    <t>___________________».</t>
  </si>
  <si>
    <t>0 тип*</t>
  </si>
  <si>
    <t>«ПРИЛОЖЕНИЕ № 6
к постановлению Правительства
Новосибирской области 
от 01.07.2014 № 261-п</t>
  </si>
  <si>
    <t xml:space="preserve">Размеры предельной стоимости услуг и (или)  работ по капитальному ремонту общего имущества в многоквартирных домах, которые могут оплачиваться региональным оператором за счет фонда капитального ремонта, сформированного  исходя из минимального размера взноса на капитальный ремонт общего имущества в многоквартирном доме, с учетом их типа и этажности на 2020-2022 годы </t>
  </si>
  <si>
    <t>кв.м площади
застройки дома</t>
  </si>
  <si>
    <t>многоквартирные дома "дореволюционной постройки" 
(до 1917 года)</t>
  </si>
  <si>
    <t>многоквартирные дома типа "хрущевки" кирпичные 
и каменные постройки 1957-1970 гг."</t>
  </si>
  <si>
    <t>многоквартирные дома типа "хрущевки" 
панельные постройки 1957-1970 гг."</t>
  </si>
  <si>
    <t>многоквартирные дома типа "кирпичные 
и каменные постройки 1970-1980 гг."</t>
  </si>
  <si>
    <t>многоквартирные дома типа "кирпичные и каменные "новое строительство" постройки после 1980 г."</t>
  </si>
  <si>
    <t>многоквартирные дома типа "панельные "новое строительство" постройки после 1980 г."</t>
  </si>
  <si>
    <t>многоквартирные дома типа "панельные постройки 
1970-1980 гг."</t>
  </si>
  <si>
    <t>многоквартирные дома типов "конструктивизм" постройки 1918-1930 гг.", "сталинские" постройки 
1931-1956 гг.", "немецкие" постройки 1945-1948 гг." 
и "деревянные дома"</t>
  </si>
  <si>
    <t>независимо 
от этажности</t>
  </si>
  <si>
    <t>Для домов с железобетонной плоской кровлей: 
без парапета из наплавляемого материала с заменой утеплителя – 5075,68
 с парапетом с заменой стяжки, утеплителя, пароизоляции из наплавляемого материала с устройством примыканий к парапетам  –6696,29</t>
  </si>
  <si>
    <t>Переустройство невентилируемой крыши на вентилируемую крышу, замена плоской кровли на стропильную, устройство выходов на кровлю – 5651,00                                                                                                                                                                                                                                                                                                                                                                                                                                                                                                                                                                                                                                                                                                                                                                                                                                                                                                                                                                                                                                                 Переустройство невентилируемой крыши на вентилируемую крышу с ремонтом плит покрытия, замена плоской кровли на стропильную, устройство выходов на кровлю – 7723,48</t>
  </si>
  <si>
    <t>Для домов со стропильной чердачной кровлей:
7586,89 требующей замены более 70% стропильной системы (для сложных крыш (наличие 5 и более скатов) – 8538,20)
4756,57 требующей замены менее 70% стропильной системы (для сложных крыш (наличие 5 и более скатов) – 6276,18)</t>
  </si>
  <si>
    <t>499,01 
(915,78**)</t>
  </si>
  <si>
    <t>517,72 
(941,3**)</t>
  </si>
  <si>
    <t>274,21 
(529,73**)</t>
  </si>
  <si>
    <t>725,81 (1172,20**)</t>
  </si>
  <si>
    <t>725,81 
(1172,20**)</t>
  </si>
  <si>
    <t>673,51 (1087,51**)</t>
  </si>
  <si>
    <t>463,04 
(849,77**)</t>
  </si>
  <si>
    <t>242,77 
(469,01**)</t>
  </si>
  <si>
    <t>699,57
(1189,26**)</t>
  </si>
  <si>
    <t>480,96 
(929,12**)</t>
  </si>
  <si>
    <t>323,61 
(691,39**)</t>
  </si>
  <si>
    <t>480,96
 (929,12**)</t>
  </si>
  <si>
    <t>994,97 
(1257,18***)</t>
  </si>
  <si>
    <t>685,10
(1091,65***)</t>
  </si>
  <si>
    <t>519,25 
(1091,65***)</t>
  </si>
  <si>
    <t>1191,46 (1729,05***)</t>
  </si>
  <si>
    <t>847,05
(1349,71***)</t>
  </si>
  <si>
    <t>891,75
(1420,93***)</t>
  </si>
  <si>
    <t>422,72 
(673,55***)</t>
  </si>
  <si>
    <t>422,72
(673,55***)</t>
  </si>
  <si>
    <t>1074,47
(1557,99***)</t>
  </si>
  <si>
    <t>764,18
(1217,18***)</t>
  </si>
  <si>
    <t>804,09
(1281,26***)</t>
  </si>
  <si>
    <t>1074,47 (1557,99***)</t>
  </si>
  <si>
    <t>841,24
(1395,86***)</t>
  </si>
  <si>
    <t>763,89
(1217,18***)</t>
  </si>
  <si>
    <t>460,06
(733,05***)</t>
  </si>
  <si>
    <t>2651,62 
(в случае бесподвальных МКД, в случае замены штукатурного слоя более 70%  – 3465,20; 
для рустованного фасада с декоративными элементами - 4218,50)</t>
  </si>
  <si>
    <t>2284,60 
(в случае бесподвальных МКД, в случае замены штукатурного слоя более 70%  -3238,44; для рустованного фасада с декоративными элементами  – 3634,59)</t>
  </si>
  <si>
    <t>1091,10 
(в случае бесподвальных МКД, в случае наличия конструктивных особенностей, отличных от типового проекта – 1626,44)</t>
  </si>
  <si>
    <t>855,00
(1935,63****)</t>
  </si>
  <si>
    <t>900,76
(1929,54****)</t>
  </si>
  <si>
    <t>609,92 
(1385,33****)</t>
  </si>
  <si>
    <t>609,92
(1385,33****)</t>
  </si>
  <si>
    <t>960,09
(1477,07****)</t>
  </si>
  <si>
    <t>607,55
(1153,95****)</t>
  </si>
  <si>
    <t>600,05
(923,15****)</t>
  </si>
  <si>
    <t>379,72
(721,22****)</t>
  </si>
  <si>
    <t>Примечания:
* 0 тип – многоквартирные дома коридорного типа; многоквартирные дома одноэтажные; многоквартирные дома – общежития; многоквартирные дома – бывшие административные здания; прочие многоквартирные дома, имеющие конструктивные особенности, определенные приказом министерства жилищно-коммунального хозяйства и энергетики Новосибирской области от 10.02.2016 № 13 "Об утверждении методических рекомендаций по формированию состава работ по капитальному ремонту многоквартирных домов, финансируемых за счет средств фондов капитального ремонта";
** – увеличенная предельная стоимость устанавливается для многоквартирных домов с циркуляционной линией или бойлером;
*** – увеличенная предельная стоимость устанавливается для многоквартирных домов при наличии двух и более вводно-распределительных устройств;
**** – увеличенная предельная стоимость устанавливается для многоквартирных домов в случае, если требуется гидроизоляция подвальных помещений.</t>
  </si>
  <si>
    <t>ПРИЛОЖЕНИЕ
к постановлению Правительства 
Новосибирской области                                                                                                 
от ___________  № ____-п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</si>
</sst>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  <family val="2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sz val="16"/>
      <name val="Calibri"/>
      <family val="2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6"/>
      <name val="Times New Roman"/>
      <family val="1"/>
      <charset val="204"/>
    </font>
    <font>
      <sz val="3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textRotation="90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6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2" fontId="6" fillId="0" borderId="3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 wrapText="1"/>
    </xf>
    <xf numFmtId="2" fontId="6" fillId="0" borderId="5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4" fontId="6" fillId="0" borderId="4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7"/>
  <sheetViews>
    <sheetView tabSelected="1" topLeftCell="P1" zoomScale="70" zoomScaleNormal="70" zoomScaleSheetLayoutView="40" workbookViewId="0">
      <selection activeCell="AE2" sqref="AE2:AM2"/>
    </sheetView>
  </sheetViews>
  <sheetFormatPr defaultColWidth="9.140625" defaultRowHeight="15" x14ac:dyDescent="0.25"/>
  <cols>
    <col min="1" max="2" width="13.28515625" style="4" customWidth="1"/>
    <col min="3" max="3" width="14.7109375" style="4" customWidth="1"/>
    <col min="4" max="4" width="23.85546875" style="4" customWidth="1"/>
    <col min="5" max="5" width="11.7109375" style="4" customWidth="1"/>
    <col min="6" max="7" width="16.85546875" style="4" customWidth="1"/>
    <col min="8" max="8" width="15.42578125" style="4" customWidth="1"/>
    <col min="9" max="9" width="21.7109375" style="4" customWidth="1"/>
    <col min="10" max="10" width="17.28515625" style="4" customWidth="1"/>
    <col min="11" max="12" width="16.5703125" style="4" customWidth="1"/>
    <col min="13" max="13" width="15.42578125" style="4" customWidth="1"/>
    <col min="14" max="14" width="18.140625" style="4" customWidth="1"/>
    <col min="15" max="15" width="16.7109375" style="4" customWidth="1"/>
    <col min="16" max="17" width="16.5703125" style="4" customWidth="1"/>
    <col min="18" max="19" width="15.42578125" style="4" customWidth="1"/>
    <col min="20" max="20" width="16.7109375" style="4" customWidth="1"/>
    <col min="21" max="22" width="16.85546875" style="4" customWidth="1"/>
    <col min="23" max="24" width="15.42578125" style="4" customWidth="1"/>
    <col min="25" max="27" width="16.7109375" style="4" customWidth="1"/>
    <col min="28" max="29" width="15.42578125" style="4" customWidth="1"/>
    <col min="30" max="31" width="16.7109375" style="4" customWidth="1"/>
    <col min="32" max="32" width="10.28515625" style="4" customWidth="1"/>
    <col min="33" max="34" width="15.42578125" style="4" customWidth="1"/>
    <col min="35" max="36" width="16.7109375" style="4" customWidth="1"/>
    <col min="37" max="37" width="11" style="4" customWidth="1"/>
    <col min="38" max="39" width="15.42578125" style="4" customWidth="1"/>
    <col min="40" max="16384" width="9.140625" style="4"/>
  </cols>
  <sheetData>
    <row r="1" spans="1:39" ht="190.9" customHeight="1" x14ac:dyDescent="0.25">
      <c r="Z1" s="13"/>
      <c r="AA1" s="14"/>
      <c r="AB1" s="14"/>
      <c r="AC1" s="14"/>
      <c r="AD1" s="14"/>
      <c r="AE1" s="45" t="s">
        <v>78</v>
      </c>
      <c r="AF1" s="45"/>
      <c r="AG1" s="45"/>
      <c r="AH1" s="45"/>
      <c r="AI1" s="45"/>
      <c r="AJ1" s="45"/>
      <c r="AK1" s="45"/>
      <c r="AL1" s="45"/>
      <c r="AM1" s="45"/>
    </row>
    <row r="2" spans="1:39" ht="173.45" customHeight="1" x14ac:dyDescent="0.25">
      <c r="Z2" s="15"/>
      <c r="AA2" s="16"/>
      <c r="AB2" s="16"/>
      <c r="AC2" s="16"/>
      <c r="AD2" s="16"/>
      <c r="AE2" s="46" t="s">
        <v>24</v>
      </c>
      <c r="AF2" s="46"/>
      <c r="AG2" s="46"/>
      <c r="AH2" s="46"/>
      <c r="AI2" s="46"/>
      <c r="AJ2" s="46"/>
      <c r="AK2" s="46"/>
      <c r="AL2" s="46"/>
      <c r="AM2" s="46"/>
    </row>
    <row r="4" spans="1:39" ht="83.25" customHeight="1" x14ac:dyDescent="0.25"/>
    <row r="5" spans="1:39" ht="127.15" customHeight="1" x14ac:dyDescent="0.25">
      <c r="A5" s="44" t="s">
        <v>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</row>
    <row r="6" spans="1:39" s="1" customFormat="1" ht="30.75" customHeight="1" x14ac:dyDescent="0.25">
      <c r="A6" s="47" t="s">
        <v>17</v>
      </c>
      <c r="B6" s="47"/>
      <c r="C6" s="48" t="s">
        <v>0</v>
      </c>
      <c r="D6" s="49" t="s">
        <v>18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</row>
    <row r="7" spans="1:39" s="3" customFormat="1" ht="98.25" customHeight="1" x14ac:dyDescent="0.25">
      <c r="A7" s="47"/>
      <c r="B7" s="47"/>
      <c r="C7" s="48"/>
      <c r="D7" s="19" t="s">
        <v>27</v>
      </c>
      <c r="E7" s="47" t="s">
        <v>34</v>
      </c>
      <c r="F7" s="47"/>
      <c r="G7" s="47"/>
      <c r="H7" s="47"/>
      <c r="I7" s="47"/>
      <c r="J7" s="47" t="s">
        <v>28</v>
      </c>
      <c r="K7" s="47"/>
      <c r="L7" s="47"/>
      <c r="M7" s="47"/>
      <c r="N7" s="47"/>
      <c r="O7" s="47" t="s">
        <v>29</v>
      </c>
      <c r="P7" s="47"/>
      <c r="Q7" s="47"/>
      <c r="R7" s="47"/>
      <c r="S7" s="47"/>
      <c r="T7" s="47" t="s">
        <v>30</v>
      </c>
      <c r="U7" s="47"/>
      <c r="V7" s="47"/>
      <c r="W7" s="47"/>
      <c r="X7" s="47"/>
      <c r="Y7" s="47" t="s">
        <v>33</v>
      </c>
      <c r="Z7" s="47"/>
      <c r="AA7" s="47"/>
      <c r="AB7" s="47"/>
      <c r="AC7" s="47"/>
      <c r="AD7" s="47" t="s">
        <v>31</v>
      </c>
      <c r="AE7" s="47"/>
      <c r="AF7" s="47"/>
      <c r="AG7" s="47"/>
      <c r="AH7" s="47"/>
      <c r="AI7" s="47" t="s">
        <v>32</v>
      </c>
      <c r="AJ7" s="47"/>
      <c r="AK7" s="47"/>
      <c r="AL7" s="47"/>
      <c r="AM7" s="47"/>
    </row>
    <row r="8" spans="1:39" s="2" customFormat="1" ht="159.75" customHeight="1" x14ac:dyDescent="0.25">
      <c r="A8" s="47"/>
      <c r="B8" s="47"/>
      <c r="C8" s="48"/>
      <c r="D8" s="19" t="s">
        <v>35</v>
      </c>
      <c r="E8" s="11" t="s">
        <v>23</v>
      </c>
      <c r="F8" s="11" t="s">
        <v>2</v>
      </c>
      <c r="G8" s="11" t="s">
        <v>3</v>
      </c>
      <c r="H8" s="11" t="s">
        <v>4</v>
      </c>
      <c r="I8" s="11" t="s">
        <v>5</v>
      </c>
      <c r="J8" s="11" t="s">
        <v>23</v>
      </c>
      <c r="K8" s="11" t="s">
        <v>2</v>
      </c>
      <c r="L8" s="11" t="s">
        <v>3</v>
      </c>
      <c r="M8" s="11" t="s">
        <v>4</v>
      </c>
      <c r="N8" s="11" t="s">
        <v>5</v>
      </c>
      <c r="O8" s="11" t="s">
        <v>23</v>
      </c>
      <c r="P8" s="11" t="s">
        <v>2</v>
      </c>
      <c r="Q8" s="11" t="s">
        <v>3</v>
      </c>
      <c r="R8" s="11" t="s">
        <v>4</v>
      </c>
      <c r="S8" s="11" t="s">
        <v>5</v>
      </c>
      <c r="T8" s="11" t="s">
        <v>23</v>
      </c>
      <c r="U8" s="11" t="s">
        <v>2</v>
      </c>
      <c r="V8" s="11" t="s">
        <v>3</v>
      </c>
      <c r="W8" s="11" t="s">
        <v>4</v>
      </c>
      <c r="X8" s="11" t="s">
        <v>5</v>
      </c>
      <c r="Y8" s="11" t="s">
        <v>23</v>
      </c>
      <c r="Z8" s="11" t="s">
        <v>2</v>
      </c>
      <c r="AA8" s="11" t="s">
        <v>3</v>
      </c>
      <c r="AB8" s="11" t="s">
        <v>4</v>
      </c>
      <c r="AC8" s="11" t="s">
        <v>5</v>
      </c>
      <c r="AD8" s="11" t="s">
        <v>23</v>
      </c>
      <c r="AE8" s="11" t="s">
        <v>2</v>
      </c>
      <c r="AF8" s="11" t="s">
        <v>3</v>
      </c>
      <c r="AG8" s="11" t="s">
        <v>4</v>
      </c>
      <c r="AH8" s="11" t="s">
        <v>5</v>
      </c>
      <c r="AI8" s="11" t="s">
        <v>23</v>
      </c>
      <c r="AJ8" s="11" t="s">
        <v>2</v>
      </c>
      <c r="AK8" s="11" t="s">
        <v>3</v>
      </c>
      <c r="AL8" s="11" t="s">
        <v>4</v>
      </c>
      <c r="AM8" s="11" t="s">
        <v>5</v>
      </c>
    </row>
    <row r="9" spans="1:39" s="5" customFormat="1" ht="119.25" customHeight="1" x14ac:dyDescent="0.25">
      <c r="A9" s="51" t="s">
        <v>7</v>
      </c>
      <c r="B9" s="51"/>
      <c r="C9" s="20" t="s">
        <v>19</v>
      </c>
      <c r="D9" s="31">
        <f>1644.0576*1.094</f>
        <v>1798.5990144000002</v>
      </c>
      <c r="E9" s="31">
        <f>2277.78*1.094</f>
        <v>2491.8913200000006</v>
      </c>
      <c r="F9" s="31">
        <f>1708.3392*1.094</f>
        <v>1868.9230848</v>
      </c>
      <c r="G9" s="31">
        <f>1196.5344*1.094</f>
        <v>1309.0086336000002</v>
      </c>
      <c r="H9" s="38">
        <f>747.936*1.094</f>
        <v>818.24198400000012</v>
      </c>
      <c r="I9" s="39"/>
      <c r="J9" s="31">
        <f>1797.87*1.094</f>
        <v>1966.86978</v>
      </c>
      <c r="K9" s="31">
        <f>1317.6192*1.094</f>
        <v>1441.4754048000002</v>
      </c>
      <c r="L9" s="31">
        <f>1386.9792*1.094</f>
        <v>1517.3552448</v>
      </c>
      <c r="M9" s="38">
        <f>1006.1472*1.094</f>
        <v>1100.7250368</v>
      </c>
      <c r="N9" s="39"/>
      <c r="O9" s="31">
        <f>1797.87*1.094</f>
        <v>1966.86978</v>
      </c>
      <c r="P9" s="31">
        <f>1317.6192*1.094</f>
        <v>1441.4754048000002</v>
      </c>
      <c r="Q9" s="31">
        <f>1386.9792*1.094</f>
        <v>1517.3552448</v>
      </c>
      <c r="R9" s="38">
        <f>1006.1472*1.094</f>
        <v>1100.7250368</v>
      </c>
      <c r="S9" s="39"/>
      <c r="T9" s="31">
        <f>1908.87*1.094</f>
        <v>2088.3037800000002</v>
      </c>
      <c r="U9" s="38">
        <f>1431.648*1.094</f>
        <v>1566.222912</v>
      </c>
      <c r="V9" s="39"/>
      <c r="W9" s="38">
        <f>1001.7696*1.094</f>
        <v>1095.9359424000002</v>
      </c>
      <c r="X9" s="39"/>
      <c r="Y9" s="32">
        <f>1908.87*1.094</f>
        <v>2088.3037800000002</v>
      </c>
      <c r="Z9" s="61">
        <f>1431.648*1.094</f>
        <v>1566.222912</v>
      </c>
      <c r="AA9" s="61"/>
      <c r="AB9" s="61">
        <f>1001.7696*1.094</f>
        <v>1095.9359424000002</v>
      </c>
      <c r="AC9" s="61"/>
      <c r="AD9" s="32">
        <f>2012.3*1.094</f>
        <v>2201.4562000000001</v>
      </c>
      <c r="AE9" s="61">
        <f>1431.648*1.094</f>
        <v>1566.222912</v>
      </c>
      <c r="AF9" s="61"/>
      <c r="AG9" s="61">
        <f>837.6*1.094</f>
        <v>916.33440000000007</v>
      </c>
      <c r="AH9" s="61"/>
      <c r="AI9" s="32">
        <f>2012.3*1.094</f>
        <v>2201.4562000000001</v>
      </c>
      <c r="AJ9" s="61">
        <f>1431.648*1.094</f>
        <v>1566.222912</v>
      </c>
      <c r="AK9" s="61"/>
      <c r="AL9" s="61">
        <f>837.6*1.094</f>
        <v>916.33440000000007</v>
      </c>
      <c r="AM9" s="61"/>
    </row>
    <row r="10" spans="1:39" s="5" customFormat="1" ht="119.25" customHeight="1" x14ac:dyDescent="0.25">
      <c r="A10" s="51" t="s">
        <v>8</v>
      </c>
      <c r="B10" s="51"/>
      <c r="C10" s="20" t="s">
        <v>19</v>
      </c>
      <c r="D10" s="31">
        <f>738.1854*1.094</f>
        <v>807.57482760000005</v>
      </c>
      <c r="E10" s="31">
        <f>858.4*1.094</f>
        <v>939.08960000000002</v>
      </c>
      <c r="F10" s="31">
        <f>362.1348*1.094</f>
        <v>396.1754712</v>
      </c>
      <c r="G10" s="38">
        <f>344.0286*1.094</f>
        <v>376.36728840000001</v>
      </c>
      <c r="H10" s="40"/>
      <c r="I10" s="39"/>
      <c r="J10" s="31">
        <f>755.14*1.094</f>
        <v>826.1231600000001</v>
      </c>
      <c r="K10" s="31">
        <f>318.5784*1.094</f>
        <v>348.52476960000001</v>
      </c>
      <c r="L10" s="31">
        <f>302.6484*1.094</f>
        <v>331.09734960000003</v>
      </c>
      <c r="M10" s="38">
        <f>167.9292*1.094</f>
        <v>183.71454480000003</v>
      </c>
      <c r="N10" s="39"/>
      <c r="O10" s="31">
        <f>755.14*1.094</f>
        <v>826.1231600000001</v>
      </c>
      <c r="P10" s="31">
        <f>318.5784*1.094</f>
        <v>348.52476960000001</v>
      </c>
      <c r="Q10" s="31">
        <f>302.6484*1.094</f>
        <v>331.09734960000003</v>
      </c>
      <c r="R10" s="38">
        <f>167.9292*1.094</f>
        <v>183.71454480000003</v>
      </c>
      <c r="S10" s="39"/>
      <c r="T10" s="31">
        <f>798.74*1.094</f>
        <v>873.82156000000009</v>
      </c>
      <c r="U10" s="31">
        <f>310.9428*1.094</f>
        <v>340.17142319999999</v>
      </c>
      <c r="V10" s="31">
        <f>295.3962*1.094</f>
        <v>323.16344280000004</v>
      </c>
      <c r="W10" s="38">
        <f>162.3402*1.094</f>
        <v>177.60017880000004</v>
      </c>
      <c r="X10" s="39"/>
      <c r="Y10" s="31">
        <f>798.74*1.094</f>
        <v>873.82156000000009</v>
      </c>
      <c r="Z10" s="32">
        <f>310.9428*1.094</f>
        <v>340.17142319999999</v>
      </c>
      <c r="AA10" s="32">
        <f>295.3962*1.094</f>
        <v>323.16344280000004</v>
      </c>
      <c r="AB10" s="61">
        <f>162.3402*1.094</f>
        <v>177.60017880000004</v>
      </c>
      <c r="AC10" s="61"/>
      <c r="AD10" s="32">
        <f>737.05*1.094</f>
        <v>806.33270000000005</v>
      </c>
      <c r="AE10" s="32">
        <f>310.9428*1.094</f>
        <v>340.17142319999999</v>
      </c>
      <c r="AF10" s="32">
        <f>295.3962*1.094</f>
        <v>323.16344280000004</v>
      </c>
      <c r="AG10" s="61">
        <f>194.6052*1.094</f>
        <v>212.89808880000001</v>
      </c>
      <c r="AH10" s="61"/>
      <c r="AI10" s="32">
        <f>737.05*1.094</f>
        <v>806.33270000000005</v>
      </c>
      <c r="AJ10" s="32">
        <f>310.9428*1.094</f>
        <v>340.17142319999999</v>
      </c>
      <c r="AK10" s="32">
        <f>295.3962*1.094</f>
        <v>323.16344280000004</v>
      </c>
      <c r="AL10" s="61">
        <f>194.6052*1.094</f>
        <v>212.89808880000001</v>
      </c>
      <c r="AM10" s="61"/>
    </row>
    <row r="11" spans="1:39" s="5" customFormat="1" ht="156.75" customHeight="1" x14ac:dyDescent="0.25">
      <c r="A11" s="51" t="s">
        <v>9</v>
      </c>
      <c r="B11" s="51"/>
      <c r="C11" s="20" t="s">
        <v>19</v>
      </c>
      <c r="D11" s="34">
        <f>585.59*1.094</f>
        <v>640.63546000000008</v>
      </c>
      <c r="E11" s="35">
        <f>1201.33*1.094</f>
        <v>1314.2550200000001</v>
      </c>
      <c r="F11" s="41" t="s">
        <v>40</v>
      </c>
      <c r="G11" s="42"/>
      <c r="H11" s="42"/>
      <c r="I11" s="43"/>
      <c r="J11" s="35" t="s">
        <v>43</v>
      </c>
      <c r="K11" s="41" t="s">
        <v>39</v>
      </c>
      <c r="L11" s="43"/>
      <c r="M11" s="41" t="s">
        <v>41</v>
      </c>
      <c r="N11" s="43"/>
      <c r="O11" s="35" t="s">
        <v>42</v>
      </c>
      <c r="P11" s="41" t="s">
        <v>39</v>
      </c>
      <c r="Q11" s="43"/>
      <c r="R11" s="41" t="s">
        <v>41</v>
      </c>
      <c r="S11" s="43"/>
      <c r="T11" s="35" t="s">
        <v>44</v>
      </c>
      <c r="U11" s="41" t="s">
        <v>45</v>
      </c>
      <c r="V11" s="43"/>
      <c r="W11" s="41" t="s">
        <v>46</v>
      </c>
      <c r="X11" s="43"/>
      <c r="Y11" s="35" t="s">
        <v>44</v>
      </c>
      <c r="Z11" s="41" t="s">
        <v>45</v>
      </c>
      <c r="AA11" s="43"/>
      <c r="AB11" s="41" t="s">
        <v>46</v>
      </c>
      <c r="AC11" s="43"/>
      <c r="AD11" s="34" t="s">
        <v>47</v>
      </c>
      <c r="AE11" s="34" t="s">
        <v>48</v>
      </c>
      <c r="AF11" s="62" t="s">
        <v>49</v>
      </c>
      <c r="AG11" s="62"/>
      <c r="AH11" s="62"/>
      <c r="AI11" s="34" t="s">
        <v>47</v>
      </c>
      <c r="AJ11" s="34" t="s">
        <v>50</v>
      </c>
      <c r="AK11" s="62" t="s">
        <v>49</v>
      </c>
      <c r="AL11" s="62"/>
      <c r="AM11" s="62"/>
    </row>
    <row r="12" spans="1:39" s="5" customFormat="1" ht="119.25" customHeight="1" x14ac:dyDescent="0.25">
      <c r="A12" s="51" t="s">
        <v>10</v>
      </c>
      <c r="B12" s="51"/>
      <c r="C12" s="20" t="s">
        <v>19</v>
      </c>
      <c r="D12" s="22">
        <f>548.1048*1.094</f>
        <v>599.62665119999997</v>
      </c>
      <c r="E12" s="22">
        <f>801.94*1.094</f>
        <v>877.32236000000012</v>
      </c>
      <c r="F12" s="22">
        <f>582.6636*1.094</f>
        <v>637.4339784</v>
      </c>
      <c r="G12" s="22">
        <f>392.5344*1.094</f>
        <v>429.43263360000003</v>
      </c>
      <c r="H12" s="38">
        <f>307.6068*1.094</f>
        <v>336.52183920000004</v>
      </c>
      <c r="I12" s="39"/>
      <c r="J12" s="22">
        <f>697.83*1.094</f>
        <v>763.42602000000011</v>
      </c>
      <c r="K12" s="22">
        <f>483.0513*1.094</f>
        <v>528.45812220000005</v>
      </c>
      <c r="L12" s="22">
        <f>417.1794*1.094</f>
        <v>456.39426360000004</v>
      </c>
      <c r="M12" s="38">
        <f>218.3268*1.094</f>
        <v>238.8495192</v>
      </c>
      <c r="N12" s="39"/>
      <c r="O12" s="22">
        <f>697.83*1.094</f>
        <v>763.42602000000011</v>
      </c>
      <c r="P12" s="22">
        <f>483.0513*1.094</f>
        <v>528.45812220000005</v>
      </c>
      <c r="Q12" s="22">
        <f>417.1794*1.094</f>
        <v>456.39426360000004</v>
      </c>
      <c r="R12" s="38">
        <f>218.3268*1.094</f>
        <v>238.8495192</v>
      </c>
      <c r="S12" s="39"/>
      <c r="T12" s="22">
        <f>654.04*1.094</f>
        <v>715.51976000000002</v>
      </c>
      <c r="U12" s="22">
        <f>475.2021*1.094</f>
        <v>519.87109740000005</v>
      </c>
      <c r="V12" s="22">
        <f>454.7421*1.094</f>
        <v>497.48785740000005</v>
      </c>
      <c r="W12" s="38">
        <f>217.8432*1.094</f>
        <v>238.32046080000001</v>
      </c>
      <c r="X12" s="39"/>
      <c r="Y12" s="23">
        <f>654.04*1.094</f>
        <v>715.51976000000002</v>
      </c>
      <c r="Z12" s="23">
        <f>475.2021*1.094</f>
        <v>519.87109740000005</v>
      </c>
      <c r="AA12" s="23">
        <f>454.7421*1.094</f>
        <v>497.48785740000005</v>
      </c>
      <c r="AB12" s="61">
        <f>217.8432*1.094</f>
        <v>238.32046080000001</v>
      </c>
      <c r="AC12" s="61"/>
      <c r="AD12" s="23">
        <f>548.88*1.094</f>
        <v>600.47472000000005</v>
      </c>
      <c r="AE12" s="23">
        <f>395.1663*1.094</f>
        <v>432.3119322</v>
      </c>
      <c r="AF12" s="61">
        <f>281.4645*1.094</f>
        <v>307.92216300000001</v>
      </c>
      <c r="AG12" s="61"/>
      <c r="AH12" s="61"/>
      <c r="AI12" s="23">
        <f>548.88*1.094</f>
        <v>600.47472000000005</v>
      </c>
      <c r="AJ12" s="23">
        <f>395.1663*1.094</f>
        <v>432.3119322</v>
      </c>
      <c r="AK12" s="61">
        <f>281.4645*1.094</f>
        <v>307.92216300000001</v>
      </c>
      <c r="AL12" s="61"/>
      <c r="AM12" s="61"/>
    </row>
    <row r="13" spans="1:39" s="5" customFormat="1" ht="119.25" customHeight="1" x14ac:dyDescent="0.25">
      <c r="A13" s="51" t="s">
        <v>11</v>
      </c>
      <c r="B13" s="51"/>
      <c r="C13" s="30" t="s">
        <v>19</v>
      </c>
      <c r="D13" s="25">
        <f>416.0324*1.6</f>
        <v>665.65183999999999</v>
      </c>
      <c r="E13" s="38">
        <f>340.1568*1.6</f>
        <v>544.25087999999994</v>
      </c>
      <c r="F13" s="40"/>
      <c r="G13" s="40"/>
      <c r="H13" s="40"/>
      <c r="I13" s="39"/>
      <c r="J13" s="26">
        <f>706.77*1.6</f>
        <v>1130.8320000000001</v>
      </c>
      <c r="K13" s="24">
        <f>398.3624*1.6</f>
        <v>637.37984000000006</v>
      </c>
      <c r="L13" s="38">
        <f>310.3534*1.6</f>
        <v>496.56544000000008</v>
      </c>
      <c r="M13" s="40"/>
      <c r="N13" s="39"/>
      <c r="O13" s="26">
        <f>706.77*1.6</f>
        <v>1130.8320000000001</v>
      </c>
      <c r="P13" s="24">
        <f>398.3624*1.6</f>
        <v>637.37984000000006</v>
      </c>
      <c r="Q13" s="38">
        <f>310.3534*1.6</f>
        <v>496.56544000000008</v>
      </c>
      <c r="R13" s="40"/>
      <c r="S13" s="39"/>
      <c r="T13" s="26">
        <f>706.77*1.6</f>
        <v>1130.8320000000001</v>
      </c>
      <c r="U13" s="24">
        <f>398.3624*1.6</f>
        <v>637.37984000000006</v>
      </c>
      <c r="V13" s="38">
        <f>310.3534*1.6</f>
        <v>496.56544000000008</v>
      </c>
      <c r="W13" s="40"/>
      <c r="X13" s="39"/>
      <c r="Y13" s="24">
        <f>706.77*1.6</f>
        <v>1130.8320000000001</v>
      </c>
      <c r="Z13" s="24">
        <f>398.3624*1.6</f>
        <v>637.37984000000006</v>
      </c>
      <c r="AA13" s="61">
        <f>310.3534*1.6</f>
        <v>496.56544000000008</v>
      </c>
      <c r="AB13" s="61"/>
      <c r="AC13" s="61"/>
      <c r="AD13" s="24">
        <f>706.77*1.6</f>
        <v>1130.8320000000001</v>
      </c>
      <c r="AE13" s="24">
        <f>398.3624*1.6</f>
        <v>637.37984000000006</v>
      </c>
      <c r="AF13" s="61">
        <f>310.3534*1.6</f>
        <v>496.56544000000008</v>
      </c>
      <c r="AG13" s="61"/>
      <c r="AH13" s="61"/>
      <c r="AI13" s="24">
        <f>706.77*1.6</f>
        <v>1130.8320000000001</v>
      </c>
      <c r="AJ13" s="24">
        <f>398.3624*1.6</f>
        <v>637.37984000000006</v>
      </c>
      <c r="AK13" s="61">
        <f>310.3534*1.6</f>
        <v>496.56544000000008</v>
      </c>
      <c r="AL13" s="61"/>
      <c r="AM13" s="61"/>
    </row>
    <row r="14" spans="1:39" s="33" customFormat="1" ht="126" customHeight="1" x14ac:dyDescent="0.25">
      <c r="A14" s="51" t="s">
        <v>16</v>
      </c>
      <c r="B14" s="51"/>
      <c r="C14" s="30" t="s">
        <v>19</v>
      </c>
      <c r="D14" s="29">
        <f>1105.1222*1.094</f>
        <v>1209.0036868000002</v>
      </c>
      <c r="E14" s="29">
        <f>1279.27*1.094</f>
        <v>1399.5213800000001</v>
      </c>
      <c r="F14" s="28" t="s">
        <v>51</v>
      </c>
      <c r="G14" s="27" t="s">
        <v>52</v>
      </c>
      <c r="H14" s="64" t="s">
        <v>53</v>
      </c>
      <c r="I14" s="65"/>
      <c r="J14" s="29" t="s">
        <v>54</v>
      </c>
      <c r="K14" s="28" t="s">
        <v>55</v>
      </c>
      <c r="L14" s="28" t="s">
        <v>56</v>
      </c>
      <c r="M14" s="36" t="s">
        <v>57</v>
      </c>
      <c r="N14" s="37"/>
      <c r="O14" s="29" t="s">
        <v>54</v>
      </c>
      <c r="P14" s="28" t="s">
        <v>55</v>
      </c>
      <c r="Q14" s="28" t="s">
        <v>56</v>
      </c>
      <c r="R14" s="36" t="s">
        <v>58</v>
      </c>
      <c r="S14" s="37"/>
      <c r="T14" s="28" t="s">
        <v>59</v>
      </c>
      <c r="U14" s="28" t="s">
        <v>60</v>
      </c>
      <c r="V14" s="27" t="s">
        <v>61</v>
      </c>
      <c r="W14" s="36" t="s">
        <v>58</v>
      </c>
      <c r="X14" s="37"/>
      <c r="Y14" s="28" t="s">
        <v>62</v>
      </c>
      <c r="Z14" s="28" t="s">
        <v>60</v>
      </c>
      <c r="AA14" s="27" t="s">
        <v>61</v>
      </c>
      <c r="AB14" s="36" t="s">
        <v>58</v>
      </c>
      <c r="AC14" s="37"/>
      <c r="AD14" s="28" t="s">
        <v>63</v>
      </c>
      <c r="AE14" s="28" t="s">
        <v>64</v>
      </c>
      <c r="AF14" s="63" t="s">
        <v>65</v>
      </c>
      <c r="AG14" s="63"/>
      <c r="AH14" s="63"/>
      <c r="AI14" s="28" t="s">
        <v>63</v>
      </c>
      <c r="AJ14" s="28" t="s">
        <v>64</v>
      </c>
      <c r="AK14" s="63" t="s">
        <v>65</v>
      </c>
      <c r="AL14" s="63"/>
      <c r="AM14" s="63"/>
    </row>
    <row r="15" spans="1:39" s="5" customFormat="1" ht="139.5" customHeight="1" x14ac:dyDescent="0.25">
      <c r="A15" s="51" t="s">
        <v>12</v>
      </c>
      <c r="B15" s="51"/>
      <c r="C15" s="30" t="s">
        <v>1</v>
      </c>
      <c r="D15" s="21"/>
      <c r="E15" s="21"/>
      <c r="F15" s="21"/>
      <c r="G15" s="21"/>
      <c r="H15" s="24">
        <f>2068304.32*1.094</f>
        <v>2262724.9260800001</v>
      </c>
      <c r="I15" s="24">
        <f>3685476.24*1.094</f>
        <v>4031911.0065600006</v>
      </c>
      <c r="J15" s="21"/>
      <c r="K15" s="21"/>
      <c r="L15" s="21"/>
      <c r="M15" s="24">
        <f>2068304.32*1.094</f>
        <v>2262724.9260800001</v>
      </c>
      <c r="N15" s="24">
        <f>3685476.24*1.094</f>
        <v>4031911.0065600006</v>
      </c>
      <c r="O15" s="24"/>
      <c r="P15" s="24"/>
      <c r="Q15" s="24"/>
      <c r="R15" s="24">
        <f>2068304.32*1.094</f>
        <v>2262724.9260800001</v>
      </c>
      <c r="S15" s="24">
        <f>3685476.24*1.094</f>
        <v>4031911.0065600006</v>
      </c>
      <c r="T15" s="21"/>
      <c r="U15" s="21"/>
      <c r="V15" s="24"/>
      <c r="W15" s="24">
        <f>2068304.32*1.094</f>
        <v>2262724.9260800001</v>
      </c>
      <c r="X15" s="24">
        <f>3685476.24*1.094</f>
        <v>4031911.0065600006</v>
      </c>
      <c r="Y15" s="24"/>
      <c r="Z15" s="24"/>
      <c r="AA15" s="24"/>
      <c r="AB15" s="24">
        <f>2068304.32*1.094</f>
        <v>2262724.9260800001</v>
      </c>
      <c r="AC15" s="24">
        <f>3685476.24*1.094</f>
        <v>4031911.0065600006</v>
      </c>
      <c r="AD15" s="24"/>
      <c r="AE15" s="24"/>
      <c r="AF15" s="24"/>
      <c r="AG15" s="24">
        <f>2068304.32*1.094</f>
        <v>2262724.9260800001</v>
      </c>
      <c r="AH15" s="24">
        <f>3685476.24*1.094</f>
        <v>4031911.0065600006</v>
      </c>
      <c r="AI15" s="24"/>
      <c r="AJ15" s="24"/>
      <c r="AK15" s="24"/>
      <c r="AL15" s="24">
        <f>2068304.32*1.094</f>
        <v>2262724.9260800001</v>
      </c>
      <c r="AM15" s="24">
        <f>3685476.24*1.094</f>
        <v>4031911.0065600006</v>
      </c>
    </row>
    <row r="16" spans="1:39" s="5" customFormat="1" ht="118.5" customHeight="1" x14ac:dyDescent="0.25">
      <c r="A16" s="51" t="s">
        <v>6</v>
      </c>
      <c r="B16" s="51"/>
      <c r="C16" s="20" t="s">
        <v>20</v>
      </c>
      <c r="D16" s="36" t="s">
        <v>66</v>
      </c>
      <c r="E16" s="58"/>
      <c r="F16" s="58"/>
      <c r="G16" s="58"/>
      <c r="H16" s="58"/>
      <c r="I16" s="37"/>
      <c r="J16" s="36" t="s">
        <v>67</v>
      </c>
      <c r="K16" s="58"/>
      <c r="L16" s="58"/>
      <c r="M16" s="58"/>
      <c r="N16" s="37"/>
      <c r="O16" s="36" t="s">
        <v>68</v>
      </c>
      <c r="P16" s="58"/>
      <c r="Q16" s="58"/>
      <c r="R16" s="58"/>
      <c r="S16" s="37"/>
      <c r="T16" s="36" t="s">
        <v>67</v>
      </c>
      <c r="U16" s="58"/>
      <c r="V16" s="58"/>
      <c r="W16" s="58"/>
      <c r="X16" s="37"/>
      <c r="Y16" s="36" t="s">
        <v>68</v>
      </c>
      <c r="Z16" s="58"/>
      <c r="AA16" s="58"/>
      <c r="AB16" s="58"/>
      <c r="AC16" s="37"/>
      <c r="AD16" s="36" t="s">
        <v>67</v>
      </c>
      <c r="AE16" s="58"/>
      <c r="AF16" s="58"/>
      <c r="AG16" s="58"/>
      <c r="AH16" s="37"/>
      <c r="AI16" s="36" t="s">
        <v>68</v>
      </c>
      <c r="AJ16" s="58"/>
      <c r="AK16" s="58"/>
      <c r="AL16" s="58"/>
      <c r="AM16" s="37"/>
    </row>
    <row r="17" spans="1:39" s="5" customFormat="1" ht="119.25" customHeight="1" x14ac:dyDescent="0.25">
      <c r="A17" s="51" t="s">
        <v>15</v>
      </c>
      <c r="B17" s="51"/>
      <c r="C17" s="30" t="s">
        <v>19</v>
      </c>
      <c r="D17" s="25">
        <f>1910.388807*1.094</f>
        <v>2089.9653548580004</v>
      </c>
      <c r="E17" s="36" t="s">
        <v>69</v>
      </c>
      <c r="F17" s="58"/>
      <c r="G17" s="58"/>
      <c r="H17" s="58"/>
      <c r="I17" s="37"/>
      <c r="J17" s="29" t="s">
        <v>70</v>
      </c>
      <c r="K17" s="36" t="s">
        <v>71</v>
      </c>
      <c r="L17" s="58"/>
      <c r="M17" s="58"/>
      <c r="N17" s="37"/>
      <c r="O17" s="29" t="s">
        <v>70</v>
      </c>
      <c r="P17" s="36" t="s">
        <v>72</v>
      </c>
      <c r="Q17" s="58"/>
      <c r="R17" s="58"/>
      <c r="S17" s="37"/>
      <c r="T17" s="29" t="s">
        <v>73</v>
      </c>
      <c r="U17" s="36" t="s">
        <v>74</v>
      </c>
      <c r="V17" s="58"/>
      <c r="W17" s="58"/>
      <c r="X17" s="37"/>
      <c r="Y17" s="29" t="s">
        <v>73</v>
      </c>
      <c r="Z17" s="36" t="s">
        <v>74</v>
      </c>
      <c r="AA17" s="58"/>
      <c r="AB17" s="58"/>
      <c r="AC17" s="37"/>
      <c r="AD17" s="29" t="s">
        <v>75</v>
      </c>
      <c r="AE17" s="36" t="s">
        <v>76</v>
      </c>
      <c r="AF17" s="58"/>
      <c r="AG17" s="58"/>
      <c r="AH17" s="37"/>
      <c r="AI17" s="29" t="s">
        <v>75</v>
      </c>
      <c r="AJ17" s="36" t="s">
        <v>76</v>
      </c>
      <c r="AK17" s="58"/>
      <c r="AL17" s="58"/>
      <c r="AM17" s="37"/>
    </row>
    <row r="18" spans="1:39" s="5" customFormat="1" ht="79.5" customHeight="1" x14ac:dyDescent="0.25">
      <c r="A18" s="51" t="s">
        <v>14</v>
      </c>
      <c r="B18" s="51"/>
      <c r="C18" s="30" t="s">
        <v>21</v>
      </c>
      <c r="D18" s="36" t="s">
        <v>36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39"/>
    </row>
    <row r="19" spans="1:39" s="5" customFormat="1" ht="79.5" customHeight="1" x14ac:dyDescent="0.25">
      <c r="A19" s="51"/>
      <c r="B19" s="51"/>
      <c r="C19" s="30" t="s">
        <v>21</v>
      </c>
      <c r="D19" s="36" t="s">
        <v>37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37"/>
    </row>
    <row r="20" spans="1:39" ht="79.5" customHeight="1" x14ac:dyDescent="0.25">
      <c r="A20" s="51"/>
      <c r="B20" s="51"/>
      <c r="C20" s="20" t="s">
        <v>21</v>
      </c>
      <c r="D20" s="36" t="s">
        <v>38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37"/>
    </row>
    <row r="21" spans="1:39" s="5" customFormat="1" ht="119.25" customHeight="1" x14ac:dyDescent="0.25">
      <c r="A21" s="51" t="s">
        <v>13</v>
      </c>
      <c r="B21" s="51"/>
      <c r="C21" s="30" t="s">
        <v>26</v>
      </c>
      <c r="D21" s="60">
        <v>13469.38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</row>
    <row r="22" spans="1:39" ht="30" customHeight="1" x14ac:dyDescent="0.25">
      <c r="B22" s="6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17"/>
    </row>
    <row r="23" spans="1:39" ht="248.25" customHeight="1" x14ac:dyDescent="0.5">
      <c r="A23" s="59" t="s">
        <v>77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</row>
    <row r="24" spans="1:39" ht="18.75" x14ac:dyDescent="0.3">
      <c r="A24" s="8"/>
      <c r="B24" s="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1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ht="35.25" x14ac:dyDescent="0.5">
      <c r="A25" s="57" t="s">
        <v>22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12"/>
      <c r="AJ25" s="12"/>
      <c r="AK25" s="12"/>
      <c r="AL25" s="12"/>
      <c r="AM25" s="12"/>
    </row>
    <row r="26" spans="1:39" x14ac:dyDescent="0.25">
      <c r="F26" s="52"/>
      <c r="G26" s="52"/>
      <c r="H26" s="52"/>
      <c r="I26" s="52"/>
      <c r="J26" s="52"/>
      <c r="K26" s="52"/>
      <c r="L26" s="52"/>
      <c r="M26" s="52"/>
      <c r="N26" s="7"/>
      <c r="O26" s="7"/>
      <c r="P26" s="7"/>
      <c r="Q26" s="7"/>
      <c r="R26" s="7"/>
      <c r="S26" s="53"/>
      <c r="T26" s="53"/>
      <c r="U26" s="53"/>
      <c r="V26" s="53"/>
    </row>
    <row r="27" spans="1:39" x14ac:dyDescent="0.25">
      <c r="F27" s="52"/>
      <c r="G27" s="52"/>
      <c r="H27" s="52"/>
      <c r="I27" s="52"/>
      <c r="J27" s="52"/>
      <c r="K27" s="52"/>
      <c r="L27" s="52"/>
      <c r="M27" s="52"/>
      <c r="N27" s="10"/>
      <c r="O27" s="17"/>
      <c r="P27" s="10"/>
      <c r="Q27" s="10"/>
      <c r="R27" s="10"/>
      <c r="S27" s="53"/>
      <c r="T27" s="53"/>
      <c r="U27" s="53"/>
      <c r="V27" s="53"/>
    </row>
  </sheetData>
  <mergeCells count="98">
    <mergeCell ref="AE9:AF9"/>
    <mergeCell ref="AG9:AH9"/>
    <mergeCell ref="AJ9:AK9"/>
    <mergeCell ref="AL9:AM9"/>
    <mergeCell ref="V13:X13"/>
    <mergeCell ref="AA13:AC13"/>
    <mergeCell ref="AF13:AH13"/>
    <mergeCell ref="AK13:AM13"/>
    <mergeCell ref="Z9:AA9"/>
    <mergeCell ref="AB9:AC9"/>
    <mergeCell ref="AB12:AC12"/>
    <mergeCell ref="W9:X9"/>
    <mergeCell ref="W11:X11"/>
    <mergeCell ref="Z11:AA11"/>
    <mergeCell ref="AB11:AC11"/>
    <mergeCell ref="AB10:AC10"/>
    <mergeCell ref="D21:AM21"/>
    <mergeCell ref="AG10:AH10"/>
    <mergeCell ref="AL10:AM10"/>
    <mergeCell ref="AF11:AH11"/>
    <mergeCell ref="AK11:AM11"/>
    <mergeCell ref="AF12:AH12"/>
    <mergeCell ref="AK12:AM12"/>
    <mergeCell ref="AF14:AH14"/>
    <mergeCell ref="AK14:AM14"/>
    <mergeCell ref="H14:I14"/>
    <mergeCell ref="Z17:AC17"/>
    <mergeCell ref="W10:X10"/>
    <mergeCell ref="AB14:AC14"/>
    <mergeCell ref="Q13:S13"/>
    <mergeCell ref="M14:N14"/>
    <mergeCell ref="E17:I17"/>
    <mergeCell ref="D18:AM18"/>
    <mergeCell ref="D19:AM19"/>
    <mergeCell ref="AI16:AM16"/>
    <mergeCell ref="AE17:AH17"/>
    <mergeCell ref="AJ17:AM17"/>
    <mergeCell ref="D16:I16"/>
    <mergeCell ref="J16:N16"/>
    <mergeCell ref="O16:S16"/>
    <mergeCell ref="T16:X16"/>
    <mergeCell ref="Y16:AC16"/>
    <mergeCell ref="F26:M27"/>
    <mergeCell ref="S26:V27"/>
    <mergeCell ref="A15:B15"/>
    <mergeCell ref="A21:B21"/>
    <mergeCell ref="C22:S22"/>
    <mergeCell ref="C24:S24"/>
    <mergeCell ref="A25:AH25"/>
    <mergeCell ref="A17:B17"/>
    <mergeCell ref="A16:B16"/>
    <mergeCell ref="K17:N17"/>
    <mergeCell ref="U17:X17"/>
    <mergeCell ref="A18:B20"/>
    <mergeCell ref="P17:S17"/>
    <mergeCell ref="AD16:AH16"/>
    <mergeCell ref="A23:AM23"/>
    <mergeCell ref="D20:AM20"/>
    <mergeCell ref="A14:B14"/>
    <mergeCell ref="A9:B9"/>
    <mergeCell ref="A13:B13"/>
    <mergeCell ref="A10:B10"/>
    <mergeCell ref="A11:B11"/>
    <mergeCell ref="A12:B12"/>
    <mergeCell ref="A5:AM5"/>
    <mergeCell ref="AE1:AM1"/>
    <mergeCell ref="AE2:AM2"/>
    <mergeCell ref="A6:B8"/>
    <mergeCell ref="C6:C8"/>
    <mergeCell ref="D6:AM6"/>
    <mergeCell ref="E7:I7"/>
    <mergeCell ref="J7:N7"/>
    <mergeCell ref="O7:S7"/>
    <mergeCell ref="T7:X7"/>
    <mergeCell ref="Y7:AC7"/>
    <mergeCell ref="AD7:AH7"/>
    <mergeCell ref="AI7:AM7"/>
    <mergeCell ref="H9:I9"/>
    <mergeCell ref="M9:N9"/>
    <mergeCell ref="R9:S9"/>
    <mergeCell ref="U9:V9"/>
    <mergeCell ref="F11:I11"/>
    <mergeCell ref="G10:I10"/>
    <mergeCell ref="K11:L11"/>
    <mergeCell ref="M11:N11"/>
    <mergeCell ref="R11:S11"/>
    <mergeCell ref="U11:V11"/>
    <mergeCell ref="P11:Q11"/>
    <mergeCell ref="M10:N10"/>
    <mergeCell ref="R10:S10"/>
    <mergeCell ref="W14:X14"/>
    <mergeCell ref="W12:X12"/>
    <mergeCell ref="H12:I12"/>
    <mergeCell ref="M12:N12"/>
    <mergeCell ref="R12:S12"/>
    <mergeCell ref="E13:I13"/>
    <mergeCell ref="L13:N13"/>
    <mergeCell ref="R14:S14"/>
  </mergeCells>
  <pageMargins left="0.39370078740157483" right="0.39370078740157483" top="0.98425196850393704" bottom="0.39370078740157483" header="0.31496062992125984" footer="0.31496062992125984"/>
  <pageSetup paperSize="9" scale="2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Яровая Наталья Борисовна</dc:creator>
  <cp:lastModifiedBy>Крюкля Иван Андреевич</cp:lastModifiedBy>
  <cp:lastPrinted>2019-06-03T08:22:25Z</cp:lastPrinted>
  <dcterms:created xsi:type="dcterms:W3CDTF">2014-04-28T02:47:55Z</dcterms:created>
  <dcterms:modified xsi:type="dcterms:W3CDTF">2021-02-20T06:36:26Z</dcterms:modified>
</cp:coreProperties>
</file>