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nea\Рабочий стол\11.06.19\Проекты изменений в ГП ПБДД\Проект на 2019-2024 от 07.05.19\Приказ Минтранса\"/>
    </mc:Choice>
  </mc:AlternateContent>
  <bookViews>
    <workbookView xWindow="9816" yWindow="-120" windowWidth="10896" windowHeight="8292"/>
  </bookViews>
  <sheets>
    <sheet name="Таблица3" sheetId="1" r:id="rId1"/>
  </sheets>
  <definedNames>
    <definedName name="_xlnm._FilterDatabase" localSheetId="0" hidden="1">Таблица3!$A$7:$S$282</definedName>
    <definedName name="_xlnm.Print_Area" localSheetId="0">Таблица3!$A$1:$S$298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1" i="1" l="1"/>
  <c r="H162" i="1"/>
  <c r="M162" i="1"/>
  <c r="M135" i="1" l="1"/>
  <c r="M125" i="1"/>
  <c r="L198" i="1"/>
  <c r="N88" i="1"/>
  <c r="O88" i="1"/>
  <c r="P88" i="1"/>
  <c r="Q88" i="1"/>
  <c r="I88" i="1"/>
  <c r="N150" i="1" l="1"/>
  <c r="K20" i="1"/>
  <c r="M198" i="1" l="1"/>
  <c r="I301" i="1" l="1"/>
  <c r="J301" i="1"/>
  <c r="K301" i="1"/>
  <c r="L301" i="1"/>
  <c r="M301" i="1"/>
  <c r="N301" i="1"/>
  <c r="O301" i="1"/>
  <c r="P301" i="1"/>
  <c r="Q301" i="1"/>
  <c r="H27" i="1"/>
  <c r="N159" i="1" l="1"/>
  <c r="O159" i="1"/>
  <c r="P159" i="1"/>
  <c r="Q159" i="1"/>
  <c r="M159" i="1"/>
  <c r="J85" i="1" l="1"/>
  <c r="K85" i="1"/>
  <c r="L85" i="1"/>
  <c r="M85" i="1"/>
  <c r="N85" i="1"/>
  <c r="O85" i="1"/>
  <c r="P85" i="1"/>
  <c r="Q85" i="1"/>
  <c r="I85" i="1"/>
  <c r="J177" i="1"/>
  <c r="K177" i="1"/>
  <c r="Q177" i="1"/>
  <c r="P177" i="1"/>
  <c r="O177" i="1"/>
  <c r="N177" i="1"/>
  <c r="M177" i="1"/>
  <c r="M173" i="1"/>
  <c r="Q171" i="1"/>
  <c r="P171" i="1"/>
  <c r="O171" i="1"/>
  <c r="N171" i="1"/>
  <c r="N170" i="1" s="1"/>
  <c r="H168" i="1"/>
  <c r="O150" i="1"/>
  <c r="P150" i="1"/>
  <c r="Q150" i="1"/>
  <c r="H148" i="1"/>
  <c r="Q136" i="1"/>
  <c r="O136" i="1"/>
  <c r="P136" i="1"/>
  <c r="N136" i="1"/>
  <c r="M136" i="1"/>
  <c r="L134" i="1"/>
  <c r="H131" i="1"/>
  <c r="H136" i="1"/>
  <c r="Q125" i="1" l="1"/>
  <c r="P122" i="1"/>
  <c r="Q122" i="1"/>
  <c r="P125" i="1"/>
  <c r="O122" i="1"/>
  <c r="O125" i="1"/>
  <c r="N125" i="1"/>
  <c r="N122" i="1"/>
  <c r="M127" i="1"/>
  <c r="M122" i="1"/>
  <c r="K122" i="1"/>
  <c r="H122" i="1" s="1"/>
  <c r="J103" i="1"/>
  <c r="K103" i="1"/>
  <c r="L103" i="1"/>
  <c r="M103" i="1"/>
  <c r="N103" i="1"/>
  <c r="O103" i="1"/>
  <c r="P103" i="1"/>
  <c r="Q103" i="1"/>
  <c r="I103" i="1"/>
  <c r="J102" i="1"/>
  <c r="K102" i="1"/>
  <c r="L102" i="1"/>
  <c r="M102" i="1"/>
  <c r="N102" i="1"/>
  <c r="N84" i="1" s="1"/>
  <c r="O102" i="1"/>
  <c r="O84" i="1" s="1"/>
  <c r="P102" i="1"/>
  <c r="Q102" i="1"/>
  <c r="Q84" i="1" s="1"/>
  <c r="I102" i="1"/>
  <c r="I84" i="1" s="1"/>
  <c r="J100" i="1"/>
  <c r="J304" i="1" s="1"/>
  <c r="K100" i="1"/>
  <c r="K304" i="1" s="1"/>
  <c r="L100" i="1"/>
  <c r="L304" i="1" s="1"/>
  <c r="M100" i="1"/>
  <c r="M304" i="1" s="1"/>
  <c r="N100" i="1"/>
  <c r="N304" i="1" s="1"/>
  <c r="O100" i="1"/>
  <c r="O304" i="1" s="1"/>
  <c r="P100" i="1"/>
  <c r="P304" i="1" s="1"/>
  <c r="Q100" i="1"/>
  <c r="Q304" i="1" s="1"/>
  <c r="I100" i="1"/>
  <c r="I304" i="1" s="1"/>
  <c r="J99" i="1"/>
  <c r="K99" i="1"/>
  <c r="L99" i="1"/>
  <c r="M99" i="1"/>
  <c r="N99" i="1"/>
  <c r="O99" i="1"/>
  <c r="O303" i="1" s="1"/>
  <c r="P99" i="1"/>
  <c r="P303" i="1" s="1"/>
  <c r="Q99" i="1"/>
  <c r="Q303" i="1" s="1"/>
  <c r="I99" i="1"/>
  <c r="J98" i="1"/>
  <c r="K98" i="1"/>
  <c r="L98" i="1"/>
  <c r="M98" i="1"/>
  <c r="N98" i="1"/>
  <c r="O98" i="1"/>
  <c r="P98" i="1"/>
  <c r="Q98" i="1"/>
  <c r="I98" i="1"/>
  <c r="J95" i="1"/>
  <c r="K95" i="1"/>
  <c r="L95" i="1"/>
  <c r="M95" i="1"/>
  <c r="N95" i="1"/>
  <c r="I95" i="1"/>
  <c r="H108" i="1"/>
  <c r="H109" i="1"/>
  <c r="Q113" i="1"/>
  <c r="Q95" i="1" s="1"/>
  <c r="P113" i="1"/>
  <c r="P95" i="1" s="1"/>
  <c r="O113" i="1"/>
  <c r="O114" i="1" s="1"/>
  <c r="K116" i="1"/>
  <c r="K113" i="1"/>
  <c r="J107" i="1"/>
  <c r="K107" i="1"/>
  <c r="L107" i="1"/>
  <c r="M107" i="1"/>
  <c r="N107" i="1"/>
  <c r="O107" i="1"/>
  <c r="P107" i="1"/>
  <c r="Q107" i="1"/>
  <c r="I107" i="1"/>
  <c r="H120" i="1"/>
  <c r="H119" i="1"/>
  <c r="H118" i="1"/>
  <c r="H117" i="1"/>
  <c r="H116" i="1"/>
  <c r="Q115" i="1"/>
  <c r="P115" i="1"/>
  <c r="O115" i="1"/>
  <c r="N115" i="1"/>
  <c r="N114" i="1" s="1"/>
  <c r="M115" i="1"/>
  <c r="M114" i="1" s="1"/>
  <c r="L115" i="1"/>
  <c r="K115" i="1"/>
  <c r="J115" i="1"/>
  <c r="I115" i="1"/>
  <c r="H113" i="1"/>
  <c r="O95" i="1" l="1"/>
  <c r="P302" i="1"/>
  <c r="P305" i="1" s="1"/>
  <c r="P82" i="1"/>
  <c r="L302" i="1"/>
  <c r="L82" i="1"/>
  <c r="K302" i="1"/>
  <c r="K82" i="1"/>
  <c r="P114" i="1"/>
  <c r="N302" i="1"/>
  <c r="N82" i="1"/>
  <c r="J302" i="1"/>
  <c r="J82" i="1"/>
  <c r="O302" i="1"/>
  <c r="O305" i="1" s="1"/>
  <c r="O82" i="1"/>
  <c r="I302" i="1"/>
  <c r="I82" i="1"/>
  <c r="Q114" i="1"/>
  <c r="H107" i="1"/>
  <c r="Q302" i="1"/>
  <c r="Q305" i="1" s="1"/>
  <c r="Q82" i="1"/>
  <c r="M302" i="1"/>
  <c r="M82" i="1"/>
  <c r="P84" i="1"/>
  <c r="H99" i="1"/>
  <c r="H115" i="1"/>
  <c r="H114" i="1" s="1"/>
  <c r="O86" i="1"/>
  <c r="H90" i="1"/>
  <c r="K86" i="1"/>
  <c r="H86" i="1" s="1"/>
  <c r="H59" i="1"/>
  <c r="H38" i="1"/>
  <c r="P13" i="1"/>
  <c r="O25" i="1"/>
  <c r="P25" i="1"/>
  <c r="Q25" i="1"/>
  <c r="N25" i="1"/>
  <c r="H187" i="1"/>
  <c r="H177" i="1"/>
  <c r="J156" i="1"/>
  <c r="K156" i="1"/>
  <c r="L156" i="1"/>
  <c r="M156" i="1"/>
  <c r="N156" i="1"/>
  <c r="O156" i="1"/>
  <c r="P156" i="1"/>
  <c r="Q156" i="1"/>
  <c r="I156" i="1"/>
  <c r="H154" i="1"/>
  <c r="H95" i="1"/>
  <c r="M92" i="1"/>
  <c r="L92" i="1"/>
  <c r="K92" i="1"/>
  <c r="J92" i="1"/>
  <c r="K88" i="1" l="1"/>
  <c r="K84" i="1"/>
  <c r="L88" i="1"/>
  <c r="L84" i="1"/>
  <c r="M88" i="1"/>
  <c r="M84" i="1"/>
  <c r="M205" i="1" s="1"/>
  <c r="J205" i="1"/>
  <c r="J88" i="1"/>
  <c r="J84" i="1"/>
  <c r="H156" i="1"/>
  <c r="P276" i="1"/>
  <c r="O276" i="1"/>
  <c r="P275" i="1"/>
  <c r="O275" i="1"/>
  <c r="P274" i="1"/>
  <c r="O274" i="1"/>
  <c r="P236" i="1"/>
  <c r="O236" i="1"/>
  <c r="P233" i="1"/>
  <c r="P252" i="1" s="1"/>
  <c r="P277" i="1" s="1"/>
  <c r="O233" i="1"/>
  <c r="O229" i="1" s="1"/>
  <c r="P196" i="1"/>
  <c r="P195" i="1" s="1"/>
  <c r="O196" i="1"/>
  <c r="O195" i="1" s="1"/>
  <c r="P189" i="1"/>
  <c r="P188" i="1" s="1"/>
  <c r="O189" i="1"/>
  <c r="O188" i="1"/>
  <c r="P179" i="1"/>
  <c r="P178" i="1" s="1"/>
  <c r="O179" i="1"/>
  <c r="O178" i="1" s="1"/>
  <c r="P170" i="1"/>
  <c r="P169" i="1" s="1"/>
  <c r="O170" i="1"/>
  <c r="O169" i="1" s="1"/>
  <c r="P163" i="1"/>
  <c r="O163" i="1"/>
  <c r="P155" i="1"/>
  <c r="O155" i="1"/>
  <c r="P149" i="1"/>
  <c r="O149" i="1"/>
  <c r="P142" i="1"/>
  <c r="O142" i="1"/>
  <c r="O141" i="1" s="1"/>
  <c r="P133" i="1"/>
  <c r="P132" i="1" s="1"/>
  <c r="O133" i="1"/>
  <c r="O132" i="1" s="1"/>
  <c r="P124" i="1"/>
  <c r="P123" i="1" s="1"/>
  <c r="O124" i="1"/>
  <c r="O123" i="1" s="1"/>
  <c r="P97" i="1"/>
  <c r="P96" i="1" s="1"/>
  <c r="O97" i="1"/>
  <c r="O96" i="1" s="1"/>
  <c r="P87" i="1"/>
  <c r="O87" i="1"/>
  <c r="P206" i="1"/>
  <c r="P224" i="1" s="1"/>
  <c r="O206" i="1"/>
  <c r="O224" i="1" s="1"/>
  <c r="P205" i="1"/>
  <c r="P223" i="1" s="1"/>
  <c r="O205" i="1"/>
  <c r="O223" i="1" s="1"/>
  <c r="P204" i="1"/>
  <c r="P222" i="1" s="1"/>
  <c r="O204" i="1"/>
  <c r="O222" i="1" s="1"/>
  <c r="P203" i="1"/>
  <c r="O203" i="1"/>
  <c r="P19" i="1"/>
  <c r="P18" i="1" s="1"/>
  <c r="O19" i="1"/>
  <c r="O18" i="1" s="1"/>
  <c r="P12" i="1"/>
  <c r="O13" i="1"/>
  <c r="O12" i="1" s="1"/>
  <c r="O74" i="1" s="1"/>
  <c r="O73" i="1" s="1"/>
  <c r="Q276" i="1"/>
  <c r="Q275" i="1"/>
  <c r="Q274" i="1"/>
  <c r="Q236" i="1"/>
  <c r="Q233" i="1"/>
  <c r="Q229" i="1" s="1"/>
  <c r="Q196" i="1"/>
  <c r="Q195" i="1" s="1"/>
  <c r="Q189" i="1"/>
  <c r="Q188" i="1" s="1"/>
  <c r="Q179" i="1"/>
  <c r="Q178" i="1" s="1"/>
  <c r="Q170" i="1"/>
  <c r="Q169" i="1" s="1"/>
  <c r="Q163" i="1"/>
  <c r="Q155" i="1"/>
  <c r="Q149" i="1"/>
  <c r="Q142" i="1"/>
  <c r="Q141" i="1" s="1"/>
  <c r="Q133" i="1"/>
  <c r="Q132" i="1" s="1"/>
  <c r="Q124" i="1"/>
  <c r="Q123" i="1" s="1"/>
  <c r="Q97" i="1"/>
  <c r="Q96" i="1" s="1"/>
  <c r="Q87" i="1"/>
  <c r="Q206" i="1"/>
  <c r="Q224" i="1" s="1"/>
  <c r="Q205" i="1"/>
  <c r="Q223" i="1" s="1"/>
  <c r="Q204" i="1"/>
  <c r="Q222" i="1" s="1"/>
  <c r="Q19" i="1"/>
  <c r="Q18" i="1" s="1"/>
  <c r="Q13" i="1"/>
  <c r="Q12" i="1" s="1"/>
  <c r="O221" i="1" l="1"/>
  <c r="P221" i="1"/>
  <c r="H84" i="1"/>
  <c r="Q281" i="1"/>
  <c r="P280" i="1"/>
  <c r="O281" i="1"/>
  <c r="Q280" i="1"/>
  <c r="O280" i="1"/>
  <c r="P229" i="1"/>
  <c r="Q252" i="1"/>
  <c r="Q277" i="1" s="1"/>
  <c r="Q282" i="1" s="1"/>
  <c r="Q81" i="1"/>
  <c r="Q203" i="1"/>
  <c r="P74" i="1"/>
  <c r="P73" i="1" s="1"/>
  <c r="P282" i="1"/>
  <c r="Q273" i="1"/>
  <c r="O81" i="1"/>
  <c r="O279" i="1"/>
  <c r="P273" i="1"/>
  <c r="Q74" i="1"/>
  <c r="Q73" i="1" s="1"/>
  <c r="O252" i="1"/>
  <c r="O277" i="1" s="1"/>
  <c r="O282" i="1" s="1"/>
  <c r="P281" i="1"/>
  <c r="P202" i="1"/>
  <c r="P81" i="1"/>
  <c r="O202" i="1"/>
  <c r="P248" i="1"/>
  <c r="Q248" i="1"/>
  <c r="Q202" i="1" l="1"/>
  <c r="Q221" i="1"/>
  <c r="O273" i="1"/>
  <c r="P220" i="1"/>
  <c r="O278" i="1"/>
  <c r="O248" i="1"/>
  <c r="O220" i="1"/>
  <c r="H60" i="1"/>
  <c r="H53" i="1"/>
  <c r="P279" i="1" l="1"/>
  <c r="P278" i="1" s="1"/>
  <c r="Q279" i="1"/>
  <c r="Q278" i="1" s="1"/>
  <c r="Q220" i="1"/>
  <c r="H25" i="1"/>
  <c r="K13" i="1" l="1"/>
  <c r="K12" i="1" s="1"/>
  <c r="L13" i="1"/>
  <c r="M13" i="1"/>
  <c r="N13" i="1"/>
  <c r="J13" i="1"/>
  <c r="H13" i="1" l="1"/>
  <c r="J34" i="1"/>
  <c r="K34" i="1"/>
  <c r="L34" i="1"/>
  <c r="M34" i="1"/>
  <c r="N34" i="1"/>
  <c r="I34" i="1"/>
  <c r="I33" i="1" l="1"/>
  <c r="I303" i="1"/>
  <c r="I305" i="1" s="1"/>
  <c r="J33" i="1"/>
  <c r="J303" i="1"/>
  <c r="J305" i="1" s="1"/>
  <c r="L33" i="1"/>
  <c r="L303" i="1"/>
  <c r="L305" i="1" s="1"/>
  <c r="K33" i="1"/>
  <c r="K303" i="1"/>
  <c r="K305" i="1" s="1"/>
  <c r="N33" i="1"/>
  <c r="N303" i="1"/>
  <c r="N305" i="1" s="1"/>
  <c r="M33" i="1"/>
  <c r="M303" i="1"/>
  <c r="M305" i="1" s="1"/>
  <c r="J150" i="1"/>
  <c r="K150" i="1"/>
  <c r="L150" i="1"/>
  <c r="M150" i="1"/>
  <c r="M149" i="1" s="1"/>
  <c r="N149" i="1"/>
  <c r="I150" i="1"/>
  <c r="H153" i="1"/>
  <c r="H150" i="1" s="1"/>
  <c r="J275" i="1" l="1"/>
  <c r="K275" i="1"/>
  <c r="L275" i="1"/>
  <c r="M275" i="1"/>
  <c r="N275" i="1"/>
  <c r="N276" i="1"/>
  <c r="J276" i="1"/>
  <c r="K276" i="1"/>
  <c r="L276" i="1"/>
  <c r="M276" i="1"/>
  <c r="I275" i="1"/>
  <c r="I276" i="1"/>
  <c r="J274" i="1"/>
  <c r="K274" i="1"/>
  <c r="L274" i="1"/>
  <c r="M274" i="1"/>
  <c r="N274" i="1"/>
  <c r="I274" i="1"/>
  <c r="J233" i="1"/>
  <c r="J252" i="1" s="1"/>
  <c r="J248" i="1" s="1"/>
  <c r="K233" i="1"/>
  <c r="K252" i="1" s="1"/>
  <c r="K248" i="1" s="1"/>
  <c r="L233" i="1"/>
  <c r="L252" i="1" s="1"/>
  <c r="L248" i="1" s="1"/>
  <c r="M233" i="1"/>
  <c r="N233" i="1"/>
  <c r="N229" i="1" s="1"/>
  <c r="I233" i="1"/>
  <c r="I252" i="1" s="1"/>
  <c r="I248" i="1" s="1"/>
  <c r="H249" i="1"/>
  <c r="H250" i="1"/>
  <c r="H251" i="1"/>
  <c r="I230" i="1"/>
  <c r="H230" i="1" s="1"/>
  <c r="H238" i="1"/>
  <c r="H239" i="1"/>
  <c r="H240" i="1"/>
  <c r="H237" i="1"/>
  <c r="I236" i="1"/>
  <c r="J236" i="1"/>
  <c r="K236" i="1"/>
  <c r="L236" i="1"/>
  <c r="N236" i="1"/>
  <c r="M236" i="1"/>
  <c r="H231" i="1"/>
  <c r="H232" i="1"/>
  <c r="L229" i="1"/>
  <c r="L196" i="1"/>
  <c r="J223" i="1"/>
  <c r="K205" i="1"/>
  <c r="K223" i="1" s="1"/>
  <c r="M223" i="1"/>
  <c r="N205" i="1"/>
  <c r="N223" i="1" s="1"/>
  <c r="K203" i="1"/>
  <c r="L203" i="1"/>
  <c r="M203" i="1"/>
  <c r="N203" i="1"/>
  <c r="M124" i="1"/>
  <c r="M123" i="1" s="1"/>
  <c r="N124" i="1"/>
  <c r="N123" i="1" s="1"/>
  <c r="H125" i="1"/>
  <c r="L133" i="1"/>
  <c r="H134" i="1"/>
  <c r="J206" i="1"/>
  <c r="J224" i="1" s="1"/>
  <c r="K206" i="1"/>
  <c r="K224" i="1" s="1"/>
  <c r="L206" i="1"/>
  <c r="L224" i="1" s="1"/>
  <c r="M206" i="1"/>
  <c r="M224" i="1" s="1"/>
  <c r="N206" i="1"/>
  <c r="N224" i="1" s="1"/>
  <c r="I206" i="1"/>
  <c r="I224" i="1" s="1"/>
  <c r="J204" i="1"/>
  <c r="J222" i="1" s="1"/>
  <c r="K204" i="1"/>
  <c r="K222" i="1" s="1"/>
  <c r="L204" i="1"/>
  <c r="L222" i="1" s="1"/>
  <c r="M204" i="1"/>
  <c r="M222" i="1" s="1"/>
  <c r="N204" i="1"/>
  <c r="N222" i="1" s="1"/>
  <c r="H197" i="1"/>
  <c r="H199" i="1"/>
  <c r="H200" i="1"/>
  <c r="H201" i="1"/>
  <c r="H198" i="1"/>
  <c r="J196" i="1"/>
  <c r="K196" i="1"/>
  <c r="M196" i="1"/>
  <c r="M195" i="1" s="1"/>
  <c r="N196" i="1"/>
  <c r="N195" i="1" s="1"/>
  <c r="I196" i="1"/>
  <c r="K189" i="1"/>
  <c r="J189" i="1"/>
  <c r="L189" i="1"/>
  <c r="M189" i="1"/>
  <c r="M188" i="1" s="1"/>
  <c r="N189" i="1"/>
  <c r="N188" i="1" s="1"/>
  <c r="I189" i="1"/>
  <c r="H193" i="1"/>
  <c r="H190" i="1"/>
  <c r="H191" i="1"/>
  <c r="H192" i="1"/>
  <c r="J179" i="1"/>
  <c r="K179" i="1"/>
  <c r="L179" i="1"/>
  <c r="M179" i="1"/>
  <c r="M178" i="1" s="1"/>
  <c r="N179" i="1"/>
  <c r="N178" i="1" s="1"/>
  <c r="I179" i="1"/>
  <c r="H180" i="1"/>
  <c r="H181" i="1"/>
  <c r="H182" i="1"/>
  <c r="H183" i="1"/>
  <c r="H184" i="1"/>
  <c r="H185" i="1"/>
  <c r="I170" i="1"/>
  <c r="J170" i="1"/>
  <c r="K170" i="1"/>
  <c r="L170" i="1"/>
  <c r="M170" i="1"/>
  <c r="M169" i="1" s="1"/>
  <c r="N169" i="1"/>
  <c r="H171" i="1"/>
  <c r="H172" i="1"/>
  <c r="H173" i="1"/>
  <c r="J163" i="1"/>
  <c r="K163" i="1"/>
  <c r="L163" i="1"/>
  <c r="M163" i="1"/>
  <c r="N163" i="1"/>
  <c r="N162" i="1" s="1"/>
  <c r="I163" i="1"/>
  <c r="H165" i="1"/>
  <c r="H166" i="1"/>
  <c r="H167" i="1"/>
  <c r="H164" i="1"/>
  <c r="M155" i="1"/>
  <c r="N155" i="1"/>
  <c r="H157" i="1"/>
  <c r="H158" i="1"/>
  <c r="H159" i="1"/>
  <c r="N142" i="1"/>
  <c r="J142" i="1"/>
  <c r="K142" i="1"/>
  <c r="L142" i="1"/>
  <c r="M142" i="1"/>
  <c r="M141" i="1" s="1"/>
  <c r="I142" i="1"/>
  <c r="H143" i="1"/>
  <c r="H144" i="1"/>
  <c r="J133" i="1"/>
  <c r="K133" i="1"/>
  <c r="M133" i="1"/>
  <c r="M132" i="1" s="1"/>
  <c r="N133" i="1"/>
  <c r="N132" i="1" s="1"/>
  <c r="I133" i="1"/>
  <c r="H135" i="1"/>
  <c r="J124" i="1"/>
  <c r="K124" i="1"/>
  <c r="L124" i="1"/>
  <c r="I124" i="1"/>
  <c r="H126" i="1"/>
  <c r="H127" i="1"/>
  <c r="H128" i="1"/>
  <c r="H129" i="1"/>
  <c r="J97" i="1"/>
  <c r="K97" i="1"/>
  <c r="L97" i="1"/>
  <c r="M97" i="1"/>
  <c r="M96" i="1" s="1"/>
  <c r="N97" i="1"/>
  <c r="N96" i="1" s="1"/>
  <c r="I97" i="1"/>
  <c r="H102" i="1"/>
  <c r="H101" i="1"/>
  <c r="H100" i="1"/>
  <c r="H304" i="1" s="1"/>
  <c r="H98" i="1"/>
  <c r="H103" i="1"/>
  <c r="H93" i="1"/>
  <c r="M87" i="1"/>
  <c r="N87" i="1"/>
  <c r="H92" i="1"/>
  <c r="H89" i="1"/>
  <c r="H91" i="1"/>
  <c r="H75" i="1"/>
  <c r="H76" i="1"/>
  <c r="H77" i="1"/>
  <c r="H37" i="1"/>
  <c r="H35" i="1"/>
  <c r="H36" i="1"/>
  <c r="L19" i="1"/>
  <c r="H21" i="1"/>
  <c r="H22" i="1"/>
  <c r="H23" i="1"/>
  <c r="H14" i="1"/>
  <c r="H15" i="1"/>
  <c r="H16" i="1"/>
  <c r="H20" i="1"/>
  <c r="H301" i="1" s="1"/>
  <c r="M19" i="1"/>
  <c r="M18" i="1" s="1"/>
  <c r="N19" i="1"/>
  <c r="N18" i="1" s="1"/>
  <c r="I19" i="1"/>
  <c r="J19" i="1"/>
  <c r="K19" i="1"/>
  <c r="L12" i="1"/>
  <c r="M12" i="1"/>
  <c r="N12" i="1"/>
  <c r="J12" i="1"/>
  <c r="J74" i="1" s="1"/>
  <c r="I12" i="1"/>
  <c r="H302" i="1" l="1"/>
  <c r="H88" i="1"/>
  <c r="M229" i="1"/>
  <c r="M252" i="1"/>
  <c r="H170" i="1"/>
  <c r="H169" i="1" s="1"/>
  <c r="I74" i="1"/>
  <c r="M281" i="1"/>
  <c r="L277" i="1"/>
  <c r="L282" i="1" s="1"/>
  <c r="K280" i="1"/>
  <c r="K281" i="1"/>
  <c r="N280" i="1"/>
  <c r="J280" i="1"/>
  <c r="M280" i="1"/>
  <c r="L280" i="1"/>
  <c r="N281" i="1"/>
  <c r="J281" i="1"/>
  <c r="H274" i="1"/>
  <c r="H224" i="1"/>
  <c r="H276" i="1"/>
  <c r="L273" i="1"/>
  <c r="K277" i="1"/>
  <c r="K282" i="1" s="1"/>
  <c r="J277" i="1"/>
  <c r="J273" i="1" s="1"/>
  <c r="N252" i="1"/>
  <c r="I277" i="1"/>
  <c r="H275" i="1"/>
  <c r="H124" i="1"/>
  <c r="H123" i="1" s="1"/>
  <c r="K229" i="1"/>
  <c r="J229" i="1"/>
  <c r="I229" i="1"/>
  <c r="H233" i="1"/>
  <c r="H252" i="1"/>
  <c r="H248" i="1"/>
  <c r="H236" i="1"/>
  <c r="J81" i="1"/>
  <c r="L81" i="1"/>
  <c r="N81" i="1"/>
  <c r="H85" i="1"/>
  <c r="J203" i="1"/>
  <c r="J221" i="1" s="1"/>
  <c r="J279" i="1" s="1"/>
  <c r="I81" i="1"/>
  <c r="H83" i="1"/>
  <c r="I203" i="1"/>
  <c r="I205" i="1"/>
  <c r="I223" i="1" s="1"/>
  <c r="I281" i="1" s="1"/>
  <c r="H82" i="1"/>
  <c r="I204" i="1"/>
  <c r="K81" i="1"/>
  <c r="N202" i="1"/>
  <c r="L205" i="1"/>
  <c r="K202" i="1"/>
  <c r="M81" i="1"/>
  <c r="H206" i="1"/>
  <c r="M202" i="1"/>
  <c r="H196" i="1"/>
  <c r="H195" i="1" s="1"/>
  <c r="H189" i="1"/>
  <c r="H188" i="1" s="1"/>
  <c r="H179" i="1"/>
  <c r="H178" i="1" s="1"/>
  <c r="H163" i="1"/>
  <c r="H155" i="1"/>
  <c r="H133" i="1"/>
  <c r="H132" i="1" s="1"/>
  <c r="H142" i="1"/>
  <c r="H97" i="1"/>
  <c r="H96" i="1" s="1"/>
  <c r="H87" i="1"/>
  <c r="N74" i="1"/>
  <c r="N73" i="1" s="1"/>
  <c r="L74" i="1"/>
  <c r="H34" i="1"/>
  <c r="H33" i="1" s="1"/>
  <c r="K74" i="1"/>
  <c r="K73" i="1" s="1"/>
  <c r="M74" i="1"/>
  <c r="M73" i="1" s="1"/>
  <c r="H12" i="1"/>
  <c r="H19" i="1"/>
  <c r="H18" i="1" s="1"/>
  <c r="H203" i="1" l="1"/>
  <c r="I221" i="1"/>
  <c r="I279" i="1" s="1"/>
  <c r="L221" i="1"/>
  <c r="L279" i="1" s="1"/>
  <c r="H303" i="1"/>
  <c r="H305" i="1" s="1"/>
  <c r="N221" i="1"/>
  <c r="N279" i="1" s="1"/>
  <c r="M221" i="1"/>
  <c r="K221" i="1"/>
  <c r="H221" i="1" s="1"/>
  <c r="J73" i="1"/>
  <c r="J282" i="1"/>
  <c r="M279" i="1"/>
  <c r="H277" i="1"/>
  <c r="H273" i="1" s="1"/>
  <c r="K273" i="1"/>
  <c r="I222" i="1"/>
  <c r="I280" i="1" s="1"/>
  <c r="H280" i="1" s="1"/>
  <c r="N248" i="1"/>
  <c r="N277" i="1"/>
  <c r="L223" i="1"/>
  <c r="L281" i="1" s="1"/>
  <c r="H281" i="1" s="1"/>
  <c r="H229" i="1"/>
  <c r="M248" i="1"/>
  <c r="M277" i="1"/>
  <c r="I273" i="1"/>
  <c r="I282" i="1"/>
  <c r="J202" i="1"/>
  <c r="H204" i="1"/>
  <c r="I202" i="1"/>
  <c r="H81" i="1"/>
  <c r="H205" i="1"/>
  <c r="L202" i="1"/>
  <c r="L73" i="1"/>
  <c r="H202" i="1" l="1"/>
  <c r="J278" i="1"/>
  <c r="M220" i="1"/>
  <c r="H74" i="1"/>
  <c r="H73" i="1" s="1"/>
  <c r="H282" i="1"/>
  <c r="H223" i="1"/>
  <c r="N220" i="1"/>
  <c r="K279" i="1"/>
  <c r="H279" i="1" s="1"/>
  <c r="K220" i="1"/>
  <c r="L278" i="1"/>
  <c r="H222" i="1"/>
  <c r="M273" i="1"/>
  <c r="M282" i="1"/>
  <c r="M278" i="1" s="1"/>
  <c r="L220" i="1"/>
  <c r="N273" i="1"/>
  <c r="N282" i="1"/>
  <c r="N278" i="1" s="1"/>
  <c r="I220" i="1"/>
  <c r="I73" i="1"/>
  <c r="K278" i="1" l="1"/>
  <c r="J220" i="1"/>
  <c r="H220" i="1" s="1"/>
  <c r="H278" i="1" l="1"/>
  <c r="I278" i="1"/>
  <c r="H149" i="1"/>
</calcChain>
</file>

<file path=xl/sharedStrings.xml><?xml version="1.0" encoding="utf-8"?>
<sst xmlns="http://schemas.openxmlformats.org/spreadsheetml/2006/main" count="634" uniqueCount="166">
  <si>
    <t>Наименование мероприятия</t>
  </si>
  <si>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</si>
  <si>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</si>
  <si>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</si>
  <si>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</si>
  <si>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РЗ</t>
  </si>
  <si>
    <t>ПР</t>
  </si>
  <si>
    <t>ЦСР</t>
  </si>
  <si>
    <t>ВР</t>
  </si>
  <si>
    <t>Значение показателя на 2019 год</t>
  </si>
  <si>
    <t>Значение показателя на 2020 год</t>
  </si>
  <si>
    <t>Значение показателя на 2021 год</t>
  </si>
  <si>
    <t>1 кв.</t>
  </si>
  <si>
    <t>2 кв.</t>
  </si>
  <si>
    <t>3 кв.</t>
  </si>
  <si>
    <t>4 кв.</t>
  </si>
  <si>
    <t>Количество мероприятий, единиц</t>
  </si>
  <si>
    <t>Минтранс Новосибирской области, Минобразования Новосибирской области, ГКУ НСО ТУАД во взаимодействии с ГУ МВД России по Новосибирской области, УГИБДД ГУ МВД России по Новосибирской области, ГБУ ДО НСО «АВТОМОТОЦЕНТР»</t>
  </si>
  <si>
    <t>Стоимость единицы</t>
  </si>
  <si>
    <t>X</t>
  </si>
  <si>
    <t>Сумма затрат всего, в том числе</t>
  </si>
  <si>
    <t>областной бюджет</t>
  </si>
  <si>
    <t>местные бюджеты</t>
  </si>
  <si>
    <t>внебюджетные источники</t>
  </si>
  <si>
    <t>федеральный бюджет</t>
  </si>
  <si>
    <t>1.1.2. Проведение мероприятий, направленных на повышение культуры поведения участников дорожного движения</t>
  </si>
  <si>
    <t>Наименование показателя                  (ед. изм.)</t>
  </si>
  <si>
    <r>
      <t xml:space="preserve">Минтранс Новосибирской области, ГКУ НСО ТУАД во взаимодействии с ГУ МВД России по Новосибирской области, УГИБДД ГУ МВД России по Новосибирской области, </t>
    </r>
    <r>
      <rPr>
        <sz val="8"/>
        <color rgb="FF000000"/>
        <rFont val="Times New Roman"/>
        <family val="1"/>
        <charset val="204"/>
      </rPr>
      <t>ГКУ НСО ЦОДД во взаимодействии с ГУ МВД России по Новосибирской области</t>
    </r>
  </si>
  <si>
    <t>1.1.2.1. Проведение лекций, семинаров, бесед с участниками дорожного движения</t>
  </si>
  <si>
    <t xml:space="preserve"> Минтранс Новосибирской области, ГКУ НСО ТУАД во взаимодействии с ГУ МВД России по Новосибирской области, УГИБДД ГУ МВД России по Новосибирской области</t>
  </si>
  <si>
    <t>1.1.2.2.  Проведение круглых столов, конференций, встреч с участниками дорожного движения, курсантами автошкол, водителями автопредприятий с показом киновидеопродукции по безопасности дорожного движения</t>
  </si>
  <si>
    <t xml:space="preserve">1.1.2.3. Публикация материалов по безопасности дорожного движения, профилактике детского дорожно-транспортного травматизма, в том числе списков лиц, лишенных права управления, в средствах массовой информации </t>
  </si>
  <si>
    <t>Количество публикаций, единиц</t>
  </si>
  <si>
    <t>Минтранс Новосибирской области, ГКУ НСО ТУАД во взаимодействии с ГУ МВД России по Новосибирской области, УГИБДД ГУ МВД России по Новосибирской области, ГКУ НСО ЦОДД во взаимодействии с ГУ МВД России по Новосибирской области</t>
  </si>
  <si>
    <t>1.1.2.4.  Проведение комплекса рейдовых и пропагандистских  мероприятий по профилактике правонарушений участниками дорожного движения: «Вежливый водитель», «Нетрезвый водитель», «Пешеходный переход», «Ремень безопасности», «Дети на дороге», «Стань заметный», «Внимание-каникулы!», «Внимание-камера!»</t>
  </si>
  <si>
    <t>Количество телепередач, видеороликов</t>
  </si>
  <si>
    <t>Минтранс Новосибирской области, ГКУ НСО ТУАД во взаимодействии с ГУ МВД России по Новосибирской области, УГИБДД ГУ МВД России по Новосибирской области</t>
  </si>
  <si>
    <t>Всего, в том числе:</t>
  </si>
  <si>
    <t>Количество единиц</t>
  </si>
  <si>
    <t>Минтранс Новосибирской области, ГКУ НСО ТУАД, ГБУ НСО СМЭУ во взаимодействии с мэрией города Новосибирска и ЗСЖД - филиала ОАО «РЖД»</t>
  </si>
  <si>
    <t>Количество светофорных объектов, единиц</t>
  </si>
  <si>
    <t>Минтранс Новосибирской области, ГКУ НСО ТУАД, ГБУ НСО СМЭУ во взаимодействии с мэрией города Новосибирска</t>
  </si>
  <si>
    <t>Количество дорожных знаков, пешеходных переходов, единиц</t>
  </si>
  <si>
    <t>Минтранс Новосибирской области, ГКУ НСО ТУАД,  во взаимодействии с мэрией города Новосибирска</t>
  </si>
  <si>
    <t>Количество км, единиц</t>
  </si>
  <si>
    <t>Количество павильонов, единиц</t>
  </si>
  <si>
    <t>Минтранс Новосибирской области, ГКУ НСО ТУАД</t>
  </si>
  <si>
    <t>Количество железнодорожных переездов, единиц</t>
  </si>
  <si>
    <t>Минтранс Новосибирской области, ГКУ НСО ТУАД во взаимодействии с ОАО «РЖД»</t>
  </si>
  <si>
    <t>Минтранс Новосибирской области во взаимодействии с мэрией города Новосибирска</t>
  </si>
  <si>
    <t>За период 2019-2021 годов будет произведено не менее 45,9 км поверхностной обработки проезжей части автомобильных дорог в Новосибирской области.</t>
  </si>
  <si>
    <t>Минтранс Новосибирской области, ГКУ НСО ТУАД во взаимодействии с мэрией города Новосибирска</t>
  </si>
  <si>
    <t>Минтранс Новосибирской области, ГКУ НСО ТУАД, во взаимодействии с мэрией города Новосибирска</t>
  </si>
  <si>
    <t>1.3.1. Обучение участников дорожного движения, не имеющих медицинского образования (спасатели, работники государственной инспекции безопасности дорожного движения и др.) основам первой медицинской и психологической помощи пострадавшим в условиях различных чрезвычайных ситуаций, в том числе дорожно-транспортных происшествий, и повышение квалификации среднего медицинского персонала.</t>
  </si>
  <si>
    <t>Количество человек, единиц</t>
  </si>
  <si>
    <t>Минздрав Новосибирской области, ГКУЗ НСО «Территориальный центр медицины катастроф Новосибирской области», ГАПОУ НСО «Новосибирский медицинский колледж»</t>
  </si>
  <si>
    <t xml:space="preserve">областной бюджет </t>
  </si>
  <si>
    <t>Сумма затрат по цели 1 государственной программы</t>
  </si>
  <si>
    <t>2.1.1. Оснащение объектов транспортной инфраструктуры инженерно-техническими средствами транспортной безопасности</t>
  </si>
  <si>
    <t>2.1.1.1. Оснащение объектов ОАО «Экспресс-Пригород» средствами и системами обеспечения транспортной безопасности.</t>
  </si>
  <si>
    <t>Количество объектов, единиц</t>
  </si>
  <si>
    <t>2.1.1.2. Проведение мониторинга реализации требований транспортной безопасности на территории Новосибирской области</t>
  </si>
  <si>
    <t>Количество итоговых материалов, единиц</t>
  </si>
  <si>
    <t>Минтранс Новосибирской области во взаимодействии    с  Территориаль ными органами федеральных органов исполнительной власти в разрезе отраслей, органы местного самоуправления, органы внутренних дел</t>
  </si>
  <si>
    <t>Х</t>
  </si>
  <si>
    <t>Количество информационных материалов, единиц</t>
  </si>
  <si>
    <t>Повышение уровня информированности населения в вопросах антитеррористической защищенности, предупреждения и ликвидации ЧС на транспорте</t>
  </si>
  <si>
    <t>Итого затрат по цели 2 государственной программы</t>
  </si>
  <si>
    <t>Сумма затрат по государственной программе</t>
  </si>
  <si>
    <t>31.0.R1.53934</t>
  </si>
  <si>
    <t>31.0.03.02630</t>
  </si>
  <si>
    <t>31.0.03.02620</t>
  </si>
  <si>
    <t>Код бюджетной классификации</t>
  </si>
  <si>
    <t>Таблица 3</t>
  </si>
  <si>
    <t>К концу 2021 года сеть автомобильных дорог в Новосибирской области будет обустроена элементами безопасности дорожного движения, обеспечивающими условия для безопасного движения автомобильного транспорта и пешеходов.</t>
  </si>
  <si>
    <r>
      <t xml:space="preserve">Значение показателя на очередной  финансовый                </t>
    </r>
    <r>
      <rPr>
        <b/>
        <u/>
        <sz val="8"/>
        <color rgb="FF000000"/>
        <rFont val="Times New Roman"/>
        <family val="1"/>
        <charset val="204"/>
      </rPr>
      <t>2019</t>
    </r>
    <r>
      <rPr>
        <b/>
        <sz val="8"/>
        <color rgb="FF000000"/>
        <rFont val="Times New Roman"/>
        <family val="1"/>
        <charset val="204"/>
      </rPr>
      <t xml:space="preserve"> год (поквартально)</t>
    </r>
  </si>
  <si>
    <t>Сумма затрат всего, в том числе:</t>
  </si>
  <si>
    <t>07.0.02.24130</t>
  </si>
  <si>
    <t>07.0.02.24150</t>
  </si>
  <si>
    <t>07.0.03.24210</t>
  </si>
  <si>
    <t>07.0.03.24220</t>
  </si>
  <si>
    <t>07.0.03.24240</t>
  </si>
  <si>
    <t>07.0.03.24280</t>
  </si>
  <si>
    <t>07.0.03.45350</t>
  </si>
  <si>
    <t>09.</t>
  </si>
  <si>
    <t>04.</t>
  </si>
  <si>
    <t xml:space="preserve">федеральный бюджет </t>
  </si>
  <si>
    <t>2.2.1. Обеспечение проведения тематических информационно-пропагандистких  мероприятий по вопросам обеспечения транспортной безопасности населения Новосибирской области</t>
  </si>
  <si>
    <t>Минтранс Новосибирской области, Управление информационных проектов Новосибирской области,во взаимодействии с УТ МВД России по СФО, ГУ МВД России по Новосибирской области, УФСБ России по Новосибирской области, ГУ МЧС России по Новосибирской области</t>
  </si>
  <si>
    <t xml:space="preserve">Применяемые сокращения:
ГАПОУ НСО «Новосибирский медицинский колледж» –государственное автономное профессиональное образовательное учреждение Новосибирской области «Новосибирский медицинский колледж»;
ГБОУ ДОД ОЦД (Ю)ТТ «Автомотоцентр» – государственное бюджетное образовательное учреждение дополнительного образования детей «Областной центр детского (юношеского) технического творчества «Автомотоцентр»;
ГБУ НСО СМЭУ – государственное бюджетное учреждение Новосибирской области «Специализированное монтажно-эксплуатационное учреждение»;
ГКУ НСО ЦОДД – государственное казенное учреждение Новосибирской области «Центр организации дорожного движения»;
ГКУ НСО ТУАД – государственное казенное учреждение Новосибирской области «Территориальное управление автомобильных дорог Новосибирской области»;
ГКУЗ НСО «Территориальный центр медицины катастроф Новосибирской области» – государственное казенное учреждение здравоохранения Новосибирской области «Территориальный центр медицины катастроф Новосибирской области»;
ГУ МВД России по Новосибирской области – Главное управление Министерства внутренних дел Российской Федерации по Новосибирской области;
ДТП – дорожно-транспортные происшествия;
ЗСЖД – филиал ОАО «РЖД» – Западно-Сибирская железная дорога – филиал открытого акционерного общества «Российские железные дороги»;
ГУ МЧС России по Новосибирской области – 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Новосибирской области;
Минздрав Новосибирской области – министерство здравоохранения Новосибирской области;
Минобразования Новосибирской области – министерство образования Новосибирской области;
Минтранс Новосибирской области – министерство транспорта и дорожного хозяйства Новосибирской области;
УГИБДД ГУ МВД России по Новосибирской области – Управление государственной инспекции безопасности дорожного движения Главного управления Министерства внутренних дел Российской Федерации по Новосибирской области;
УТ МВД России по СФО – Управление на транспорте Министерства внутренних дел Российской Федерации
по Сибирскому федеральному округу;
УФСБ России по Новосибирской области – Управление Федеральной службы безопасности Российской Федерации по Новосибирской области.
</t>
  </si>
  <si>
    <t>(тыс.руб.)</t>
  </si>
  <si>
    <t>За период 2019-2021 годов будет размещено 12 информационных материалов, что позволит проинформировать население о проведенных в рамках государственной программы мерах по обеспечению безопасности на транспорте.</t>
  </si>
  <si>
    <t>Минтранс Новосибирской области, ГКУ НСО ЦОДД во взаимодействии с ГУ МВД России по Новосибирской области, УГИБДД ГУ МВД России по Новосибирской области</t>
  </si>
  <si>
    <t>1. Проведение массовых мероприятий с детьми: конкурсов «Безопасное колесо», «Зеленая волна»,  профильных смен «Юные инспектора движения», конкурса «Авто-бэби», участие детей в мероприятиях по профилактике ДТП в «День города»</t>
  </si>
  <si>
    <t>2. Производство и размещение регулярной телепрограммы по безопасности дорожного движения, производство короткометражных социальных фильмов, видео-, аудиороликов по профилактике ДТП, разработка дизайна изготовления и размещение стендов наружной рекламы, полиграфической продукции по безопасности дорожного движения</t>
  </si>
  <si>
    <t>Цель 1. Сокращение уровня смертности и травматизма в результате дорожно-транспортных происшествий на автомобильных дорогах в Новосибирской области</t>
  </si>
  <si>
    <t xml:space="preserve"> Задача 1.1. Развитие комплексной системы профилактики и  предупреждения опасного поведения участников дорожного движения.</t>
  </si>
  <si>
    <t>Задача 1.2. Совершенствование организации дорожного движения на автомобильных дорогах Новосибирской области</t>
  </si>
  <si>
    <t>Задача 1.3. Обучение навыкам оказания медицинской помощи пострадавшим при дорожно-транспортных происшествиях в целях снижения смертности в догоспитальном периоде.</t>
  </si>
  <si>
    <t>Цель 2. Повышение степени защищенности жизни и здоровья населения на транспорте от актов незаконного вмешательства, в том числе террористической направленности, а также от чрезвычайных ситуаций природного и техногенного характера</t>
  </si>
  <si>
    <t xml:space="preserve"> Задача 2.1. Оснащение средствами и системами обеспечения транспортной безопасности объектов транспортной инфраструктуры, транспортных средств и специалистов, отвечающих за безопасность на транспорте</t>
  </si>
  <si>
    <t>Итого затрат на решение задачи 3 цели 1 государственной программы</t>
  </si>
  <si>
    <t>Итого затрат на решение задачи 2 цели 1 государственной программы</t>
  </si>
  <si>
    <t>Итого затрат на решение задачи 1. цели 1 государственной программы</t>
  </si>
  <si>
    <t>Итого затрат на решение задачи 1. цели 2 государственной программы</t>
  </si>
  <si>
    <t>Задача 2.2. Повышение грамотности населения в области обеспечения безопасности населения на транспорте</t>
  </si>
  <si>
    <t>х</t>
  </si>
  <si>
    <t>Итого затрат на решение задачи 2. цели 2 государственной программы</t>
  </si>
  <si>
    <t>В 2019 году будет произведен 1 видеоролик по теме функционирования системы автоматического контроля и выявления нарушений правил дорожного движения на автомобильных дорогах на территории Новосибирской области, c охватом аудитории не менее 1 тыс. человек.</t>
  </si>
  <si>
    <t>Минтранс Новосибирской области во взаимодействии          с АО «Экспресс-Пригород»</t>
  </si>
  <si>
    <t>1.2.1. Обустройство автомобильных дорог и обеспечение условий для безопасного дорожного движения на территории Новосибирской области в соответствии с требованиями действующих отраслевых нормативов</t>
  </si>
  <si>
    <t>1.2.1.1. Строительство и реконструкция светофорных объектов (светофоров),  оснащение действующих светодиодными линзами, детекторами, контролерами и звуком, в том числе проектно-изыскательские работы</t>
  </si>
  <si>
    <t>1.2.1.2.Создание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</t>
  </si>
  <si>
    <r>
      <t xml:space="preserve">1.2.1.3. </t>
    </r>
    <r>
      <rPr>
        <sz val="8"/>
        <color theme="1"/>
        <rFont val="Times New Roman"/>
        <family val="1"/>
        <charset val="204"/>
      </rPr>
      <t>Строительство тротуаров в рамках реконструкции участка автодороги, устройство недостающих тротуаров в рамках капитального ремонта участка автодороги, в том числе проектно-изыскательские работы</t>
    </r>
  </si>
  <si>
    <r>
      <t xml:space="preserve">1.2.1.4. </t>
    </r>
    <r>
      <rPr>
        <sz val="8"/>
        <color theme="1"/>
        <rFont val="Times New Roman"/>
        <family val="1"/>
        <charset val="204"/>
      </rPr>
      <t>Строительство остановочных пунктов в рамках реконструкции участка автодороги, обустройство остановочных пунктов, устройство недостающих остановочных пунктов в рамках капитального ремонта участка автодороги, в том числе проектно-изыскательские работы</t>
    </r>
  </si>
  <si>
    <t>1.2.1.5. Строительство переходно-скоростных полос разгона и торможения, пересечений и примыканий в одном уровне, в том числе проектно-изыскательские работы</t>
  </si>
  <si>
    <t>1.2.1.6. Приведение в нормативное состояние железнодорожных переездов и подъездов к ним, в том числе проектно-изыскательские работы</t>
  </si>
  <si>
    <t>1.2.1.7. Повышение сцепных качеств дорожного покрытия</t>
  </si>
  <si>
    <t>1.2.1.8. Разработка проектов организации движения</t>
  </si>
  <si>
    <r>
      <t xml:space="preserve">1.2.1.9. </t>
    </r>
    <r>
      <rPr>
        <sz val="8"/>
        <color theme="1"/>
        <rFont val="Times New Roman"/>
        <family val="1"/>
        <charset val="204"/>
      </rPr>
      <t>Устройство освещения в рамках реконструкции участка автодороги, устройство недостающего освещения в рамках капитального ремонта участка автодороги, в том числе проектно-изыскательские работы</t>
    </r>
  </si>
  <si>
    <t>1.2.1.10. Разметка автомобильных дорог, в том числе приемочный контроль</t>
  </si>
  <si>
    <t>1.2.1.11. Устройство новых и замена несоответствующих ГОСТу барьерных, осевых и пешеходных ограждений, в том числе проектно‑изыскательские работы</t>
  </si>
  <si>
    <t>1.2.1.12. Обеспечение сохранности автомобильных дорог, в том числе устройство и совершенствование площадок для работы пунктов весового контроля,  устройство системы динамического контроля массы движущихся транспортных средств и проектно-изыскательские работы</t>
  </si>
  <si>
    <t xml:space="preserve">Проведение мероприятий, повышающих уровень осведомленности населения  в области безопасности дорожного движения </t>
  </si>
  <si>
    <t>Количество видеороликов</t>
  </si>
  <si>
    <t>1.1.2.5.  Производство короткометражных социальных фильмов, видео-, аудиороликов по профилактике ДТП</t>
  </si>
  <si>
    <t>Повышение уровня обеспеченности транспортной безопасности на объектах транспортной инфраструктуры посредством оснащения техническими средствами, которое будет использоваться при проведении досмотра пассажиров и багажа подразделениями транспортной безопасности</t>
  </si>
  <si>
    <t>2.2.1.1. Информирование населения о мерах, направленных на обеспечение безопасности на транспорте, реализованных в рамках государственной программы</t>
  </si>
  <si>
    <t>Минтранс Новосибирской области во взаимодействии с субъектами транспортной инфраструктуры и АО «Экспресс-Пригород», мэрия города Новосибирска</t>
  </si>
  <si>
    <t>Значение показателя на 2022 год</t>
  </si>
  <si>
    <t>Значение показателя на 2023 год</t>
  </si>
  <si>
    <t>Значение показателя на 2024 год</t>
  </si>
  <si>
    <t>Подробный перечень планируемых к реализации мероприятий государственной программы Новосибирской области
«Повышение безопасности дорожного движения на автомобильных дорогах и обеспечение безопасности населения на транспорте в Новосибирской области»                                                                                                                                                 на очередной 2019 год и плановый период c 2020 по 2024 год</t>
  </si>
  <si>
    <t>В рамках государственной программы в 2019 году средствами и системами обеспечения транспортной безопасности будет оснащен 1 объект АО «Экспресс-Пригород»</t>
  </si>
  <si>
    <t xml:space="preserve">За период 2019-2021 годов будет сформировано 12 итоговых материалов, на основании которых принимаются меры по реализации действующего законодательства РФ в области обеспечения транспортной безопасности </t>
  </si>
  <si>
    <t>07.0.03.S0420</t>
  </si>
  <si>
    <t>07.0.03.24230</t>
  </si>
  <si>
    <t>За период 2019-2024 годов будет произведено не менее 72 телепередач с охватом аудитории не менее 1 500 тыс. человек ежегодно</t>
  </si>
  <si>
    <t>К концу 2024 года количество проведенных массовых профилактических мероприятий в области безопасности дорожного движения с участием учащихся общеобразовательных учреждений составит не менее 6 мероприятий/год, в ходе которых будет охвачено не менее 30,0 тыс. учащихся.</t>
  </si>
  <si>
    <t>За период 2019-2024 годов будет проведено не менее 168 тыс. мероприятий.</t>
  </si>
  <si>
    <t>За период 2019- 2024 годов будет проведено не менее                    2 400 мероприятий.</t>
  </si>
  <si>
    <t>За период 2019-2024 годов будет проведено не менее 395 мероприятий. В период 2020-2024 годах реализация мероприятия будет осуществляться в рамках текущей деятельности организаций, ответственных за проведение мероприятия.</t>
  </si>
  <si>
    <t>За период 2019-2024 годов будет произведено не менее               50,5 тыс. публикаций статистических данных.</t>
  </si>
  <si>
    <t>За период 2019-2024 годов будут проведены мероприятия, направленные на повышение культуры поведения участников движения, в ходе которых будет охвачено не менее 800 тыс. человек ежегодно.</t>
  </si>
  <si>
    <t>За период 2019-2024 годов общее количество  построенных/ реконструированных светофорных объектов будет составлять не менее 116 шт.</t>
  </si>
  <si>
    <t>1.2.1.2.2. Создание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</t>
  </si>
  <si>
    <t>1.2.1.2.1. Оплата кредиторской задолженности за работы, выполненные в 2018 году</t>
  </si>
  <si>
    <t>В 2019 году будет оплачена кредиторская задолженность по выполненным в 2018 году проектно-изыскательским работам</t>
  </si>
  <si>
    <t>За период 2019-2024 годов общая протяженность построенных тротуаров будет составлять не менее 157,9 км.</t>
  </si>
  <si>
    <t>За период 2019-2024 годов общее количество построенных и обустроенных остановочных павильонов будет составлять не менее 83 шт.</t>
  </si>
  <si>
    <t>В 2020, 2022 и 2023 годах  общая протяженность устроенных переходно-скоростных полос, обустроенных пересечений и примыканий будет составлять  1,2 км. В 2019 году сумма затрат предусмотрена на проектно-изыскательские работы. В 2021 и 2024 годах выполнение работ не предусмотрено.</t>
  </si>
  <si>
    <t>За период 2019-2024 годов будут оборудованы искусственным освещением места концентрации ДТП в населенных пунктах с транзитным движением автотранспорта на участке протяженностью не менее 68,8 км.</t>
  </si>
  <si>
    <t>За период 2019-2024 годов общее количество наносимой на автомобильных дорогах Новосибирской области дорожной разметки будет составлять не менее  32 472 км</t>
  </si>
  <si>
    <t>За 2019-2024 годов общее количество построенных/замененных  на автомобильных дорогах в Новосибирской области ограждений составит не менее 36,0 км.</t>
  </si>
  <si>
    <t>За период 2019-2024 годов планируется оборудовать площадки для работы пунктов весового контроля в количестве 23 единиц</t>
  </si>
  <si>
    <t>ОБ</t>
  </si>
  <si>
    <t>всего</t>
  </si>
  <si>
    <t>I</t>
  </si>
  <si>
    <t>II</t>
  </si>
  <si>
    <t>III</t>
  </si>
  <si>
    <t>IV</t>
  </si>
  <si>
    <t xml:space="preserve">Региональный проект «Дорожная сеть (Новосибирская область)» </t>
  </si>
  <si>
    <t>К концу 2024 года пройдут обучение основам первой медицинской и психологической помощи пострадавшим в условиях различных чрезвычайных ситуаций, в том числе ДТП, участники дорожного движения, не имеющие медицинского образования,  а также повысят квалификацию средний медицинский персонал, в общем количестве 3180 человек.</t>
  </si>
  <si>
    <t>За период 2019-2024 годов общее количество  установленных/ замененных дорожных знаков будет составлять 19 322 шт. В 2019 году 49 пешеходных переходов будет оборудован в соответствии с национальными стандартами.</t>
  </si>
  <si>
    <t>За период 2019-2024 годов общее количество приведенных в нормативное состояние подъездов к железнодорожным переездам будет составлять не менее 24.</t>
  </si>
  <si>
    <t>За период 2019-2021 годов будут разработаны проекты организации дорожного движения на участке автомобильных дорог Новосибирской области протяженностью 8 000,0 км. В период 2022-2024 годов разработка проектов не предусмотрена.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</si>
</sst>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9" fillId="0" borderId="0" xfId="0" applyFont="1" applyFill="1"/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/>
    <xf numFmtId="0" fontId="9" fillId="0" borderId="0" xfId="0" applyFont="1" applyFill="1" applyAlignment="1">
      <alignment horizont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/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vertical="center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/>
    </xf>
    <xf numFmtId="165" fontId="2" fillId="0" borderId="9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vertical="center"/>
    </xf>
    <xf numFmtId="165" fontId="2" fillId="0" borderId="11" xfId="0" applyNumberFormat="1" applyFont="1" applyFill="1" applyBorder="1" applyAlignment="1">
      <alignment vertical="center"/>
    </xf>
    <xf numFmtId="165" fontId="1" fillId="0" borderId="1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165" fontId="2" fillId="0" borderId="18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/>
    </xf>
    <xf numFmtId="165" fontId="5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5"/>
  <sheetViews>
    <sheetView tabSelected="1" view="pageBreakPreview" zoomScale="70" zoomScaleNormal="70" zoomScaleSheetLayoutView="70" workbookViewId="0">
      <pane ySplit="7" topLeftCell="A17" activePane="bottomLeft" state="frozen"/>
      <selection pane="bottomLeft" activeCell="R261" sqref="R261:R267"/>
    </sheetView>
  </sheetViews>
  <sheetFormatPr defaultColWidth="8.88671875" defaultRowHeight="13.8" x14ac:dyDescent="0.25"/>
  <cols>
    <col min="1" max="1" width="19.6640625" style="5" customWidth="1"/>
    <col min="2" max="2" width="14.33203125" style="5" customWidth="1"/>
    <col min="3" max="4" width="5.88671875" style="5" customWidth="1"/>
    <col min="5" max="5" width="4.5546875" style="5" customWidth="1"/>
    <col min="6" max="6" width="11.6640625" style="5" customWidth="1"/>
    <col min="7" max="7" width="5.88671875" style="5" customWidth="1"/>
    <col min="8" max="8" width="9.6640625" style="5" bestFit="1" customWidth="1"/>
    <col min="9" max="9" width="9.109375" style="5" customWidth="1"/>
    <col min="10" max="10" width="9.5546875" style="5" customWidth="1"/>
    <col min="11" max="12" width="9.6640625" style="5" customWidth="1"/>
    <col min="13" max="13" width="9.6640625" style="5" bestFit="1" customWidth="1"/>
    <col min="14" max="14" width="11.6640625" style="5" bestFit="1" customWidth="1"/>
    <col min="15" max="15" width="10.6640625" style="5" customWidth="1"/>
    <col min="16" max="16" width="11.5546875" style="5" bestFit="1" customWidth="1"/>
    <col min="17" max="17" width="11.33203125" style="5" customWidth="1"/>
    <col min="18" max="18" width="18.77734375" style="5" customWidth="1"/>
    <col min="19" max="19" width="19" style="5" customWidth="1"/>
    <col min="20" max="16384" width="8.88671875" style="5"/>
  </cols>
  <sheetData>
    <row r="1" spans="1:19" ht="19.95" customHeight="1" x14ac:dyDescent="0.25">
      <c r="S1" s="8" t="s">
        <v>73</v>
      </c>
    </row>
    <row r="2" spans="1:19" ht="42.6" customHeight="1" x14ac:dyDescent="0.25">
      <c r="A2" s="77" t="s">
        <v>132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7.399999999999999" customHeight="1" thickBo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9" t="s">
        <v>90</v>
      </c>
    </row>
    <row r="4" spans="1:19" ht="14.4" customHeight="1" x14ac:dyDescent="0.25">
      <c r="A4" s="106" t="s">
        <v>0</v>
      </c>
      <c r="B4" s="108" t="s">
        <v>1</v>
      </c>
      <c r="C4" s="108" t="s">
        <v>72</v>
      </c>
      <c r="D4" s="108"/>
      <c r="E4" s="108"/>
      <c r="F4" s="108"/>
      <c r="G4" s="108"/>
      <c r="H4" s="114" t="s">
        <v>9</v>
      </c>
      <c r="I4" s="120" t="s">
        <v>75</v>
      </c>
      <c r="J4" s="121"/>
      <c r="K4" s="121"/>
      <c r="L4" s="122"/>
      <c r="M4" s="114" t="s">
        <v>10</v>
      </c>
      <c r="N4" s="114" t="s">
        <v>11</v>
      </c>
      <c r="O4" s="114" t="s">
        <v>129</v>
      </c>
      <c r="P4" s="114" t="s">
        <v>130</v>
      </c>
      <c r="Q4" s="114" t="s">
        <v>131</v>
      </c>
      <c r="R4" s="108" t="s">
        <v>2</v>
      </c>
      <c r="S4" s="101" t="s">
        <v>3</v>
      </c>
    </row>
    <row r="5" spans="1:19" ht="25.95" customHeight="1" x14ac:dyDescent="0.25">
      <c r="A5" s="107"/>
      <c r="B5" s="103"/>
      <c r="C5" s="103" t="s">
        <v>4</v>
      </c>
      <c r="D5" s="103" t="s">
        <v>5</v>
      </c>
      <c r="E5" s="104" t="s">
        <v>6</v>
      </c>
      <c r="F5" s="103" t="s">
        <v>7</v>
      </c>
      <c r="G5" s="103" t="s">
        <v>8</v>
      </c>
      <c r="H5" s="115"/>
      <c r="I5" s="123"/>
      <c r="J5" s="124"/>
      <c r="K5" s="124"/>
      <c r="L5" s="125"/>
      <c r="M5" s="115"/>
      <c r="N5" s="115"/>
      <c r="O5" s="115"/>
      <c r="P5" s="115"/>
      <c r="Q5" s="115"/>
      <c r="R5" s="103"/>
      <c r="S5" s="102"/>
    </row>
    <row r="6" spans="1:19" ht="15.6" customHeight="1" x14ac:dyDescent="0.25">
      <c r="A6" s="107"/>
      <c r="B6" s="103"/>
      <c r="C6" s="103"/>
      <c r="D6" s="103"/>
      <c r="E6" s="105"/>
      <c r="F6" s="103"/>
      <c r="G6" s="103"/>
      <c r="H6" s="116"/>
      <c r="I6" s="31" t="s">
        <v>12</v>
      </c>
      <c r="J6" s="31" t="s">
        <v>13</v>
      </c>
      <c r="K6" s="31" t="s">
        <v>14</v>
      </c>
      <c r="L6" s="31" t="s">
        <v>15</v>
      </c>
      <c r="M6" s="116"/>
      <c r="N6" s="116"/>
      <c r="O6" s="116"/>
      <c r="P6" s="116"/>
      <c r="Q6" s="116"/>
      <c r="R6" s="103"/>
      <c r="S6" s="102"/>
    </row>
    <row r="7" spans="1:19" ht="14.4" thickBot="1" x14ac:dyDescent="0.3">
      <c r="A7" s="10">
        <v>1</v>
      </c>
      <c r="B7" s="11">
        <v>2</v>
      </c>
      <c r="C7" s="11">
        <v>3</v>
      </c>
      <c r="D7" s="11">
        <v>4</v>
      </c>
      <c r="E7" s="11"/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</row>
    <row r="8" spans="1:19" ht="13.95" customHeight="1" x14ac:dyDescent="0.25">
      <c r="A8" s="88" t="s">
        <v>95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90"/>
    </row>
    <row r="9" spans="1:19" ht="14.4" customHeight="1" thickBot="1" x14ac:dyDescent="0.3">
      <c r="A9" s="117" t="s">
        <v>96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9"/>
    </row>
    <row r="10" spans="1:19" ht="30.6" x14ac:dyDescent="0.25">
      <c r="A10" s="82" t="s">
        <v>161</v>
      </c>
      <c r="B10" s="32" t="s">
        <v>26</v>
      </c>
      <c r="C10" s="33"/>
      <c r="D10" s="33"/>
      <c r="E10" s="33"/>
      <c r="F10" s="33"/>
      <c r="G10" s="33"/>
      <c r="H10" s="34"/>
      <c r="I10" s="35"/>
      <c r="J10" s="34"/>
      <c r="K10" s="34"/>
      <c r="L10" s="35"/>
      <c r="M10" s="34"/>
      <c r="N10" s="36"/>
      <c r="O10" s="34"/>
      <c r="P10" s="36"/>
      <c r="Q10" s="34"/>
      <c r="R10" s="84" t="s">
        <v>17</v>
      </c>
      <c r="S10" s="86" t="s">
        <v>123</v>
      </c>
    </row>
    <row r="11" spans="1:19" x14ac:dyDescent="0.25">
      <c r="A11" s="83"/>
      <c r="B11" s="37" t="s">
        <v>18</v>
      </c>
      <c r="C11" s="38"/>
      <c r="D11" s="38"/>
      <c r="E11" s="38"/>
      <c r="F11" s="38"/>
      <c r="G11" s="38"/>
      <c r="H11" s="39"/>
      <c r="I11" s="39" t="s">
        <v>19</v>
      </c>
      <c r="J11" s="39" t="s">
        <v>19</v>
      </c>
      <c r="K11" s="39" t="s">
        <v>19</v>
      </c>
      <c r="L11" s="39" t="s">
        <v>19</v>
      </c>
      <c r="M11" s="39"/>
      <c r="N11" s="39"/>
      <c r="O11" s="39"/>
      <c r="P11" s="39"/>
      <c r="Q11" s="39"/>
      <c r="R11" s="85"/>
      <c r="S11" s="87"/>
    </row>
    <row r="12" spans="1:19" ht="20.399999999999999" x14ac:dyDescent="0.25">
      <c r="A12" s="83"/>
      <c r="B12" s="37" t="s">
        <v>20</v>
      </c>
      <c r="C12" s="38"/>
      <c r="D12" s="38"/>
      <c r="E12" s="38"/>
      <c r="F12" s="38"/>
      <c r="G12" s="38"/>
      <c r="H12" s="39">
        <f>H13+H14+H15+H16</f>
        <v>3355.25</v>
      </c>
      <c r="I12" s="39">
        <f t="shared" ref="I12:P12" si="0">I13+I14+I15+I16</f>
        <v>0</v>
      </c>
      <c r="J12" s="39">
        <f t="shared" si="0"/>
        <v>700</v>
      </c>
      <c r="K12" s="39">
        <f>K13+K14+K15+K16</f>
        <v>1355.25</v>
      </c>
      <c r="L12" s="39">
        <f t="shared" si="0"/>
        <v>1300</v>
      </c>
      <c r="M12" s="39">
        <f t="shared" si="0"/>
        <v>4000</v>
      </c>
      <c r="N12" s="39">
        <f t="shared" si="0"/>
        <v>4000</v>
      </c>
      <c r="O12" s="39">
        <f t="shared" si="0"/>
        <v>4000</v>
      </c>
      <c r="P12" s="39">
        <f t="shared" si="0"/>
        <v>4000</v>
      </c>
      <c r="Q12" s="39">
        <f t="shared" ref="Q12" si="1">Q13+Q14+Q15+Q16</f>
        <v>4000</v>
      </c>
      <c r="R12" s="85"/>
      <c r="S12" s="87"/>
    </row>
    <row r="13" spans="1:19" x14ac:dyDescent="0.25">
      <c r="A13" s="83"/>
      <c r="B13" s="37" t="s">
        <v>21</v>
      </c>
      <c r="C13" s="38"/>
      <c r="D13" s="38"/>
      <c r="E13" s="38"/>
      <c r="F13" s="38"/>
      <c r="G13" s="38"/>
      <c r="H13" s="39">
        <f>I13+J13+K13+L13</f>
        <v>3355.25</v>
      </c>
      <c r="I13" s="4"/>
      <c r="J13" s="39">
        <f>J20+J27</f>
        <v>700</v>
      </c>
      <c r="K13" s="39">
        <f t="shared" ref="K13:O13" si="2">K20+K27</f>
        <v>1355.25</v>
      </c>
      <c r="L13" s="39">
        <f t="shared" si="2"/>
        <v>1300</v>
      </c>
      <c r="M13" s="39">
        <f t="shared" si="2"/>
        <v>4000</v>
      </c>
      <c r="N13" s="39">
        <f t="shared" si="2"/>
        <v>4000</v>
      </c>
      <c r="O13" s="39">
        <f t="shared" si="2"/>
        <v>4000</v>
      </c>
      <c r="P13" s="39">
        <f>P20+P27</f>
        <v>4000</v>
      </c>
      <c r="Q13" s="39">
        <f t="shared" ref="Q13" si="3">Q20+Q27</f>
        <v>4000</v>
      </c>
      <c r="R13" s="85"/>
      <c r="S13" s="87"/>
    </row>
    <row r="14" spans="1:19" x14ac:dyDescent="0.25">
      <c r="A14" s="83"/>
      <c r="B14" s="37" t="s">
        <v>24</v>
      </c>
      <c r="C14" s="40"/>
      <c r="D14" s="40"/>
      <c r="E14" s="40"/>
      <c r="F14" s="40"/>
      <c r="G14" s="40"/>
      <c r="H14" s="39">
        <f t="shared" ref="H14:H16" si="4">I14+J14+K14+L14</f>
        <v>0</v>
      </c>
      <c r="I14" s="39"/>
      <c r="J14" s="39"/>
      <c r="K14" s="39"/>
      <c r="L14" s="39"/>
      <c r="M14" s="39"/>
      <c r="N14" s="39"/>
      <c r="O14" s="39"/>
      <c r="P14" s="39"/>
      <c r="Q14" s="39"/>
      <c r="R14" s="85"/>
      <c r="S14" s="87"/>
    </row>
    <row r="15" spans="1:19" x14ac:dyDescent="0.25">
      <c r="A15" s="83"/>
      <c r="B15" s="37" t="s">
        <v>22</v>
      </c>
      <c r="C15" s="38"/>
      <c r="D15" s="38"/>
      <c r="E15" s="38"/>
      <c r="F15" s="38"/>
      <c r="G15" s="38"/>
      <c r="H15" s="39">
        <f t="shared" si="4"/>
        <v>0</v>
      </c>
      <c r="I15" s="4"/>
      <c r="J15" s="4"/>
      <c r="K15" s="4"/>
      <c r="L15" s="4"/>
      <c r="M15" s="39"/>
      <c r="N15" s="41"/>
      <c r="O15" s="39"/>
      <c r="P15" s="41"/>
      <c r="Q15" s="39"/>
      <c r="R15" s="85"/>
      <c r="S15" s="87"/>
    </row>
    <row r="16" spans="1:19" ht="20.399999999999999" x14ac:dyDescent="0.25">
      <c r="A16" s="83"/>
      <c r="B16" s="37" t="s">
        <v>23</v>
      </c>
      <c r="C16" s="38"/>
      <c r="D16" s="38"/>
      <c r="E16" s="38"/>
      <c r="F16" s="38"/>
      <c r="G16" s="38"/>
      <c r="H16" s="39">
        <f t="shared" si="4"/>
        <v>0</v>
      </c>
      <c r="I16" s="4"/>
      <c r="J16" s="4"/>
      <c r="K16" s="4"/>
      <c r="L16" s="4"/>
      <c r="M16" s="39"/>
      <c r="N16" s="41"/>
      <c r="O16" s="39"/>
      <c r="P16" s="41"/>
      <c r="Q16" s="39"/>
      <c r="R16" s="85"/>
      <c r="S16" s="87"/>
    </row>
    <row r="17" spans="1:19" ht="20.399999999999999" x14ac:dyDescent="0.25">
      <c r="A17" s="83" t="s">
        <v>93</v>
      </c>
      <c r="B17" s="37" t="s">
        <v>16</v>
      </c>
      <c r="C17" s="38"/>
      <c r="D17" s="38"/>
      <c r="E17" s="38"/>
      <c r="F17" s="38"/>
      <c r="G17" s="38"/>
      <c r="H17" s="39">
        <v>6</v>
      </c>
      <c r="I17" s="39"/>
      <c r="J17" s="39">
        <v>2</v>
      </c>
      <c r="K17" s="39">
        <v>4</v>
      </c>
      <c r="L17" s="4"/>
      <c r="M17" s="39">
        <v>6</v>
      </c>
      <c r="N17" s="41">
        <v>6</v>
      </c>
      <c r="O17" s="39">
        <v>6</v>
      </c>
      <c r="P17" s="41">
        <v>6</v>
      </c>
      <c r="Q17" s="39">
        <v>6</v>
      </c>
      <c r="R17" s="85" t="s">
        <v>17</v>
      </c>
      <c r="S17" s="87" t="s">
        <v>138</v>
      </c>
    </row>
    <row r="18" spans="1:19" x14ac:dyDescent="0.25">
      <c r="A18" s="83"/>
      <c r="B18" s="37" t="s">
        <v>18</v>
      </c>
      <c r="C18" s="38"/>
      <c r="D18" s="38"/>
      <c r="E18" s="38"/>
      <c r="F18" s="38"/>
      <c r="G18" s="38"/>
      <c r="H18" s="39">
        <f>H19/H17</f>
        <v>342.54166666666669</v>
      </c>
      <c r="I18" s="39" t="s">
        <v>19</v>
      </c>
      <c r="J18" s="39" t="s">
        <v>19</v>
      </c>
      <c r="K18" s="39" t="s">
        <v>19</v>
      </c>
      <c r="L18" s="39" t="s">
        <v>19</v>
      </c>
      <c r="M18" s="39">
        <f>M19/M17</f>
        <v>416.66666666666669</v>
      </c>
      <c r="N18" s="39">
        <f>N19/N17</f>
        <v>416.66666666666669</v>
      </c>
      <c r="O18" s="39">
        <f>O19/O17</f>
        <v>416.66666666666669</v>
      </c>
      <c r="P18" s="39">
        <f>P19/P17</f>
        <v>416.66666666666669</v>
      </c>
      <c r="Q18" s="39">
        <f>Q19/Q17</f>
        <v>416.66666666666669</v>
      </c>
      <c r="R18" s="85"/>
      <c r="S18" s="87"/>
    </row>
    <row r="19" spans="1:19" ht="20.399999999999999" x14ac:dyDescent="0.25">
      <c r="A19" s="83"/>
      <c r="B19" s="37" t="s">
        <v>20</v>
      </c>
      <c r="C19" s="38"/>
      <c r="D19" s="38"/>
      <c r="E19" s="38"/>
      <c r="F19" s="38"/>
      <c r="G19" s="38"/>
      <c r="H19" s="39">
        <f>H20+H21+H22+H23</f>
        <v>2055.25</v>
      </c>
      <c r="I19" s="39">
        <f t="shared" ref="I19:L19" si="5">I20+I21+I22+I23</f>
        <v>0</v>
      </c>
      <c r="J19" s="39">
        <f t="shared" si="5"/>
        <v>700</v>
      </c>
      <c r="K19" s="39">
        <f t="shared" si="5"/>
        <v>1355.25</v>
      </c>
      <c r="L19" s="39">
        <f t="shared" si="5"/>
        <v>0</v>
      </c>
      <c r="M19" s="39">
        <f t="shared" ref="M19:Q19" si="6">M20+M21+M22+M23</f>
        <v>2500</v>
      </c>
      <c r="N19" s="39">
        <f t="shared" ref="N19:O19" si="7">N20+N21+N22+N23</f>
        <v>2500</v>
      </c>
      <c r="O19" s="39">
        <f t="shared" si="7"/>
        <v>2500</v>
      </c>
      <c r="P19" s="39">
        <f t="shared" ref="P19" si="8">P20+P21+P22+P23</f>
        <v>2500</v>
      </c>
      <c r="Q19" s="39">
        <f t="shared" si="6"/>
        <v>2500</v>
      </c>
      <c r="R19" s="85"/>
      <c r="S19" s="87"/>
    </row>
    <row r="20" spans="1:19" x14ac:dyDescent="0.25">
      <c r="A20" s="83"/>
      <c r="B20" s="37" t="s">
        <v>21</v>
      </c>
      <c r="C20" s="40">
        <v>176</v>
      </c>
      <c r="D20" s="40" t="s">
        <v>85</v>
      </c>
      <c r="E20" s="40" t="s">
        <v>84</v>
      </c>
      <c r="F20" s="40" t="s">
        <v>69</v>
      </c>
      <c r="G20" s="40">
        <v>244</v>
      </c>
      <c r="H20" s="39">
        <f>I20+J20+K20+L20</f>
        <v>2055.25</v>
      </c>
      <c r="I20" s="39">
        <v>0</v>
      </c>
      <c r="J20" s="39">
        <v>700</v>
      </c>
      <c r="K20" s="39">
        <f>1500-144.75</f>
        <v>1355.25</v>
      </c>
      <c r="L20" s="39"/>
      <c r="M20" s="39">
        <v>2500</v>
      </c>
      <c r="N20" s="39">
        <v>2500</v>
      </c>
      <c r="O20" s="39">
        <v>2500</v>
      </c>
      <c r="P20" s="39">
        <v>2500</v>
      </c>
      <c r="Q20" s="39">
        <v>2500</v>
      </c>
      <c r="R20" s="85"/>
      <c r="S20" s="87"/>
    </row>
    <row r="21" spans="1:19" x14ac:dyDescent="0.25">
      <c r="A21" s="83"/>
      <c r="B21" s="37" t="s">
        <v>24</v>
      </c>
      <c r="C21" s="40"/>
      <c r="D21" s="40"/>
      <c r="E21" s="40"/>
      <c r="F21" s="40"/>
      <c r="G21" s="40"/>
      <c r="H21" s="39">
        <f t="shared" ref="H21:H23" si="9">I21+J21+K21+L21</f>
        <v>0</v>
      </c>
      <c r="I21" s="39"/>
      <c r="J21" s="39"/>
      <c r="K21" s="39"/>
      <c r="L21" s="39"/>
      <c r="M21" s="39"/>
      <c r="N21" s="42"/>
      <c r="O21" s="39"/>
      <c r="P21" s="42"/>
      <c r="Q21" s="39"/>
      <c r="R21" s="85"/>
      <c r="S21" s="87"/>
    </row>
    <row r="22" spans="1:19" x14ac:dyDescent="0.25">
      <c r="A22" s="83"/>
      <c r="B22" s="37" t="s">
        <v>22</v>
      </c>
      <c r="C22" s="38"/>
      <c r="D22" s="38"/>
      <c r="E22" s="38"/>
      <c r="F22" s="38"/>
      <c r="G22" s="38"/>
      <c r="H22" s="39">
        <f t="shared" si="9"/>
        <v>0</v>
      </c>
      <c r="I22" s="4"/>
      <c r="J22" s="4"/>
      <c r="K22" s="4"/>
      <c r="L22" s="4"/>
      <c r="M22" s="4"/>
      <c r="N22" s="42"/>
      <c r="O22" s="4"/>
      <c r="P22" s="42"/>
      <c r="Q22" s="4"/>
      <c r="R22" s="85"/>
      <c r="S22" s="87"/>
    </row>
    <row r="23" spans="1:19" ht="21" thickBot="1" x14ac:dyDescent="0.3">
      <c r="A23" s="110"/>
      <c r="B23" s="43" t="s">
        <v>23</v>
      </c>
      <c r="C23" s="44"/>
      <c r="D23" s="44"/>
      <c r="E23" s="44"/>
      <c r="F23" s="44"/>
      <c r="G23" s="44"/>
      <c r="H23" s="45">
        <f t="shared" si="9"/>
        <v>0</v>
      </c>
      <c r="I23" s="46"/>
      <c r="J23" s="46"/>
      <c r="K23" s="46"/>
      <c r="L23" s="46"/>
      <c r="M23" s="46"/>
      <c r="N23" s="47"/>
      <c r="O23" s="46"/>
      <c r="P23" s="47"/>
      <c r="Q23" s="46"/>
      <c r="R23" s="111"/>
      <c r="S23" s="112"/>
    </row>
    <row r="24" spans="1:19" ht="30.6" x14ac:dyDescent="0.25">
      <c r="A24" s="91" t="s">
        <v>94</v>
      </c>
      <c r="B24" s="26" t="s">
        <v>35</v>
      </c>
      <c r="C24" s="38"/>
      <c r="D24" s="38"/>
      <c r="E24" s="38"/>
      <c r="F24" s="38"/>
      <c r="G24" s="38"/>
      <c r="H24" s="1">
        <v>12</v>
      </c>
      <c r="I24" s="1">
        <v>0</v>
      </c>
      <c r="J24" s="1">
        <v>0</v>
      </c>
      <c r="K24" s="1">
        <v>0</v>
      </c>
      <c r="L24" s="1">
        <v>12</v>
      </c>
      <c r="M24" s="1">
        <v>12</v>
      </c>
      <c r="N24" s="48">
        <v>12</v>
      </c>
      <c r="O24" s="1">
        <v>12</v>
      </c>
      <c r="P24" s="48">
        <v>12</v>
      </c>
      <c r="Q24" s="1">
        <v>12</v>
      </c>
      <c r="R24" s="78" t="s">
        <v>36</v>
      </c>
      <c r="S24" s="80" t="s">
        <v>137</v>
      </c>
    </row>
    <row r="25" spans="1:19" ht="20.399999999999999" customHeight="1" x14ac:dyDescent="0.25">
      <c r="A25" s="91"/>
      <c r="B25" s="26" t="s">
        <v>18</v>
      </c>
      <c r="C25" s="38"/>
      <c r="D25" s="38"/>
      <c r="E25" s="38"/>
      <c r="F25" s="38"/>
      <c r="G25" s="38"/>
      <c r="H25" s="1">
        <f>H26/H24</f>
        <v>108.33333333333333</v>
      </c>
      <c r="I25" s="1" t="s">
        <v>19</v>
      </c>
      <c r="J25" s="1" t="s">
        <v>19</v>
      </c>
      <c r="K25" s="1" t="s">
        <v>19</v>
      </c>
      <c r="L25" s="1" t="s">
        <v>19</v>
      </c>
      <c r="M25" s="1">
        <v>125</v>
      </c>
      <c r="N25" s="48">
        <f>N26/N24</f>
        <v>125</v>
      </c>
      <c r="O25" s="48">
        <f t="shared" ref="O25:Q25" si="10">O26/O24</f>
        <v>125</v>
      </c>
      <c r="P25" s="48">
        <f t="shared" si="10"/>
        <v>125</v>
      </c>
      <c r="Q25" s="48">
        <f t="shared" si="10"/>
        <v>125</v>
      </c>
      <c r="R25" s="78"/>
      <c r="S25" s="80"/>
    </row>
    <row r="26" spans="1:19" ht="20.399999999999999" x14ac:dyDescent="0.25">
      <c r="A26" s="91"/>
      <c r="B26" s="26" t="s">
        <v>76</v>
      </c>
      <c r="C26" s="38"/>
      <c r="D26" s="38"/>
      <c r="E26" s="38"/>
      <c r="F26" s="38"/>
      <c r="G26" s="38"/>
      <c r="H26" s="1">
        <v>1300</v>
      </c>
      <c r="I26" s="1"/>
      <c r="J26" s="1"/>
      <c r="K26" s="1"/>
      <c r="L26" s="1">
        <v>1300</v>
      </c>
      <c r="M26" s="1">
        <v>1500</v>
      </c>
      <c r="N26" s="48">
        <v>1500</v>
      </c>
      <c r="O26" s="48">
        <v>1500</v>
      </c>
      <c r="P26" s="48">
        <v>1500</v>
      </c>
      <c r="Q26" s="48">
        <v>1500</v>
      </c>
      <c r="R26" s="78"/>
      <c r="S26" s="80"/>
    </row>
    <row r="27" spans="1:19" ht="24" customHeight="1" x14ac:dyDescent="0.25">
      <c r="A27" s="91"/>
      <c r="B27" s="24" t="s">
        <v>21</v>
      </c>
      <c r="C27" s="2">
        <v>176</v>
      </c>
      <c r="D27" s="2" t="s">
        <v>85</v>
      </c>
      <c r="E27" s="2" t="s">
        <v>84</v>
      </c>
      <c r="F27" s="40" t="s">
        <v>69</v>
      </c>
      <c r="G27" s="2">
        <v>244</v>
      </c>
      <c r="H27" s="1">
        <f>I27+J27+K27+L27</f>
        <v>1300</v>
      </c>
      <c r="I27" s="4"/>
      <c r="J27" s="4"/>
      <c r="K27" s="4"/>
      <c r="L27" s="1">
        <v>1300</v>
      </c>
      <c r="M27" s="1">
        <v>1500</v>
      </c>
      <c r="N27" s="1">
        <v>1500</v>
      </c>
      <c r="O27" s="1">
        <v>1500</v>
      </c>
      <c r="P27" s="1">
        <v>1500</v>
      </c>
      <c r="Q27" s="1">
        <v>1500</v>
      </c>
      <c r="R27" s="78"/>
      <c r="S27" s="80"/>
    </row>
    <row r="28" spans="1:19" x14ac:dyDescent="0.25">
      <c r="A28" s="91"/>
      <c r="B28" s="26" t="s">
        <v>24</v>
      </c>
      <c r="C28" s="2"/>
      <c r="D28" s="2"/>
      <c r="E28" s="2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78"/>
      <c r="S28" s="80"/>
    </row>
    <row r="29" spans="1:19" ht="23.4" customHeight="1" x14ac:dyDescent="0.25">
      <c r="A29" s="91"/>
      <c r="B29" s="26" t="s">
        <v>22</v>
      </c>
      <c r="C29" s="38"/>
      <c r="D29" s="38"/>
      <c r="E29" s="38"/>
      <c r="F29" s="38"/>
      <c r="G29" s="38"/>
      <c r="H29" s="4"/>
      <c r="I29" s="4"/>
      <c r="J29" s="4"/>
      <c r="K29" s="4"/>
      <c r="L29" s="4"/>
      <c r="M29" s="4"/>
      <c r="N29" s="42"/>
      <c r="O29" s="4"/>
      <c r="P29" s="42"/>
      <c r="Q29" s="4"/>
      <c r="R29" s="78"/>
      <c r="S29" s="80"/>
    </row>
    <row r="30" spans="1:19" ht="29.4" customHeight="1" thickBot="1" x14ac:dyDescent="0.3">
      <c r="A30" s="113"/>
      <c r="B30" s="24" t="s">
        <v>23</v>
      </c>
      <c r="C30" s="49"/>
      <c r="D30" s="49"/>
      <c r="E30" s="49"/>
      <c r="F30" s="49"/>
      <c r="G30" s="49"/>
      <c r="H30" s="50"/>
      <c r="I30" s="50"/>
      <c r="J30" s="50"/>
      <c r="K30" s="50"/>
      <c r="L30" s="50"/>
      <c r="M30" s="50"/>
      <c r="N30" s="51"/>
      <c r="O30" s="50"/>
      <c r="P30" s="51"/>
      <c r="Q30" s="50"/>
      <c r="R30" s="79"/>
      <c r="S30" s="81"/>
    </row>
    <row r="31" spans="1:19" ht="30.6" x14ac:dyDescent="0.25">
      <c r="A31" s="82" t="s">
        <v>25</v>
      </c>
      <c r="B31" s="32" t="s">
        <v>26</v>
      </c>
      <c r="C31" s="33"/>
      <c r="D31" s="33"/>
      <c r="E31" s="33"/>
      <c r="F31" s="33"/>
      <c r="G31" s="33"/>
      <c r="H31" s="34"/>
      <c r="I31" s="34"/>
      <c r="J31" s="34"/>
      <c r="K31" s="34"/>
      <c r="L31" s="34"/>
      <c r="M31" s="34"/>
      <c r="N31" s="36"/>
      <c r="O31" s="34"/>
      <c r="P31" s="36"/>
      <c r="Q31" s="34"/>
      <c r="R31" s="84" t="s">
        <v>27</v>
      </c>
      <c r="S31" s="86" t="s">
        <v>143</v>
      </c>
    </row>
    <row r="32" spans="1:19" x14ac:dyDescent="0.25">
      <c r="A32" s="83"/>
      <c r="B32" s="26" t="s">
        <v>18</v>
      </c>
      <c r="C32" s="38"/>
      <c r="D32" s="38"/>
      <c r="E32" s="38"/>
      <c r="F32" s="38"/>
      <c r="G32" s="38"/>
      <c r="H32" s="1"/>
      <c r="I32" s="1" t="s">
        <v>19</v>
      </c>
      <c r="J32" s="1" t="s">
        <v>19</v>
      </c>
      <c r="K32" s="1" t="s">
        <v>19</v>
      </c>
      <c r="L32" s="1" t="s">
        <v>19</v>
      </c>
      <c r="M32" s="1"/>
      <c r="N32" s="48"/>
      <c r="O32" s="1"/>
      <c r="P32" s="48"/>
      <c r="Q32" s="1"/>
      <c r="R32" s="85"/>
      <c r="S32" s="87"/>
    </row>
    <row r="33" spans="1:19" ht="20.399999999999999" x14ac:dyDescent="0.25">
      <c r="A33" s="83"/>
      <c r="B33" s="26" t="s">
        <v>76</v>
      </c>
      <c r="C33" s="38"/>
      <c r="D33" s="38"/>
      <c r="E33" s="38"/>
      <c r="F33" s="38"/>
      <c r="G33" s="38"/>
      <c r="H33" s="4">
        <f>H34+H35+H36+H37</f>
        <v>500</v>
      </c>
      <c r="I33" s="4">
        <f t="shared" ref="I33:N33" si="11">I34+I35+I36+I37</f>
        <v>0</v>
      </c>
      <c r="J33" s="4">
        <f t="shared" si="11"/>
        <v>500</v>
      </c>
      <c r="K33" s="4">
        <f t="shared" si="11"/>
        <v>0</v>
      </c>
      <c r="L33" s="4">
        <f t="shared" si="11"/>
        <v>0</v>
      </c>
      <c r="M33" s="4">
        <f t="shared" si="11"/>
        <v>0</v>
      </c>
      <c r="N33" s="4">
        <f t="shared" si="11"/>
        <v>0</v>
      </c>
      <c r="O33" s="4"/>
      <c r="P33" s="4"/>
      <c r="Q33" s="4"/>
      <c r="R33" s="85"/>
      <c r="S33" s="87"/>
    </row>
    <row r="34" spans="1:19" x14ac:dyDescent="0.25">
      <c r="A34" s="83"/>
      <c r="B34" s="26" t="s">
        <v>21</v>
      </c>
      <c r="C34" s="2">
        <v>176</v>
      </c>
      <c r="D34" s="2" t="s">
        <v>85</v>
      </c>
      <c r="E34" s="2" t="s">
        <v>84</v>
      </c>
      <c r="F34" s="2" t="s">
        <v>71</v>
      </c>
      <c r="G34" s="2">
        <v>244</v>
      </c>
      <c r="H34" s="1">
        <f t="shared" ref="H34:H36" si="12">I34+J34+K34+L34</f>
        <v>500</v>
      </c>
      <c r="I34" s="1">
        <f>I55+I62+I69</f>
        <v>0</v>
      </c>
      <c r="J34" s="1">
        <f t="shared" ref="J34:N34" si="13">J55+J62+J69</f>
        <v>500</v>
      </c>
      <c r="K34" s="1">
        <f t="shared" si="13"/>
        <v>0</v>
      </c>
      <c r="L34" s="1">
        <f t="shared" si="13"/>
        <v>0</v>
      </c>
      <c r="M34" s="1">
        <f t="shared" si="13"/>
        <v>0</v>
      </c>
      <c r="N34" s="1">
        <f t="shared" si="13"/>
        <v>0</v>
      </c>
      <c r="O34" s="1"/>
      <c r="P34" s="1"/>
      <c r="Q34" s="1"/>
      <c r="R34" s="85"/>
      <c r="S34" s="87"/>
    </row>
    <row r="35" spans="1:19" x14ac:dyDescent="0.25">
      <c r="A35" s="83"/>
      <c r="B35" s="26" t="s">
        <v>24</v>
      </c>
      <c r="C35" s="2"/>
      <c r="D35" s="2"/>
      <c r="E35" s="2"/>
      <c r="F35" s="2"/>
      <c r="G35" s="2"/>
      <c r="H35" s="1">
        <f t="shared" si="12"/>
        <v>0</v>
      </c>
      <c r="I35" s="1"/>
      <c r="J35" s="1"/>
      <c r="K35" s="1"/>
      <c r="L35" s="1"/>
      <c r="M35" s="1"/>
      <c r="N35" s="1"/>
      <c r="O35" s="1"/>
      <c r="P35" s="1"/>
      <c r="Q35" s="1"/>
      <c r="R35" s="85"/>
      <c r="S35" s="87"/>
    </row>
    <row r="36" spans="1:19" x14ac:dyDescent="0.25">
      <c r="A36" s="83"/>
      <c r="B36" s="26" t="s">
        <v>22</v>
      </c>
      <c r="C36" s="38"/>
      <c r="D36" s="38"/>
      <c r="E36" s="38"/>
      <c r="F36" s="38"/>
      <c r="G36" s="38"/>
      <c r="H36" s="1">
        <f t="shared" si="12"/>
        <v>0</v>
      </c>
      <c r="I36" s="1"/>
      <c r="J36" s="1"/>
      <c r="K36" s="1"/>
      <c r="L36" s="1"/>
      <c r="M36" s="1"/>
      <c r="N36" s="48"/>
      <c r="O36" s="1"/>
      <c r="P36" s="48"/>
      <c r="Q36" s="1"/>
      <c r="R36" s="85"/>
      <c r="S36" s="87"/>
    </row>
    <row r="37" spans="1:19" ht="20.399999999999999" x14ac:dyDescent="0.25">
      <c r="A37" s="83"/>
      <c r="B37" s="26" t="s">
        <v>23</v>
      </c>
      <c r="C37" s="38"/>
      <c r="D37" s="38"/>
      <c r="E37" s="38"/>
      <c r="F37" s="38"/>
      <c r="G37" s="38"/>
      <c r="H37" s="1">
        <f>I37+J37+K37+L37</f>
        <v>0</v>
      </c>
      <c r="I37" s="1"/>
      <c r="J37" s="1"/>
      <c r="K37" s="1"/>
      <c r="L37" s="4"/>
      <c r="M37" s="1"/>
      <c r="N37" s="48"/>
      <c r="O37" s="1"/>
      <c r="P37" s="48"/>
      <c r="Q37" s="1"/>
      <c r="R37" s="85"/>
      <c r="S37" s="87"/>
    </row>
    <row r="38" spans="1:19" ht="20.399999999999999" x14ac:dyDescent="0.25">
      <c r="A38" s="91" t="s">
        <v>28</v>
      </c>
      <c r="B38" s="26" t="s">
        <v>16</v>
      </c>
      <c r="C38" s="6"/>
      <c r="D38" s="6"/>
      <c r="E38" s="6"/>
      <c r="F38" s="6"/>
      <c r="G38" s="38"/>
      <c r="H38" s="1">
        <f>I38+J38+K38+L38</f>
        <v>28000</v>
      </c>
      <c r="I38" s="1">
        <v>7000</v>
      </c>
      <c r="J38" s="1">
        <v>7000</v>
      </c>
      <c r="K38" s="1">
        <v>7000</v>
      </c>
      <c r="L38" s="1">
        <v>7000</v>
      </c>
      <c r="M38" s="1">
        <v>28000</v>
      </c>
      <c r="N38" s="48">
        <v>28000</v>
      </c>
      <c r="O38" s="1">
        <v>28000</v>
      </c>
      <c r="P38" s="48">
        <v>28000</v>
      </c>
      <c r="Q38" s="1">
        <v>28000</v>
      </c>
      <c r="R38" s="99" t="s">
        <v>29</v>
      </c>
      <c r="S38" s="109" t="s">
        <v>139</v>
      </c>
    </row>
    <row r="39" spans="1:19" x14ac:dyDescent="0.25">
      <c r="A39" s="91"/>
      <c r="B39" s="26" t="s">
        <v>18</v>
      </c>
      <c r="C39" s="6"/>
      <c r="D39" s="6"/>
      <c r="E39" s="6"/>
      <c r="F39" s="6"/>
      <c r="G39" s="38"/>
      <c r="H39" s="52"/>
      <c r="I39" s="53" t="s">
        <v>19</v>
      </c>
      <c r="J39" s="53" t="s">
        <v>19</v>
      </c>
      <c r="K39" s="53" t="s">
        <v>19</v>
      </c>
      <c r="L39" s="53" t="s">
        <v>19</v>
      </c>
      <c r="M39" s="52"/>
      <c r="N39" s="54"/>
      <c r="O39" s="52"/>
      <c r="P39" s="54"/>
      <c r="Q39" s="52"/>
      <c r="R39" s="99"/>
      <c r="S39" s="109"/>
    </row>
    <row r="40" spans="1:19" ht="20.399999999999999" x14ac:dyDescent="0.25">
      <c r="A40" s="91"/>
      <c r="B40" s="26" t="s">
        <v>76</v>
      </c>
      <c r="C40" s="6"/>
      <c r="D40" s="6"/>
      <c r="E40" s="6"/>
      <c r="F40" s="6"/>
      <c r="G40" s="38"/>
      <c r="H40" s="52"/>
      <c r="I40" s="52"/>
      <c r="J40" s="52"/>
      <c r="K40" s="52"/>
      <c r="L40" s="52"/>
      <c r="M40" s="52"/>
      <c r="N40" s="54"/>
      <c r="O40" s="52"/>
      <c r="P40" s="54"/>
      <c r="Q40" s="52"/>
      <c r="R40" s="99"/>
      <c r="S40" s="109"/>
    </row>
    <row r="41" spans="1:19" x14ac:dyDescent="0.25">
      <c r="A41" s="91"/>
      <c r="B41" s="26" t="s">
        <v>21</v>
      </c>
      <c r="C41" s="6"/>
      <c r="D41" s="6"/>
      <c r="E41" s="6"/>
      <c r="F41" s="6"/>
      <c r="G41" s="38"/>
      <c r="H41" s="52"/>
      <c r="I41" s="52"/>
      <c r="J41" s="52"/>
      <c r="K41" s="52"/>
      <c r="L41" s="52"/>
      <c r="M41" s="52"/>
      <c r="N41" s="54"/>
      <c r="O41" s="52"/>
      <c r="P41" s="54"/>
      <c r="Q41" s="52"/>
      <c r="R41" s="99"/>
      <c r="S41" s="109"/>
    </row>
    <row r="42" spans="1:19" x14ac:dyDescent="0.25">
      <c r="A42" s="91"/>
      <c r="B42" s="26" t="s">
        <v>24</v>
      </c>
      <c r="C42" s="6"/>
      <c r="D42" s="6"/>
      <c r="E42" s="6"/>
      <c r="F42" s="6"/>
      <c r="G42" s="38"/>
      <c r="H42" s="52"/>
      <c r="I42" s="52"/>
      <c r="J42" s="52"/>
      <c r="K42" s="52"/>
      <c r="L42" s="52"/>
      <c r="M42" s="52"/>
      <c r="N42" s="54"/>
      <c r="O42" s="52"/>
      <c r="P42" s="54"/>
      <c r="Q42" s="52"/>
      <c r="R42" s="99"/>
      <c r="S42" s="109"/>
    </row>
    <row r="43" spans="1:19" x14ac:dyDescent="0.25">
      <c r="A43" s="91"/>
      <c r="B43" s="26" t="s">
        <v>22</v>
      </c>
      <c r="C43" s="6"/>
      <c r="D43" s="6"/>
      <c r="E43" s="6"/>
      <c r="F43" s="6"/>
      <c r="G43" s="38"/>
      <c r="H43" s="52"/>
      <c r="I43" s="52"/>
      <c r="J43" s="52"/>
      <c r="K43" s="52"/>
      <c r="L43" s="52"/>
      <c r="M43" s="52"/>
      <c r="N43" s="54"/>
      <c r="O43" s="52"/>
      <c r="P43" s="54"/>
      <c r="Q43" s="52"/>
      <c r="R43" s="99"/>
      <c r="S43" s="109"/>
    </row>
    <row r="44" spans="1:19" ht="20.399999999999999" x14ac:dyDescent="0.25">
      <c r="A44" s="91"/>
      <c r="B44" s="26" t="s">
        <v>23</v>
      </c>
      <c r="C44" s="6"/>
      <c r="D44" s="6"/>
      <c r="E44" s="6"/>
      <c r="F44" s="6"/>
      <c r="G44" s="38"/>
      <c r="H44" s="52"/>
      <c r="I44" s="52"/>
      <c r="J44" s="52"/>
      <c r="K44" s="52"/>
      <c r="L44" s="52"/>
      <c r="M44" s="52"/>
      <c r="N44" s="54"/>
      <c r="O44" s="52"/>
      <c r="P44" s="54"/>
      <c r="Q44" s="52"/>
      <c r="R44" s="99"/>
      <c r="S44" s="109"/>
    </row>
    <row r="45" spans="1:19" ht="20.399999999999999" x14ac:dyDescent="0.25">
      <c r="A45" s="91" t="s">
        <v>30</v>
      </c>
      <c r="B45" s="26" t="s">
        <v>16</v>
      </c>
      <c r="C45" s="6"/>
      <c r="D45" s="6"/>
      <c r="E45" s="6"/>
      <c r="F45" s="6"/>
      <c r="G45" s="38"/>
      <c r="H45" s="1">
        <v>400</v>
      </c>
      <c r="I45" s="1">
        <v>100</v>
      </c>
      <c r="J45" s="1">
        <v>100</v>
      </c>
      <c r="K45" s="1">
        <v>100</v>
      </c>
      <c r="L45" s="1">
        <v>100</v>
      </c>
      <c r="M45" s="1">
        <v>400</v>
      </c>
      <c r="N45" s="48">
        <v>400</v>
      </c>
      <c r="O45" s="1">
        <v>400</v>
      </c>
      <c r="P45" s="48">
        <v>400</v>
      </c>
      <c r="Q45" s="1">
        <v>400</v>
      </c>
      <c r="R45" s="99" t="s">
        <v>29</v>
      </c>
      <c r="S45" s="109" t="s">
        <v>140</v>
      </c>
    </row>
    <row r="46" spans="1:19" x14ac:dyDescent="0.25">
      <c r="A46" s="91"/>
      <c r="B46" s="26" t="s">
        <v>18</v>
      </c>
      <c r="C46" s="6"/>
      <c r="D46" s="6"/>
      <c r="E46" s="6"/>
      <c r="F46" s="6"/>
      <c r="G46" s="38"/>
      <c r="H46" s="52"/>
      <c r="I46" s="53" t="s">
        <v>19</v>
      </c>
      <c r="J46" s="53" t="s">
        <v>19</v>
      </c>
      <c r="K46" s="53" t="s">
        <v>19</v>
      </c>
      <c r="L46" s="53" t="s">
        <v>19</v>
      </c>
      <c r="M46" s="52"/>
      <c r="N46" s="54"/>
      <c r="O46" s="52"/>
      <c r="P46" s="54"/>
      <c r="Q46" s="52"/>
      <c r="R46" s="99"/>
      <c r="S46" s="109"/>
    </row>
    <row r="47" spans="1:19" ht="20.399999999999999" x14ac:dyDescent="0.25">
      <c r="A47" s="91"/>
      <c r="B47" s="26" t="s">
        <v>76</v>
      </c>
      <c r="C47" s="6"/>
      <c r="D47" s="6"/>
      <c r="E47" s="6"/>
      <c r="F47" s="6"/>
      <c r="G47" s="38"/>
      <c r="H47" s="52"/>
      <c r="I47" s="52"/>
      <c r="J47" s="52"/>
      <c r="K47" s="52"/>
      <c r="L47" s="52"/>
      <c r="M47" s="52"/>
      <c r="N47" s="54"/>
      <c r="O47" s="52"/>
      <c r="P47" s="54"/>
      <c r="Q47" s="52"/>
      <c r="R47" s="99"/>
      <c r="S47" s="109"/>
    </row>
    <row r="48" spans="1:19" x14ac:dyDescent="0.25">
      <c r="A48" s="91"/>
      <c r="B48" s="26" t="s">
        <v>21</v>
      </c>
      <c r="C48" s="6"/>
      <c r="D48" s="6"/>
      <c r="E48" s="6"/>
      <c r="F48" s="6"/>
      <c r="G48" s="38"/>
      <c r="H48" s="52"/>
      <c r="I48" s="52"/>
      <c r="J48" s="52"/>
      <c r="K48" s="52"/>
      <c r="L48" s="52"/>
      <c r="M48" s="52"/>
      <c r="N48" s="54"/>
      <c r="O48" s="52"/>
      <c r="P48" s="54"/>
      <c r="Q48" s="52"/>
      <c r="R48" s="99"/>
      <c r="S48" s="109"/>
    </row>
    <row r="49" spans="1:19" x14ac:dyDescent="0.25">
      <c r="A49" s="91"/>
      <c r="B49" s="26" t="s">
        <v>24</v>
      </c>
      <c r="C49" s="6"/>
      <c r="D49" s="6"/>
      <c r="E49" s="6"/>
      <c r="F49" s="6"/>
      <c r="G49" s="38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99"/>
      <c r="S49" s="109"/>
    </row>
    <row r="50" spans="1:19" x14ac:dyDescent="0.25">
      <c r="A50" s="91"/>
      <c r="B50" s="26" t="s">
        <v>22</v>
      </c>
      <c r="C50" s="6"/>
      <c r="D50" s="6"/>
      <c r="E50" s="6"/>
      <c r="F50" s="6"/>
      <c r="G50" s="38"/>
      <c r="H50" s="52"/>
      <c r="I50" s="52"/>
      <c r="J50" s="52"/>
      <c r="K50" s="52"/>
      <c r="L50" s="52"/>
      <c r="M50" s="52"/>
      <c r="N50" s="54"/>
      <c r="O50" s="52"/>
      <c r="P50" s="54"/>
      <c r="Q50" s="52"/>
      <c r="R50" s="99"/>
      <c r="S50" s="109"/>
    </row>
    <row r="51" spans="1:19" ht="20.399999999999999" x14ac:dyDescent="0.25">
      <c r="A51" s="91"/>
      <c r="B51" s="26" t="s">
        <v>23</v>
      </c>
      <c r="C51" s="6"/>
      <c r="D51" s="6"/>
      <c r="E51" s="6"/>
      <c r="F51" s="6"/>
      <c r="G51" s="38"/>
      <c r="H51" s="52"/>
      <c r="I51" s="52"/>
      <c r="J51" s="52"/>
      <c r="K51" s="52"/>
      <c r="L51" s="52"/>
      <c r="M51" s="52"/>
      <c r="N51" s="54"/>
      <c r="O51" s="52"/>
      <c r="P51" s="54"/>
      <c r="Q51" s="52"/>
      <c r="R51" s="99"/>
      <c r="S51" s="109"/>
    </row>
    <row r="52" spans="1:19" ht="20.399999999999999" x14ac:dyDescent="0.25">
      <c r="A52" s="91" t="s">
        <v>31</v>
      </c>
      <c r="B52" s="26" t="s">
        <v>32</v>
      </c>
      <c r="C52" s="38"/>
      <c r="D52" s="38"/>
      <c r="E52" s="38"/>
      <c r="F52" s="38"/>
      <c r="G52" s="38"/>
      <c r="H52" s="1">
        <v>10500</v>
      </c>
      <c r="I52" s="1">
        <v>2000</v>
      </c>
      <c r="J52" s="1">
        <v>4500</v>
      </c>
      <c r="K52" s="1">
        <v>2000</v>
      </c>
      <c r="L52" s="1">
        <v>2000</v>
      </c>
      <c r="M52" s="1">
        <v>8000</v>
      </c>
      <c r="N52" s="48">
        <v>8000</v>
      </c>
      <c r="O52" s="1">
        <v>8000</v>
      </c>
      <c r="P52" s="48">
        <v>8000</v>
      </c>
      <c r="Q52" s="1">
        <v>8000</v>
      </c>
      <c r="R52" s="78" t="s">
        <v>33</v>
      </c>
      <c r="S52" s="80" t="s">
        <v>142</v>
      </c>
    </row>
    <row r="53" spans="1:19" x14ac:dyDescent="0.25">
      <c r="A53" s="91"/>
      <c r="B53" s="26" t="s">
        <v>18</v>
      </c>
      <c r="C53" s="38"/>
      <c r="D53" s="38"/>
      <c r="E53" s="38"/>
      <c r="F53" s="38"/>
      <c r="G53" s="38"/>
      <c r="H53" s="55">
        <f>H54/H52</f>
        <v>9.5238095238095247E-3</v>
      </c>
      <c r="I53" s="53" t="s">
        <v>19</v>
      </c>
      <c r="J53" s="53" t="s">
        <v>19</v>
      </c>
      <c r="K53" s="53" t="s">
        <v>19</v>
      </c>
      <c r="L53" s="53" t="s">
        <v>19</v>
      </c>
      <c r="M53" s="52"/>
      <c r="N53" s="54"/>
      <c r="O53" s="52"/>
      <c r="P53" s="54"/>
      <c r="Q53" s="52"/>
      <c r="R53" s="78"/>
      <c r="S53" s="80"/>
    </row>
    <row r="54" spans="1:19" ht="20.399999999999999" x14ac:dyDescent="0.25">
      <c r="A54" s="91"/>
      <c r="B54" s="26" t="s">
        <v>76</v>
      </c>
      <c r="C54" s="38"/>
      <c r="D54" s="38"/>
      <c r="E54" s="38"/>
      <c r="F54" s="38"/>
      <c r="G54" s="38"/>
      <c r="H54" s="53">
        <v>100</v>
      </c>
      <c r="I54" s="52"/>
      <c r="J54" s="53">
        <v>100</v>
      </c>
      <c r="K54" s="52"/>
      <c r="L54" s="52"/>
      <c r="M54" s="52"/>
      <c r="N54" s="54"/>
      <c r="O54" s="52"/>
      <c r="P54" s="54"/>
      <c r="Q54" s="52"/>
      <c r="R54" s="78"/>
      <c r="S54" s="80"/>
    </row>
    <row r="55" spans="1:19" x14ac:dyDescent="0.25">
      <c r="A55" s="91"/>
      <c r="B55" s="26" t="s">
        <v>21</v>
      </c>
      <c r="C55" s="2">
        <v>176</v>
      </c>
      <c r="D55" s="2" t="s">
        <v>85</v>
      </c>
      <c r="E55" s="2" t="s">
        <v>84</v>
      </c>
      <c r="F55" s="2" t="s">
        <v>71</v>
      </c>
      <c r="G55" s="2">
        <v>244</v>
      </c>
      <c r="H55" s="53">
        <v>100</v>
      </c>
      <c r="I55" s="52"/>
      <c r="J55" s="53">
        <v>100</v>
      </c>
      <c r="K55" s="52"/>
      <c r="L55" s="52"/>
      <c r="M55" s="52"/>
      <c r="N55" s="52"/>
      <c r="O55" s="52"/>
      <c r="P55" s="52"/>
      <c r="Q55" s="52"/>
      <c r="R55" s="78"/>
      <c r="S55" s="80"/>
    </row>
    <row r="56" spans="1:19" x14ac:dyDescent="0.25">
      <c r="A56" s="91"/>
      <c r="B56" s="26" t="s">
        <v>24</v>
      </c>
      <c r="C56" s="38"/>
      <c r="D56" s="38"/>
      <c r="E56" s="38"/>
      <c r="F56" s="38"/>
      <c r="G56" s="38"/>
      <c r="H56" s="52"/>
      <c r="I56" s="52"/>
      <c r="J56" s="52"/>
      <c r="K56" s="52"/>
      <c r="L56" s="52"/>
      <c r="M56" s="52"/>
      <c r="N56" s="54"/>
      <c r="O56" s="52"/>
      <c r="P56" s="54"/>
      <c r="Q56" s="52"/>
      <c r="R56" s="78"/>
      <c r="S56" s="80"/>
    </row>
    <row r="57" spans="1:19" x14ac:dyDescent="0.25">
      <c r="A57" s="91"/>
      <c r="B57" s="26" t="s">
        <v>22</v>
      </c>
      <c r="C57" s="38"/>
      <c r="D57" s="38"/>
      <c r="E57" s="38"/>
      <c r="F57" s="38"/>
      <c r="G57" s="38"/>
      <c r="H57" s="52"/>
      <c r="I57" s="52"/>
      <c r="J57" s="52"/>
      <c r="K57" s="52"/>
      <c r="L57" s="52"/>
      <c r="M57" s="52"/>
      <c r="N57" s="54"/>
      <c r="O57" s="52"/>
      <c r="P57" s="54"/>
      <c r="Q57" s="52"/>
      <c r="R57" s="78"/>
      <c r="S57" s="80"/>
    </row>
    <row r="58" spans="1:19" ht="20.399999999999999" x14ac:dyDescent="0.25">
      <c r="A58" s="91"/>
      <c r="B58" s="26" t="s">
        <v>23</v>
      </c>
      <c r="C58" s="38"/>
      <c r="D58" s="38"/>
      <c r="E58" s="38"/>
      <c r="F58" s="38"/>
      <c r="G58" s="38"/>
      <c r="H58" s="52"/>
      <c r="I58" s="52"/>
      <c r="J58" s="52"/>
      <c r="K58" s="52"/>
      <c r="L58" s="52"/>
      <c r="M58" s="52"/>
      <c r="N58" s="54"/>
      <c r="O58" s="52"/>
      <c r="P58" s="54"/>
      <c r="Q58" s="52"/>
      <c r="R58" s="78"/>
      <c r="S58" s="80"/>
    </row>
    <row r="59" spans="1:19" ht="30.6" customHeight="1" x14ac:dyDescent="0.25">
      <c r="A59" s="91" t="s">
        <v>34</v>
      </c>
      <c r="B59" s="26" t="s">
        <v>16</v>
      </c>
      <c r="C59" s="38"/>
      <c r="D59" s="38"/>
      <c r="E59" s="38"/>
      <c r="F59" s="38"/>
      <c r="G59" s="38"/>
      <c r="H59" s="1">
        <f>I59+J59+K59+L59</f>
        <v>70</v>
      </c>
      <c r="I59" s="1">
        <v>15</v>
      </c>
      <c r="J59" s="1">
        <v>25</v>
      </c>
      <c r="K59" s="1">
        <v>15</v>
      </c>
      <c r="L59" s="1">
        <v>15</v>
      </c>
      <c r="M59" s="1">
        <v>65</v>
      </c>
      <c r="N59" s="48">
        <v>65</v>
      </c>
      <c r="O59" s="1">
        <v>65</v>
      </c>
      <c r="P59" s="48">
        <v>65</v>
      </c>
      <c r="Q59" s="1">
        <v>65</v>
      </c>
      <c r="R59" s="78" t="s">
        <v>33</v>
      </c>
      <c r="S59" s="80" t="s">
        <v>141</v>
      </c>
    </row>
    <row r="60" spans="1:19" ht="22.2" customHeight="1" x14ac:dyDescent="0.25">
      <c r="A60" s="91"/>
      <c r="B60" s="26" t="s">
        <v>18</v>
      </c>
      <c r="C60" s="38"/>
      <c r="D60" s="38"/>
      <c r="E60" s="38"/>
      <c r="F60" s="38"/>
      <c r="G60" s="38"/>
      <c r="H60" s="52">
        <f>H61/H59</f>
        <v>4.2857142857142856</v>
      </c>
      <c r="I60" s="53" t="s">
        <v>19</v>
      </c>
      <c r="J60" s="53" t="s">
        <v>19</v>
      </c>
      <c r="K60" s="53" t="s">
        <v>19</v>
      </c>
      <c r="L60" s="53" t="s">
        <v>19</v>
      </c>
      <c r="M60" s="52"/>
      <c r="N60" s="54"/>
      <c r="O60" s="52"/>
      <c r="P60" s="54"/>
      <c r="Q60" s="52"/>
      <c r="R60" s="78"/>
      <c r="S60" s="80"/>
    </row>
    <row r="61" spans="1:19" ht="22.2" customHeight="1" x14ac:dyDescent="0.25">
      <c r="A61" s="91"/>
      <c r="B61" s="26" t="s">
        <v>76</v>
      </c>
      <c r="C61" s="38"/>
      <c r="D61" s="38"/>
      <c r="E61" s="38"/>
      <c r="F61" s="38"/>
      <c r="G61" s="38"/>
      <c r="H61" s="53">
        <v>300</v>
      </c>
      <c r="I61" s="52"/>
      <c r="J61" s="53">
        <v>300</v>
      </c>
      <c r="K61" s="52"/>
      <c r="L61" s="52"/>
      <c r="M61" s="52"/>
      <c r="N61" s="54"/>
      <c r="O61" s="52"/>
      <c r="P61" s="54"/>
      <c r="Q61" s="52"/>
      <c r="R61" s="78"/>
      <c r="S61" s="80"/>
    </row>
    <row r="62" spans="1:19" ht="22.2" customHeight="1" x14ac:dyDescent="0.25">
      <c r="A62" s="91"/>
      <c r="B62" s="26" t="s">
        <v>21</v>
      </c>
      <c r="C62" s="2">
        <v>176</v>
      </c>
      <c r="D62" s="2" t="s">
        <v>85</v>
      </c>
      <c r="E62" s="2" t="s">
        <v>84</v>
      </c>
      <c r="F62" s="2" t="s">
        <v>71</v>
      </c>
      <c r="G62" s="2">
        <v>244</v>
      </c>
      <c r="H62" s="53">
        <v>300</v>
      </c>
      <c r="I62" s="53"/>
      <c r="J62" s="53">
        <v>300</v>
      </c>
      <c r="K62" s="52"/>
      <c r="L62" s="52"/>
      <c r="M62" s="52"/>
      <c r="N62" s="52"/>
      <c r="O62" s="52"/>
      <c r="P62" s="52"/>
      <c r="Q62" s="52"/>
      <c r="R62" s="78"/>
      <c r="S62" s="80"/>
    </row>
    <row r="63" spans="1:19" ht="22.2" customHeight="1" x14ac:dyDescent="0.25">
      <c r="A63" s="91"/>
      <c r="B63" s="26" t="s">
        <v>24</v>
      </c>
      <c r="C63" s="38"/>
      <c r="D63" s="38"/>
      <c r="E63" s="38"/>
      <c r="F63" s="38"/>
      <c r="G63" s="38"/>
      <c r="H63" s="52"/>
      <c r="I63" s="52"/>
      <c r="J63" s="52"/>
      <c r="K63" s="52"/>
      <c r="L63" s="52"/>
      <c r="M63" s="52"/>
      <c r="N63" s="54"/>
      <c r="O63" s="52"/>
      <c r="P63" s="54"/>
      <c r="Q63" s="52"/>
      <c r="R63" s="78"/>
      <c r="S63" s="80"/>
    </row>
    <row r="64" spans="1:19" ht="22.2" customHeight="1" x14ac:dyDescent="0.25">
      <c r="A64" s="91"/>
      <c r="B64" s="26" t="s">
        <v>22</v>
      </c>
      <c r="C64" s="38"/>
      <c r="D64" s="38"/>
      <c r="E64" s="38"/>
      <c r="F64" s="38"/>
      <c r="G64" s="38"/>
      <c r="H64" s="52"/>
      <c r="I64" s="52"/>
      <c r="J64" s="52"/>
      <c r="K64" s="52"/>
      <c r="L64" s="52"/>
      <c r="M64" s="52"/>
      <c r="N64" s="54"/>
      <c r="O64" s="52"/>
      <c r="P64" s="54"/>
      <c r="Q64" s="52"/>
      <c r="R64" s="78"/>
      <c r="S64" s="80"/>
    </row>
    <row r="65" spans="1:19" ht="22.2" customHeight="1" x14ac:dyDescent="0.25">
      <c r="A65" s="91"/>
      <c r="B65" s="26" t="s">
        <v>23</v>
      </c>
      <c r="C65" s="38"/>
      <c r="D65" s="38"/>
      <c r="E65" s="38"/>
      <c r="F65" s="38"/>
      <c r="G65" s="38"/>
      <c r="H65" s="52"/>
      <c r="I65" s="52"/>
      <c r="J65" s="52"/>
      <c r="K65" s="52"/>
      <c r="L65" s="52"/>
      <c r="M65" s="52"/>
      <c r="N65" s="54"/>
      <c r="O65" s="52"/>
      <c r="P65" s="54"/>
      <c r="Q65" s="52"/>
      <c r="R65" s="78"/>
      <c r="S65" s="80"/>
    </row>
    <row r="66" spans="1:19" ht="22.2" customHeight="1" x14ac:dyDescent="0.25">
      <c r="A66" s="91" t="s">
        <v>125</v>
      </c>
      <c r="B66" s="26" t="s">
        <v>124</v>
      </c>
      <c r="C66" s="38"/>
      <c r="D66" s="38"/>
      <c r="E66" s="38"/>
      <c r="F66" s="38"/>
      <c r="G66" s="38"/>
      <c r="H66" s="1">
        <v>1</v>
      </c>
      <c r="I66" s="1">
        <v>0</v>
      </c>
      <c r="J66" s="1">
        <v>1</v>
      </c>
      <c r="K66" s="1">
        <v>0</v>
      </c>
      <c r="L66" s="1">
        <v>0</v>
      </c>
      <c r="M66" s="1">
        <v>0</v>
      </c>
      <c r="N66" s="48">
        <v>0</v>
      </c>
      <c r="O66" s="1">
        <v>0</v>
      </c>
      <c r="P66" s="48">
        <v>0</v>
      </c>
      <c r="Q66" s="1">
        <v>0</v>
      </c>
      <c r="R66" s="78" t="s">
        <v>92</v>
      </c>
      <c r="S66" s="80" t="s">
        <v>108</v>
      </c>
    </row>
    <row r="67" spans="1:19" ht="22.2" customHeight="1" x14ac:dyDescent="0.25">
      <c r="A67" s="91"/>
      <c r="B67" s="26" t="s">
        <v>18</v>
      </c>
      <c r="C67" s="38"/>
      <c r="D67" s="38"/>
      <c r="E67" s="38"/>
      <c r="F67" s="38"/>
      <c r="G67" s="38"/>
      <c r="H67" s="1">
        <v>100</v>
      </c>
      <c r="I67" s="1" t="s">
        <v>19</v>
      </c>
      <c r="J67" s="1" t="s">
        <v>19</v>
      </c>
      <c r="K67" s="1" t="s">
        <v>19</v>
      </c>
      <c r="L67" s="1" t="s">
        <v>19</v>
      </c>
      <c r="M67" s="1"/>
      <c r="N67" s="48"/>
      <c r="O67" s="1"/>
      <c r="P67" s="48"/>
      <c r="Q67" s="1"/>
      <c r="R67" s="78"/>
      <c r="S67" s="80"/>
    </row>
    <row r="68" spans="1:19" ht="22.2" customHeight="1" x14ac:dyDescent="0.25">
      <c r="A68" s="91"/>
      <c r="B68" s="26" t="s">
        <v>76</v>
      </c>
      <c r="C68" s="38"/>
      <c r="D68" s="38"/>
      <c r="E68" s="38"/>
      <c r="F68" s="38"/>
      <c r="G68" s="38"/>
      <c r="H68" s="1">
        <v>100</v>
      </c>
      <c r="I68" s="1"/>
      <c r="J68" s="1">
        <v>100</v>
      </c>
      <c r="K68" s="1"/>
      <c r="L68" s="1"/>
      <c r="M68" s="1"/>
      <c r="N68" s="48"/>
      <c r="O68" s="1"/>
      <c r="P68" s="48"/>
      <c r="Q68" s="1"/>
      <c r="R68" s="78"/>
      <c r="S68" s="80"/>
    </row>
    <row r="69" spans="1:19" ht="22.2" customHeight="1" x14ac:dyDescent="0.25">
      <c r="A69" s="91"/>
      <c r="B69" s="25" t="s">
        <v>21</v>
      </c>
      <c r="C69" s="2">
        <v>176</v>
      </c>
      <c r="D69" s="2" t="s">
        <v>85</v>
      </c>
      <c r="E69" s="2" t="s">
        <v>84</v>
      </c>
      <c r="F69" s="2" t="s">
        <v>71</v>
      </c>
      <c r="G69" s="2">
        <v>244</v>
      </c>
      <c r="H69" s="1">
        <v>100</v>
      </c>
      <c r="I69" s="1"/>
      <c r="J69" s="1">
        <v>100</v>
      </c>
      <c r="K69" s="1"/>
      <c r="L69" s="1"/>
      <c r="M69" s="1"/>
      <c r="N69" s="1"/>
      <c r="O69" s="1"/>
      <c r="P69" s="1"/>
      <c r="Q69" s="1"/>
      <c r="R69" s="78"/>
      <c r="S69" s="80"/>
    </row>
    <row r="70" spans="1:19" ht="22.2" customHeight="1" x14ac:dyDescent="0.25">
      <c r="A70" s="91"/>
      <c r="B70" s="26" t="s">
        <v>24</v>
      </c>
      <c r="C70" s="2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78"/>
      <c r="S70" s="80"/>
    </row>
    <row r="71" spans="1:19" ht="22.2" customHeight="1" x14ac:dyDescent="0.25">
      <c r="A71" s="91"/>
      <c r="B71" s="26" t="s">
        <v>22</v>
      </c>
      <c r="C71" s="38"/>
      <c r="D71" s="38"/>
      <c r="E71" s="38"/>
      <c r="F71" s="38"/>
      <c r="G71" s="38"/>
      <c r="H71" s="4"/>
      <c r="I71" s="4"/>
      <c r="J71" s="4"/>
      <c r="K71" s="4"/>
      <c r="L71" s="4"/>
      <c r="M71" s="4"/>
      <c r="N71" s="42"/>
      <c r="O71" s="4"/>
      <c r="P71" s="42"/>
      <c r="Q71" s="4"/>
      <c r="R71" s="78"/>
      <c r="S71" s="80"/>
    </row>
    <row r="72" spans="1:19" ht="22.2" customHeight="1" thickBot="1" x14ac:dyDescent="0.3">
      <c r="A72" s="113"/>
      <c r="B72" s="24" t="s">
        <v>23</v>
      </c>
      <c r="C72" s="49"/>
      <c r="D72" s="49"/>
      <c r="E72" s="49"/>
      <c r="F72" s="49"/>
      <c r="G72" s="49"/>
      <c r="H72" s="50"/>
      <c r="I72" s="50"/>
      <c r="J72" s="50"/>
      <c r="K72" s="50"/>
      <c r="L72" s="50"/>
      <c r="M72" s="50"/>
      <c r="N72" s="47"/>
      <c r="O72" s="50"/>
      <c r="P72" s="47"/>
      <c r="Q72" s="50"/>
      <c r="R72" s="79"/>
      <c r="S72" s="81"/>
    </row>
    <row r="73" spans="1:19" x14ac:dyDescent="0.25">
      <c r="A73" s="129" t="s">
        <v>103</v>
      </c>
      <c r="B73" s="56" t="s">
        <v>37</v>
      </c>
      <c r="C73" s="57"/>
      <c r="D73" s="57"/>
      <c r="E73" s="57"/>
      <c r="F73" s="57"/>
      <c r="G73" s="57"/>
      <c r="H73" s="58">
        <f>H74+H75+H76+H77</f>
        <v>3855.25</v>
      </c>
      <c r="I73" s="58">
        <f t="shared" ref="I73:P73" si="14">I74+I75+I76+I77</f>
        <v>0</v>
      </c>
      <c r="J73" s="58">
        <f t="shared" si="14"/>
        <v>1200</v>
      </c>
      <c r="K73" s="58">
        <f t="shared" si="14"/>
        <v>1355.25</v>
      </c>
      <c r="L73" s="58">
        <f t="shared" si="14"/>
        <v>1300</v>
      </c>
      <c r="M73" s="58">
        <f t="shared" si="14"/>
        <v>4000</v>
      </c>
      <c r="N73" s="58">
        <f t="shared" si="14"/>
        <v>4000</v>
      </c>
      <c r="O73" s="58">
        <f>O74+O75+O76+O77</f>
        <v>4000</v>
      </c>
      <c r="P73" s="58">
        <f t="shared" si="14"/>
        <v>4000</v>
      </c>
      <c r="Q73" s="58">
        <f t="shared" ref="Q73" si="15">Q74+Q75+Q76+Q77</f>
        <v>4000</v>
      </c>
      <c r="R73" s="132"/>
      <c r="S73" s="126"/>
    </row>
    <row r="74" spans="1:19" x14ac:dyDescent="0.25">
      <c r="A74" s="130"/>
      <c r="B74" s="27" t="s">
        <v>21</v>
      </c>
      <c r="C74" s="59"/>
      <c r="D74" s="59"/>
      <c r="E74" s="59"/>
      <c r="F74" s="59"/>
      <c r="G74" s="59"/>
      <c r="H74" s="12">
        <f>I74+J74+K74+L74</f>
        <v>3855.25</v>
      </c>
      <c r="I74" s="12">
        <f t="shared" ref="I74:P74" si="16">I33+I12</f>
        <v>0</v>
      </c>
      <c r="J74" s="12">
        <f>J33+J12</f>
        <v>1200</v>
      </c>
      <c r="K74" s="12">
        <f t="shared" si="16"/>
        <v>1355.25</v>
      </c>
      <c r="L74" s="12">
        <f t="shared" si="16"/>
        <v>1300</v>
      </c>
      <c r="M74" s="12">
        <f t="shared" si="16"/>
        <v>4000</v>
      </c>
      <c r="N74" s="12">
        <f t="shared" si="16"/>
        <v>4000</v>
      </c>
      <c r="O74" s="12">
        <f>O33+O12</f>
        <v>4000</v>
      </c>
      <c r="P74" s="12">
        <f t="shared" si="16"/>
        <v>4000</v>
      </c>
      <c r="Q74" s="12">
        <f t="shared" ref="Q74" si="17">Q33+Q12</f>
        <v>4000</v>
      </c>
      <c r="R74" s="93"/>
      <c r="S74" s="127"/>
    </row>
    <row r="75" spans="1:19" ht="20.399999999999999" x14ac:dyDescent="0.25">
      <c r="A75" s="130"/>
      <c r="B75" s="27" t="s">
        <v>24</v>
      </c>
      <c r="C75" s="59"/>
      <c r="D75" s="59"/>
      <c r="E75" s="59"/>
      <c r="F75" s="59"/>
      <c r="G75" s="60"/>
      <c r="H75" s="12">
        <f t="shared" ref="H75:H77" si="18">I75+J75+K75+L75</f>
        <v>0</v>
      </c>
      <c r="I75" s="12"/>
      <c r="J75" s="12"/>
      <c r="K75" s="12"/>
      <c r="L75" s="12"/>
      <c r="M75" s="12"/>
      <c r="N75" s="61"/>
      <c r="O75" s="12"/>
      <c r="P75" s="61"/>
      <c r="Q75" s="12"/>
      <c r="R75" s="93"/>
      <c r="S75" s="127"/>
    </row>
    <row r="76" spans="1:19" x14ac:dyDescent="0.25">
      <c r="A76" s="130"/>
      <c r="B76" s="27" t="s">
        <v>22</v>
      </c>
      <c r="C76" s="59"/>
      <c r="D76" s="59"/>
      <c r="E76" s="59"/>
      <c r="F76" s="59"/>
      <c r="G76" s="59"/>
      <c r="H76" s="12">
        <f t="shared" si="18"/>
        <v>0</v>
      </c>
      <c r="I76" s="62"/>
      <c r="J76" s="62"/>
      <c r="K76" s="12"/>
      <c r="L76" s="12"/>
      <c r="M76" s="12"/>
      <c r="N76" s="61"/>
      <c r="O76" s="12"/>
      <c r="P76" s="61"/>
      <c r="Q76" s="12"/>
      <c r="R76" s="93"/>
      <c r="S76" s="127"/>
    </row>
    <row r="77" spans="1:19" ht="21" thickBot="1" x14ac:dyDescent="0.3">
      <c r="A77" s="131"/>
      <c r="B77" s="63" t="s">
        <v>23</v>
      </c>
      <c r="C77" s="64"/>
      <c r="D77" s="64"/>
      <c r="E77" s="64"/>
      <c r="F77" s="64"/>
      <c r="G77" s="64"/>
      <c r="H77" s="65">
        <f t="shared" si="18"/>
        <v>0</v>
      </c>
      <c r="I77" s="65"/>
      <c r="J77" s="65"/>
      <c r="K77" s="65"/>
      <c r="L77" s="65"/>
      <c r="M77" s="65"/>
      <c r="N77" s="66"/>
      <c r="O77" s="65"/>
      <c r="P77" s="66"/>
      <c r="Q77" s="65"/>
      <c r="R77" s="133"/>
      <c r="S77" s="128"/>
    </row>
    <row r="78" spans="1:19" ht="13.95" customHeight="1" x14ac:dyDescent="0.25">
      <c r="A78" s="88" t="s">
        <v>97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90"/>
    </row>
    <row r="79" spans="1:19" x14ac:dyDescent="0.25">
      <c r="A79" s="73" t="s">
        <v>110</v>
      </c>
      <c r="B79" s="26" t="s">
        <v>38</v>
      </c>
      <c r="C79" s="6"/>
      <c r="D79" s="6"/>
      <c r="E79" s="6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73" t="s">
        <v>39</v>
      </c>
      <c r="S79" s="74" t="s">
        <v>74</v>
      </c>
    </row>
    <row r="80" spans="1:19" x14ac:dyDescent="0.25">
      <c r="A80" s="73"/>
      <c r="B80" s="26" t="s">
        <v>18</v>
      </c>
      <c r="C80" s="6"/>
      <c r="D80" s="6"/>
      <c r="E80" s="6"/>
      <c r="F80" s="29"/>
      <c r="G80" s="29"/>
      <c r="H80" s="29"/>
      <c r="I80" s="2" t="s">
        <v>19</v>
      </c>
      <c r="J80" s="2" t="s">
        <v>19</v>
      </c>
      <c r="K80" s="2" t="s">
        <v>19</v>
      </c>
      <c r="L80" s="2" t="s">
        <v>19</v>
      </c>
      <c r="M80" s="29"/>
      <c r="N80" s="29"/>
      <c r="O80" s="29"/>
      <c r="P80" s="29"/>
      <c r="Q80" s="29"/>
      <c r="R80" s="73"/>
      <c r="S80" s="75"/>
    </row>
    <row r="81" spans="1:19" ht="20.399999999999999" x14ac:dyDescent="0.25">
      <c r="A81" s="73"/>
      <c r="B81" s="26" t="s">
        <v>76</v>
      </c>
      <c r="C81" s="6"/>
      <c r="D81" s="6"/>
      <c r="E81" s="6"/>
      <c r="F81" s="29"/>
      <c r="G81" s="29"/>
      <c r="H81" s="1">
        <f>H82+H83+H84+H85</f>
        <v>971446.27000000014</v>
      </c>
      <c r="I81" s="1">
        <f t="shared" ref="I81:P81" si="19">I82+I83+I84+I85</f>
        <v>2000</v>
      </c>
      <c r="J81" s="1">
        <f t="shared" si="19"/>
        <v>177997.7</v>
      </c>
      <c r="K81" s="1">
        <f t="shared" si="19"/>
        <v>559213.67000000004</v>
      </c>
      <c r="L81" s="1">
        <f t="shared" si="19"/>
        <v>232234.90000000002</v>
      </c>
      <c r="M81" s="1">
        <f t="shared" si="19"/>
        <v>786482.6</v>
      </c>
      <c r="N81" s="1">
        <f t="shared" si="19"/>
        <v>767619.4</v>
      </c>
      <c r="O81" s="1">
        <f t="shared" si="19"/>
        <v>1076013.7999999998</v>
      </c>
      <c r="P81" s="1">
        <f t="shared" si="19"/>
        <v>1051323.5</v>
      </c>
      <c r="Q81" s="1">
        <f t="shared" ref="Q81" si="20">Q82+Q83+Q84+Q85</f>
        <v>1051893.1000000001</v>
      </c>
      <c r="R81" s="73"/>
      <c r="S81" s="75"/>
    </row>
    <row r="82" spans="1:19" x14ac:dyDescent="0.25">
      <c r="A82" s="73"/>
      <c r="B82" s="26" t="s">
        <v>21</v>
      </c>
      <c r="C82" s="6"/>
      <c r="D82" s="6"/>
      <c r="E82" s="6"/>
      <c r="F82" s="29"/>
      <c r="G82" s="29"/>
      <c r="H82" s="1">
        <f>I82+J82+K82+L82</f>
        <v>779570.97000000009</v>
      </c>
      <c r="I82" s="1">
        <f>I89+I90+I98+I99+I100+I125+I126+I127+I134+I135+I136+I143+I144+I151+I157+I164+I171+I172+I173+I180+I190+I197+I198</f>
        <v>0</v>
      </c>
      <c r="J82" s="1">
        <f t="shared" ref="J82:Q82" si="21">J89+J90+J98+J99+J100+J125+J126+J127+J134+J135+J136+J143+J144+J151+J157+J164+J171+J172+J173+J180+J190+J197+J198</f>
        <v>130000</v>
      </c>
      <c r="K82" s="1">
        <f t="shared" si="21"/>
        <v>424336.07</v>
      </c>
      <c r="L82" s="1">
        <f t="shared" si="21"/>
        <v>225234.90000000002</v>
      </c>
      <c r="M82" s="1">
        <f t="shared" si="21"/>
        <v>631809.79999999993</v>
      </c>
      <c r="N82" s="1">
        <f t="shared" si="21"/>
        <v>612863.6</v>
      </c>
      <c r="O82" s="1">
        <f t="shared" si="21"/>
        <v>921173.4</v>
      </c>
      <c r="P82" s="1">
        <f t="shared" si="21"/>
        <v>896396.80000000005</v>
      </c>
      <c r="Q82" s="1">
        <f t="shared" si="21"/>
        <v>896878.3</v>
      </c>
      <c r="R82" s="73"/>
      <c r="S82" s="75"/>
    </row>
    <row r="83" spans="1:19" x14ac:dyDescent="0.25">
      <c r="A83" s="73"/>
      <c r="B83" s="26" t="s">
        <v>24</v>
      </c>
      <c r="C83" s="6"/>
      <c r="D83" s="6"/>
      <c r="E83" s="6"/>
      <c r="F83" s="2"/>
      <c r="G83" s="2"/>
      <c r="H83" s="1">
        <f t="shared" ref="H83:H86" si="22">I83+J83+K83+L83</f>
        <v>0</v>
      </c>
      <c r="I83" s="1"/>
      <c r="J83" s="1"/>
      <c r="K83" s="1"/>
      <c r="L83" s="1"/>
      <c r="M83" s="1"/>
      <c r="N83" s="1"/>
      <c r="O83" s="1"/>
      <c r="P83" s="1"/>
      <c r="Q83" s="1"/>
      <c r="R83" s="73"/>
      <c r="S83" s="75"/>
    </row>
    <row r="84" spans="1:19" x14ac:dyDescent="0.25">
      <c r="A84" s="73"/>
      <c r="B84" s="26" t="s">
        <v>22</v>
      </c>
      <c r="C84" s="6"/>
      <c r="D84" s="6"/>
      <c r="E84" s="6"/>
      <c r="F84" s="29"/>
      <c r="G84" s="29"/>
      <c r="H84" s="1">
        <f>I84+J84+K84+L84</f>
        <v>187924.5</v>
      </c>
      <c r="I84" s="13">
        <f>I92+I93+I102+I103+I129+I138+I146+I152+I159+I166+I175+I182+I183+I184+I185+I192+I200</f>
        <v>2000</v>
      </c>
      <c r="J84" s="13">
        <f t="shared" ref="J84:Q84" si="23">J92+J93+J102+J103+J129+J138+J146+J152+J159+J166+J175+J182+J183+J184+J185+J192+J200</f>
        <v>47010</v>
      </c>
      <c r="K84" s="13">
        <f t="shared" si="23"/>
        <v>131914.5</v>
      </c>
      <c r="L84" s="13">
        <f t="shared" si="23"/>
        <v>7000</v>
      </c>
      <c r="M84" s="13">
        <f>M92+M93+M102+M103+M129+M138+M146+M152+M159+M166+M175+M182+M183+M184+M185+M192+M200</f>
        <v>150524.5</v>
      </c>
      <c r="N84" s="13">
        <f t="shared" si="23"/>
        <v>150524.5</v>
      </c>
      <c r="O84" s="13">
        <f t="shared" si="23"/>
        <v>150524.5</v>
      </c>
      <c r="P84" s="13">
        <f t="shared" si="23"/>
        <v>150524.5</v>
      </c>
      <c r="Q84" s="13">
        <f t="shared" si="23"/>
        <v>150524.5</v>
      </c>
      <c r="R84" s="73"/>
      <c r="S84" s="75"/>
    </row>
    <row r="85" spans="1:19" ht="20.399999999999999" x14ac:dyDescent="0.25">
      <c r="A85" s="73"/>
      <c r="B85" s="26" t="s">
        <v>23</v>
      </c>
      <c r="C85" s="6"/>
      <c r="D85" s="6"/>
      <c r="E85" s="6"/>
      <c r="F85" s="29"/>
      <c r="G85" s="29"/>
      <c r="H85" s="1">
        <f t="shared" si="22"/>
        <v>3950.8</v>
      </c>
      <c r="I85" s="1">
        <f>I94+I104+I130+I139+I147+I153+I160+I167+I176+I186+I193+I201</f>
        <v>0</v>
      </c>
      <c r="J85" s="1">
        <f t="shared" ref="J85:Q85" si="24">J94+J104+J130+J139+J147+J153+J160+J167+J176+J186+J193+J201</f>
        <v>987.7</v>
      </c>
      <c r="K85" s="1">
        <f t="shared" si="24"/>
        <v>2963.1</v>
      </c>
      <c r="L85" s="1">
        <f t="shared" si="24"/>
        <v>0</v>
      </c>
      <c r="M85" s="1">
        <f t="shared" si="24"/>
        <v>4148.3</v>
      </c>
      <c r="N85" s="1">
        <f t="shared" si="24"/>
        <v>4231.3</v>
      </c>
      <c r="O85" s="1">
        <f t="shared" si="24"/>
        <v>4315.8999999999996</v>
      </c>
      <c r="P85" s="1">
        <f t="shared" si="24"/>
        <v>4402.2</v>
      </c>
      <c r="Q85" s="1">
        <f t="shared" si="24"/>
        <v>4490.3</v>
      </c>
      <c r="R85" s="73"/>
      <c r="S85" s="76"/>
    </row>
    <row r="86" spans="1:19" ht="30.6" x14ac:dyDescent="0.25">
      <c r="A86" s="73" t="s">
        <v>111</v>
      </c>
      <c r="B86" s="26" t="s">
        <v>40</v>
      </c>
      <c r="C86" s="6"/>
      <c r="D86" s="6"/>
      <c r="E86" s="6"/>
      <c r="F86" s="29"/>
      <c r="G86" s="29"/>
      <c r="H86" s="1">
        <f t="shared" si="22"/>
        <v>20</v>
      </c>
      <c r="I86" s="1">
        <v>0</v>
      </c>
      <c r="J86" s="3">
        <v>0</v>
      </c>
      <c r="K86" s="1">
        <f>1+18</f>
        <v>19</v>
      </c>
      <c r="L86" s="1">
        <v>1</v>
      </c>
      <c r="M86" s="1">
        <v>19</v>
      </c>
      <c r="N86" s="1">
        <v>19</v>
      </c>
      <c r="O86" s="1">
        <f>1+19</f>
        <v>20</v>
      </c>
      <c r="P86" s="1">
        <v>19</v>
      </c>
      <c r="Q86" s="1">
        <v>19</v>
      </c>
      <c r="R86" s="73" t="s">
        <v>41</v>
      </c>
      <c r="S86" s="73" t="s">
        <v>144</v>
      </c>
    </row>
    <row r="87" spans="1:19" x14ac:dyDescent="0.25">
      <c r="A87" s="73"/>
      <c r="B87" s="26" t="s">
        <v>18</v>
      </c>
      <c r="C87" s="6"/>
      <c r="D87" s="6"/>
      <c r="E87" s="6"/>
      <c r="F87" s="29"/>
      <c r="G87" s="29"/>
      <c r="H87" s="1">
        <f>H88/H86</f>
        <v>779.452</v>
      </c>
      <c r="I87" s="1" t="s">
        <v>19</v>
      </c>
      <c r="J87" s="1" t="s">
        <v>19</v>
      </c>
      <c r="K87" s="1" t="s">
        <v>19</v>
      </c>
      <c r="L87" s="1" t="s">
        <v>19</v>
      </c>
      <c r="M87" s="1">
        <f>M88/M86</f>
        <v>631.57894736842104</v>
      </c>
      <c r="N87" s="1">
        <f>N88/N86</f>
        <v>657.89473684210532</v>
      </c>
      <c r="O87" s="1">
        <f>O88/O86</f>
        <v>800</v>
      </c>
      <c r="P87" s="1">
        <f>P88/P86</f>
        <v>631.57894736842104</v>
      </c>
      <c r="Q87" s="1">
        <f>Q88/Q86</f>
        <v>631.57894736842104</v>
      </c>
      <c r="R87" s="73"/>
      <c r="S87" s="73"/>
    </row>
    <row r="88" spans="1:19" ht="20.399999999999999" x14ac:dyDescent="0.25">
      <c r="A88" s="73"/>
      <c r="B88" s="26" t="s">
        <v>76</v>
      </c>
      <c r="C88" s="6"/>
      <c r="D88" s="6"/>
      <c r="E88" s="6"/>
      <c r="F88" s="29"/>
      <c r="G88" s="29"/>
      <c r="H88" s="1">
        <f t="shared" ref="H88:J88" si="25">H89+H91+H92+H93+H94+H90</f>
        <v>15589.04</v>
      </c>
      <c r="I88" s="1">
        <f t="shared" si="25"/>
        <v>0</v>
      </c>
      <c r="J88" s="1">
        <f t="shared" si="25"/>
        <v>2000</v>
      </c>
      <c r="K88" s="1">
        <f>K89+K91+K92+K93+K94+K90</f>
        <v>11589.04</v>
      </c>
      <c r="L88" s="1">
        <f t="shared" ref="L88:Q88" si="26">L89+L91+L92+L93+L94+L90</f>
        <v>2000</v>
      </c>
      <c r="M88" s="1">
        <f t="shared" si="26"/>
        <v>12000</v>
      </c>
      <c r="N88" s="1">
        <f t="shared" si="26"/>
        <v>12500</v>
      </c>
      <c r="O88" s="1">
        <f t="shared" si="26"/>
        <v>16000</v>
      </c>
      <c r="P88" s="1">
        <f t="shared" si="26"/>
        <v>12000</v>
      </c>
      <c r="Q88" s="1">
        <f t="shared" si="26"/>
        <v>12000</v>
      </c>
      <c r="R88" s="73"/>
      <c r="S88" s="73"/>
    </row>
    <row r="89" spans="1:19" x14ac:dyDescent="0.25">
      <c r="A89" s="73"/>
      <c r="B89" s="74" t="s">
        <v>21</v>
      </c>
      <c r="C89" s="2">
        <v>176</v>
      </c>
      <c r="D89" s="2" t="s">
        <v>85</v>
      </c>
      <c r="E89" s="2" t="s">
        <v>84</v>
      </c>
      <c r="F89" s="2" t="s">
        <v>70</v>
      </c>
      <c r="G89" s="2">
        <v>244</v>
      </c>
      <c r="H89" s="1">
        <f t="shared" ref="H89:H91" si="27">I89+J89+K89+L89</f>
        <v>0</v>
      </c>
      <c r="I89" s="3"/>
      <c r="J89" s="1"/>
      <c r="K89" s="1"/>
      <c r="L89" s="1"/>
      <c r="M89" s="3"/>
      <c r="N89" s="4">
        <v>500</v>
      </c>
      <c r="O89" s="3"/>
      <c r="P89" s="3"/>
      <c r="Q89" s="3"/>
      <c r="R89" s="73"/>
      <c r="S89" s="73"/>
    </row>
    <row r="90" spans="1:19" x14ac:dyDescent="0.25">
      <c r="A90" s="73"/>
      <c r="B90" s="76"/>
      <c r="C90" s="2">
        <v>176</v>
      </c>
      <c r="D90" s="2" t="s">
        <v>85</v>
      </c>
      <c r="E90" s="2" t="s">
        <v>84</v>
      </c>
      <c r="F90" s="2" t="s">
        <v>70</v>
      </c>
      <c r="G90" s="2">
        <v>414</v>
      </c>
      <c r="H90" s="1">
        <f t="shared" ref="H90" si="28">I90+J90+K90+L90</f>
        <v>3589.04</v>
      </c>
      <c r="I90" s="3"/>
      <c r="J90" s="1"/>
      <c r="K90" s="1">
        <v>3589.04</v>
      </c>
      <c r="L90" s="1"/>
      <c r="M90" s="3"/>
      <c r="N90" s="3"/>
      <c r="O90" s="4">
        <v>4000</v>
      </c>
      <c r="P90" s="3"/>
      <c r="Q90" s="3"/>
      <c r="R90" s="73"/>
      <c r="S90" s="73"/>
    </row>
    <row r="91" spans="1:19" x14ac:dyDescent="0.25">
      <c r="A91" s="73"/>
      <c r="B91" s="26" t="s">
        <v>24</v>
      </c>
      <c r="C91" s="2"/>
      <c r="D91" s="2"/>
      <c r="E91" s="2"/>
      <c r="F91" s="2"/>
      <c r="G91" s="2"/>
      <c r="H91" s="1">
        <f t="shared" si="27"/>
        <v>0</v>
      </c>
      <c r="I91" s="1"/>
      <c r="J91" s="1"/>
      <c r="K91" s="1"/>
      <c r="L91" s="1"/>
      <c r="M91" s="1"/>
      <c r="N91" s="1"/>
      <c r="O91" s="1"/>
      <c r="P91" s="1"/>
      <c r="Q91" s="1"/>
      <c r="R91" s="73"/>
      <c r="S91" s="73"/>
    </row>
    <row r="92" spans="1:19" x14ac:dyDescent="0.25">
      <c r="A92" s="73"/>
      <c r="B92" s="73" t="s">
        <v>22</v>
      </c>
      <c r="C92" s="2">
        <v>780</v>
      </c>
      <c r="D92" s="2" t="s">
        <v>85</v>
      </c>
      <c r="E92" s="2" t="s">
        <v>84</v>
      </c>
      <c r="F92" s="2" t="s">
        <v>83</v>
      </c>
      <c r="G92" s="2">
        <v>464</v>
      </c>
      <c r="H92" s="1">
        <f>I92+J92+K92+L92</f>
        <v>10700</v>
      </c>
      <c r="I92" s="1"/>
      <c r="J92" s="1">
        <f>1000+1000</f>
        <v>2000</v>
      </c>
      <c r="K92" s="1">
        <f>2700+4000</f>
        <v>6700</v>
      </c>
      <c r="L92" s="1">
        <f>1000+1000</f>
        <v>2000</v>
      </c>
      <c r="M92" s="1">
        <f>6000+4700</f>
        <v>10700</v>
      </c>
      <c r="N92" s="1">
        <v>10700</v>
      </c>
      <c r="O92" s="1">
        <v>12000</v>
      </c>
      <c r="P92" s="1">
        <v>12000</v>
      </c>
      <c r="Q92" s="1">
        <v>12000</v>
      </c>
      <c r="R92" s="73"/>
      <c r="S92" s="73"/>
    </row>
    <row r="93" spans="1:19" x14ac:dyDescent="0.25">
      <c r="A93" s="73"/>
      <c r="B93" s="73"/>
      <c r="C93" s="2">
        <v>780</v>
      </c>
      <c r="D93" s="2" t="s">
        <v>85</v>
      </c>
      <c r="E93" s="2" t="s">
        <v>84</v>
      </c>
      <c r="F93" s="2" t="s">
        <v>135</v>
      </c>
      <c r="G93" s="2">
        <v>464</v>
      </c>
      <c r="H93" s="1">
        <f>I93+J93+K93+L93</f>
        <v>1300</v>
      </c>
      <c r="I93" s="1"/>
      <c r="J93" s="1"/>
      <c r="K93" s="1">
        <v>1300</v>
      </c>
      <c r="L93" s="1"/>
      <c r="M93" s="1">
        <v>1300</v>
      </c>
      <c r="N93" s="1">
        <v>1300</v>
      </c>
      <c r="O93" s="1"/>
      <c r="P93" s="1"/>
      <c r="Q93" s="1"/>
      <c r="R93" s="73"/>
      <c r="S93" s="73"/>
    </row>
    <row r="94" spans="1:19" ht="20.399999999999999" x14ac:dyDescent="0.25">
      <c r="A94" s="73"/>
      <c r="B94" s="26" t="s">
        <v>23</v>
      </c>
      <c r="C94" s="29"/>
      <c r="D94" s="29"/>
      <c r="E94" s="29"/>
      <c r="F94" s="29"/>
      <c r="G94" s="29"/>
      <c r="H94" s="1"/>
      <c r="I94" s="1"/>
      <c r="J94" s="1"/>
      <c r="K94" s="1"/>
      <c r="L94" s="1"/>
      <c r="M94" s="1"/>
      <c r="N94" s="1"/>
      <c r="O94" s="1"/>
      <c r="P94" s="1"/>
      <c r="Q94" s="1"/>
      <c r="R94" s="73"/>
      <c r="S94" s="73"/>
    </row>
    <row r="95" spans="1:19" ht="40.799999999999997" x14ac:dyDescent="0.25">
      <c r="A95" s="73" t="s">
        <v>112</v>
      </c>
      <c r="B95" s="26" t="s">
        <v>42</v>
      </c>
      <c r="C95" s="29"/>
      <c r="D95" s="29"/>
      <c r="E95" s="29"/>
      <c r="F95" s="29"/>
      <c r="G95" s="29"/>
      <c r="H95" s="1">
        <f t="shared" ref="H95:H102" si="29">I95+J95+K95+L95</f>
        <v>5049</v>
      </c>
      <c r="I95" s="1">
        <f>I113</f>
        <v>1000</v>
      </c>
      <c r="J95" s="1">
        <f t="shared" ref="J95:Q95" si="30">J113</f>
        <v>1000</v>
      </c>
      <c r="K95" s="1">
        <f t="shared" si="30"/>
        <v>2049</v>
      </c>
      <c r="L95" s="1">
        <f t="shared" si="30"/>
        <v>1000</v>
      </c>
      <c r="M95" s="1">
        <f t="shared" si="30"/>
        <v>2500</v>
      </c>
      <c r="N95" s="1">
        <f t="shared" si="30"/>
        <v>2500</v>
      </c>
      <c r="O95" s="1">
        <f t="shared" si="30"/>
        <v>2917</v>
      </c>
      <c r="P95" s="1">
        <f t="shared" si="30"/>
        <v>3090</v>
      </c>
      <c r="Q95" s="1">
        <f t="shared" si="30"/>
        <v>3315</v>
      </c>
      <c r="R95" s="74" t="s">
        <v>43</v>
      </c>
      <c r="S95" s="74"/>
    </row>
    <row r="96" spans="1:19" x14ac:dyDescent="0.25">
      <c r="A96" s="73"/>
      <c r="B96" s="26" t="s">
        <v>18</v>
      </c>
      <c r="C96" s="29"/>
      <c r="D96" s="29"/>
      <c r="E96" s="29"/>
      <c r="F96" s="29"/>
      <c r="G96" s="29"/>
      <c r="H96" s="1">
        <f>H97/H95</f>
        <v>32.314028520499107</v>
      </c>
      <c r="I96" s="1" t="s">
        <v>19</v>
      </c>
      <c r="J96" s="1" t="s">
        <v>19</v>
      </c>
      <c r="K96" s="1" t="s">
        <v>19</v>
      </c>
      <c r="L96" s="1" t="s">
        <v>19</v>
      </c>
      <c r="M96" s="1">
        <f>M97/M95</f>
        <v>2</v>
      </c>
      <c r="N96" s="1">
        <f>N97/N95</f>
        <v>2</v>
      </c>
      <c r="O96" s="1">
        <f>O97/O95</f>
        <v>8.9132670551936926</v>
      </c>
      <c r="P96" s="1">
        <f>P97/P95</f>
        <v>8.090614886731391</v>
      </c>
      <c r="Q96" s="1">
        <f>Q97/Q95</f>
        <v>7.5414781297134237</v>
      </c>
      <c r="R96" s="75"/>
      <c r="S96" s="75"/>
    </row>
    <row r="97" spans="1:19" ht="20.399999999999999" x14ac:dyDescent="0.25">
      <c r="A97" s="73"/>
      <c r="B97" s="26" t="s">
        <v>76</v>
      </c>
      <c r="C97" s="29"/>
      <c r="D97" s="29"/>
      <c r="E97" s="29"/>
      <c r="F97" s="29"/>
      <c r="G97" s="29"/>
      <c r="H97" s="1">
        <f t="shared" si="29"/>
        <v>163153.53</v>
      </c>
      <c r="I97" s="1">
        <f>I98+I100+I101+I102+I103+I104</f>
        <v>2000</v>
      </c>
      <c r="J97" s="1">
        <f t="shared" ref="J97:P97" si="31">J98+J100+J101+J102+J103+J104</f>
        <v>2010</v>
      </c>
      <c r="K97" s="1">
        <f t="shared" si="31"/>
        <v>157143.53</v>
      </c>
      <c r="L97" s="1">
        <f t="shared" si="31"/>
        <v>2000</v>
      </c>
      <c r="M97" s="1">
        <f t="shared" si="31"/>
        <v>5000</v>
      </c>
      <c r="N97" s="1">
        <f t="shared" si="31"/>
        <v>5000</v>
      </c>
      <c r="O97" s="1">
        <f t="shared" si="31"/>
        <v>26000</v>
      </c>
      <c r="P97" s="1">
        <f t="shared" si="31"/>
        <v>25000</v>
      </c>
      <c r="Q97" s="1">
        <f t="shared" ref="Q97" si="32">Q98+Q100+Q101+Q102+Q103+Q104</f>
        <v>25000</v>
      </c>
      <c r="R97" s="75"/>
      <c r="S97" s="75"/>
    </row>
    <row r="98" spans="1:19" x14ac:dyDescent="0.25">
      <c r="A98" s="73"/>
      <c r="B98" s="73" t="s">
        <v>21</v>
      </c>
      <c r="C98" s="2">
        <v>176</v>
      </c>
      <c r="D98" s="2" t="s">
        <v>85</v>
      </c>
      <c r="E98" s="2" t="s">
        <v>84</v>
      </c>
      <c r="F98" s="2" t="s">
        <v>70</v>
      </c>
      <c r="G98" s="2">
        <v>243</v>
      </c>
      <c r="H98" s="1">
        <f t="shared" si="29"/>
        <v>134057.13</v>
      </c>
      <c r="I98" s="1">
        <f>I116</f>
        <v>0</v>
      </c>
      <c r="J98" s="1">
        <f t="shared" ref="J98:Q98" si="33">J116</f>
        <v>0</v>
      </c>
      <c r="K98" s="1">
        <f t="shared" si="33"/>
        <v>134057.13</v>
      </c>
      <c r="L98" s="1">
        <f t="shared" si="33"/>
        <v>0</v>
      </c>
      <c r="M98" s="1">
        <f t="shared" si="33"/>
        <v>0</v>
      </c>
      <c r="N98" s="1">
        <f t="shared" si="33"/>
        <v>0</v>
      </c>
      <c r="O98" s="1">
        <f t="shared" si="33"/>
        <v>1000</v>
      </c>
      <c r="P98" s="1">
        <f t="shared" si="33"/>
        <v>0</v>
      </c>
      <c r="Q98" s="1">
        <f t="shared" si="33"/>
        <v>0</v>
      </c>
      <c r="R98" s="75"/>
      <c r="S98" s="75"/>
    </row>
    <row r="99" spans="1:19" x14ac:dyDescent="0.25">
      <c r="A99" s="73"/>
      <c r="B99" s="73"/>
      <c r="C99" s="2">
        <v>176</v>
      </c>
      <c r="D99" s="2" t="s">
        <v>85</v>
      </c>
      <c r="E99" s="2" t="s">
        <v>84</v>
      </c>
      <c r="F99" s="2" t="s">
        <v>70</v>
      </c>
      <c r="G99" s="2">
        <v>244</v>
      </c>
      <c r="H99" s="1">
        <f t="shared" ref="H99" si="34">I99+J99+K99+L99</f>
        <v>0.3</v>
      </c>
      <c r="I99" s="1">
        <f>I108</f>
        <v>0</v>
      </c>
      <c r="J99" s="1">
        <f t="shared" ref="J99:Q99" si="35">J108</f>
        <v>0</v>
      </c>
      <c r="K99" s="1">
        <f t="shared" si="35"/>
        <v>0.3</v>
      </c>
      <c r="L99" s="1">
        <f t="shared" si="35"/>
        <v>0</v>
      </c>
      <c r="M99" s="1">
        <f t="shared" si="35"/>
        <v>0</v>
      </c>
      <c r="N99" s="1">
        <f t="shared" si="35"/>
        <v>0</v>
      </c>
      <c r="O99" s="1">
        <f t="shared" si="35"/>
        <v>0</v>
      </c>
      <c r="P99" s="1">
        <f t="shared" si="35"/>
        <v>0</v>
      </c>
      <c r="Q99" s="1">
        <f t="shared" si="35"/>
        <v>0</v>
      </c>
      <c r="R99" s="75"/>
      <c r="S99" s="75"/>
    </row>
    <row r="100" spans="1:19" x14ac:dyDescent="0.25">
      <c r="A100" s="73"/>
      <c r="B100" s="73"/>
      <c r="C100" s="67">
        <v>176</v>
      </c>
      <c r="D100" s="67" t="s">
        <v>85</v>
      </c>
      <c r="E100" s="67" t="s">
        <v>84</v>
      </c>
      <c r="F100" s="67" t="s">
        <v>70</v>
      </c>
      <c r="G100" s="67">
        <v>414</v>
      </c>
      <c r="H100" s="1">
        <f t="shared" si="29"/>
        <v>19096.400000000001</v>
      </c>
      <c r="I100" s="68">
        <f>I109+I117</f>
        <v>0</v>
      </c>
      <c r="J100" s="68">
        <f t="shared" ref="J100:Q100" si="36">J109+J117</f>
        <v>0</v>
      </c>
      <c r="K100" s="68">
        <f t="shared" si="36"/>
        <v>19096.400000000001</v>
      </c>
      <c r="L100" s="68">
        <f t="shared" si="36"/>
        <v>0</v>
      </c>
      <c r="M100" s="68">
        <f t="shared" si="36"/>
        <v>0</v>
      </c>
      <c r="N100" s="68">
        <f t="shared" si="36"/>
        <v>0</v>
      </c>
      <c r="O100" s="68">
        <f t="shared" si="36"/>
        <v>20000</v>
      </c>
      <c r="P100" s="68">
        <f t="shared" si="36"/>
        <v>20000</v>
      </c>
      <c r="Q100" s="68">
        <f t="shared" si="36"/>
        <v>20000</v>
      </c>
      <c r="R100" s="75"/>
      <c r="S100" s="75"/>
    </row>
    <row r="101" spans="1:19" x14ac:dyDescent="0.25">
      <c r="A101" s="73"/>
      <c r="B101" s="26" t="s">
        <v>24</v>
      </c>
      <c r="C101" s="2"/>
      <c r="D101" s="2"/>
      <c r="E101" s="2"/>
      <c r="F101" s="2"/>
      <c r="G101" s="2"/>
      <c r="H101" s="1">
        <f t="shared" si="29"/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75"/>
      <c r="S101" s="75"/>
    </row>
    <row r="102" spans="1:19" x14ac:dyDescent="0.25">
      <c r="A102" s="73"/>
      <c r="B102" s="73" t="s">
        <v>22</v>
      </c>
      <c r="C102" s="2">
        <v>780</v>
      </c>
      <c r="D102" s="2" t="s">
        <v>85</v>
      </c>
      <c r="E102" s="2" t="s">
        <v>84</v>
      </c>
      <c r="F102" s="2" t="s">
        <v>82</v>
      </c>
      <c r="G102" s="2">
        <v>100</v>
      </c>
      <c r="H102" s="1">
        <f t="shared" si="29"/>
        <v>1590</v>
      </c>
      <c r="I102" s="1">
        <f>I119</f>
        <v>320</v>
      </c>
      <c r="J102" s="1">
        <f t="shared" ref="J102:Q102" si="37">J119</f>
        <v>320</v>
      </c>
      <c r="K102" s="1">
        <f t="shared" si="37"/>
        <v>630</v>
      </c>
      <c r="L102" s="1">
        <f t="shared" si="37"/>
        <v>320</v>
      </c>
      <c r="M102" s="1">
        <f t="shared" si="37"/>
        <v>1600</v>
      </c>
      <c r="N102" s="1">
        <f t="shared" si="37"/>
        <v>1600</v>
      </c>
      <c r="O102" s="1">
        <f t="shared" si="37"/>
        <v>1600</v>
      </c>
      <c r="P102" s="1">
        <f t="shared" si="37"/>
        <v>1600</v>
      </c>
      <c r="Q102" s="1">
        <f t="shared" si="37"/>
        <v>1600</v>
      </c>
      <c r="R102" s="75"/>
      <c r="S102" s="75"/>
    </row>
    <row r="103" spans="1:19" x14ac:dyDescent="0.25">
      <c r="A103" s="73"/>
      <c r="B103" s="73"/>
      <c r="C103" s="2">
        <v>780</v>
      </c>
      <c r="D103" s="2" t="s">
        <v>85</v>
      </c>
      <c r="E103" s="2" t="s">
        <v>84</v>
      </c>
      <c r="F103" s="2" t="s">
        <v>82</v>
      </c>
      <c r="G103" s="2">
        <v>244</v>
      </c>
      <c r="H103" s="1">
        <f>I103+J103+K103+L103</f>
        <v>8410</v>
      </c>
      <c r="I103" s="1">
        <f>I120</f>
        <v>1680</v>
      </c>
      <c r="J103" s="1">
        <f t="shared" ref="J103:Q103" si="38">J120</f>
        <v>1690</v>
      </c>
      <c r="K103" s="1">
        <f t="shared" si="38"/>
        <v>3360</v>
      </c>
      <c r="L103" s="1">
        <f t="shared" si="38"/>
        <v>1680</v>
      </c>
      <c r="M103" s="1">
        <f t="shared" si="38"/>
        <v>3400</v>
      </c>
      <c r="N103" s="1">
        <f t="shared" si="38"/>
        <v>3400</v>
      </c>
      <c r="O103" s="1">
        <f t="shared" si="38"/>
        <v>3400</v>
      </c>
      <c r="P103" s="1">
        <f t="shared" si="38"/>
        <v>3400</v>
      </c>
      <c r="Q103" s="1">
        <f t="shared" si="38"/>
        <v>3400</v>
      </c>
      <c r="R103" s="75"/>
      <c r="S103" s="75"/>
    </row>
    <row r="104" spans="1:19" ht="20.399999999999999" x14ac:dyDescent="0.25">
      <c r="A104" s="73"/>
      <c r="B104" s="26" t="s">
        <v>23</v>
      </c>
      <c r="C104" s="29"/>
      <c r="D104" s="29"/>
      <c r="E104" s="29"/>
      <c r="F104" s="29"/>
      <c r="G104" s="2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76"/>
      <c r="S104" s="76"/>
    </row>
    <row r="105" spans="1:19" ht="40.799999999999997" x14ac:dyDescent="0.25">
      <c r="A105" s="73" t="s">
        <v>146</v>
      </c>
      <c r="B105" s="26" t="s">
        <v>42</v>
      </c>
      <c r="C105" s="29"/>
      <c r="D105" s="29"/>
      <c r="E105" s="29"/>
      <c r="F105" s="29"/>
      <c r="G105" s="2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74" t="s">
        <v>43</v>
      </c>
      <c r="S105" s="74" t="s">
        <v>147</v>
      </c>
    </row>
    <row r="106" spans="1:19" x14ac:dyDescent="0.25">
      <c r="A106" s="73"/>
      <c r="B106" s="26" t="s">
        <v>18</v>
      </c>
      <c r="C106" s="29"/>
      <c r="D106" s="29"/>
      <c r="E106" s="29"/>
      <c r="F106" s="29"/>
      <c r="G106" s="29"/>
      <c r="H106" s="1"/>
      <c r="I106" s="1" t="s">
        <v>19</v>
      </c>
      <c r="J106" s="1" t="s">
        <v>19</v>
      </c>
      <c r="K106" s="1" t="s">
        <v>19</v>
      </c>
      <c r="L106" s="1" t="s">
        <v>19</v>
      </c>
      <c r="M106" s="1"/>
      <c r="N106" s="1"/>
      <c r="O106" s="1"/>
      <c r="P106" s="1"/>
      <c r="Q106" s="1"/>
      <c r="R106" s="75"/>
      <c r="S106" s="75"/>
    </row>
    <row r="107" spans="1:19" ht="20.399999999999999" x14ac:dyDescent="0.25">
      <c r="A107" s="73"/>
      <c r="B107" s="26" t="s">
        <v>76</v>
      </c>
      <c r="C107" s="29"/>
      <c r="D107" s="29"/>
      <c r="E107" s="29"/>
      <c r="F107" s="29"/>
      <c r="G107" s="29"/>
      <c r="H107" s="1">
        <f>I107+J107+K107+L107</f>
        <v>10188.5</v>
      </c>
      <c r="I107" s="1">
        <f>I108+I109+I110+I111+I112</f>
        <v>0</v>
      </c>
      <c r="J107" s="1">
        <f t="shared" ref="J107:Q107" si="39">J108+J109+J110+J111+J112</f>
        <v>0</v>
      </c>
      <c r="K107" s="1">
        <f t="shared" si="39"/>
        <v>10188.5</v>
      </c>
      <c r="L107" s="1">
        <f t="shared" si="39"/>
        <v>0</v>
      </c>
      <c r="M107" s="1">
        <f t="shared" si="39"/>
        <v>0</v>
      </c>
      <c r="N107" s="1">
        <f t="shared" si="39"/>
        <v>0</v>
      </c>
      <c r="O107" s="1">
        <f t="shared" si="39"/>
        <v>0</v>
      </c>
      <c r="P107" s="1">
        <f t="shared" si="39"/>
        <v>0</v>
      </c>
      <c r="Q107" s="1">
        <f t="shared" si="39"/>
        <v>0</v>
      </c>
      <c r="R107" s="75"/>
      <c r="S107" s="75"/>
    </row>
    <row r="108" spans="1:19" x14ac:dyDescent="0.25">
      <c r="A108" s="73"/>
      <c r="B108" s="73" t="s">
        <v>21</v>
      </c>
      <c r="C108" s="2">
        <v>176</v>
      </c>
      <c r="D108" s="2" t="s">
        <v>85</v>
      </c>
      <c r="E108" s="2" t="s">
        <v>84</v>
      </c>
      <c r="F108" s="2" t="s">
        <v>70</v>
      </c>
      <c r="G108" s="2">
        <v>244</v>
      </c>
      <c r="H108" s="1">
        <f t="shared" ref="H108:H109" si="40">I108+J108+K108+L108</f>
        <v>0.3</v>
      </c>
      <c r="I108" s="1"/>
      <c r="J108" s="1"/>
      <c r="K108" s="1">
        <v>0.3</v>
      </c>
      <c r="L108" s="1"/>
      <c r="M108" s="1"/>
      <c r="N108" s="1"/>
      <c r="O108" s="1"/>
      <c r="P108" s="1"/>
      <c r="Q108" s="1"/>
      <c r="R108" s="75"/>
      <c r="S108" s="75"/>
    </row>
    <row r="109" spans="1:19" x14ac:dyDescent="0.25">
      <c r="A109" s="73"/>
      <c r="B109" s="73"/>
      <c r="C109" s="67">
        <v>176</v>
      </c>
      <c r="D109" s="67" t="s">
        <v>85</v>
      </c>
      <c r="E109" s="67" t="s">
        <v>84</v>
      </c>
      <c r="F109" s="67" t="s">
        <v>70</v>
      </c>
      <c r="G109" s="67">
        <v>414</v>
      </c>
      <c r="H109" s="1">
        <f t="shared" si="40"/>
        <v>10188.200000000001</v>
      </c>
      <c r="I109" s="68"/>
      <c r="J109" s="68"/>
      <c r="K109" s="68">
        <v>10188.200000000001</v>
      </c>
      <c r="L109" s="68"/>
      <c r="M109" s="68"/>
      <c r="N109" s="68"/>
      <c r="O109" s="68"/>
      <c r="P109" s="68"/>
      <c r="Q109" s="68"/>
      <c r="R109" s="75"/>
      <c r="S109" s="75"/>
    </row>
    <row r="110" spans="1:19" x14ac:dyDescent="0.25">
      <c r="A110" s="73"/>
      <c r="B110" s="26" t="s">
        <v>24</v>
      </c>
      <c r="C110" s="2"/>
      <c r="D110" s="2"/>
      <c r="E110" s="2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75"/>
      <c r="S110" s="75"/>
    </row>
    <row r="111" spans="1:19" x14ac:dyDescent="0.25">
      <c r="A111" s="73"/>
      <c r="B111" s="26" t="s">
        <v>22</v>
      </c>
      <c r="C111" s="2"/>
      <c r="D111" s="2"/>
      <c r="E111" s="2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75"/>
      <c r="S111" s="75"/>
    </row>
    <row r="112" spans="1:19" ht="20.399999999999999" x14ac:dyDescent="0.25">
      <c r="A112" s="73"/>
      <c r="B112" s="26" t="s">
        <v>23</v>
      </c>
      <c r="C112" s="29"/>
      <c r="D112" s="29"/>
      <c r="E112" s="29"/>
      <c r="F112" s="29"/>
      <c r="G112" s="2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76"/>
      <c r="S112" s="76"/>
    </row>
    <row r="113" spans="1:19" ht="40.799999999999997" x14ac:dyDescent="0.25">
      <c r="A113" s="73" t="s">
        <v>145</v>
      </c>
      <c r="B113" s="26" t="s">
        <v>42</v>
      </c>
      <c r="C113" s="29"/>
      <c r="D113" s="29"/>
      <c r="E113" s="29"/>
      <c r="F113" s="29"/>
      <c r="G113" s="29"/>
      <c r="H113" s="1">
        <f t="shared" ref="H113" si="41">I113+J113+K113+L113</f>
        <v>5049</v>
      </c>
      <c r="I113" s="1">
        <v>1000</v>
      </c>
      <c r="J113" s="1">
        <v>1000</v>
      </c>
      <c r="K113" s="1">
        <f>2000+49</f>
        <v>2049</v>
      </c>
      <c r="L113" s="1">
        <v>1000</v>
      </c>
      <c r="M113" s="1">
        <v>2500</v>
      </c>
      <c r="N113" s="1">
        <v>2500</v>
      </c>
      <c r="O113" s="1">
        <f>2500+417</f>
        <v>2917</v>
      </c>
      <c r="P113" s="1">
        <f>2500+590</f>
        <v>3090</v>
      </c>
      <c r="Q113" s="1">
        <f>2500+815</f>
        <v>3315</v>
      </c>
      <c r="R113" s="74" t="s">
        <v>43</v>
      </c>
      <c r="S113" s="74" t="s">
        <v>163</v>
      </c>
    </row>
    <row r="114" spans="1:19" x14ac:dyDescent="0.25">
      <c r="A114" s="73"/>
      <c r="B114" s="26" t="s">
        <v>18</v>
      </c>
      <c r="C114" s="29"/>
      <c r="D114" s="29"/>
      <c r="E114" s="29"/>
      <c r="F114" s="29"/>
      <c r="G114" s="29"/>
      <c r="H114" s="1">
        <f>H115/H113</f>
        <v>30.296163596751835</v>
      </c>
      <c r="I114" s="1" t="s">
        <v>19</v>
      </c>
      <c r="J114" s="1" t="s">
        <v>19</v>
      </c>
      <c r="K114" s="1" t="s">
        <v>19</v>
      </c>
      <c r="L114" s="1" t="s">
        <v>19</v>
      </c>
      <c r="M114" s="1">
        <f>M115/M113</f>
        <v>2</v>
      </c>
      <c r="N114" s="1">
        <f>N115/N113</f>
        <v>2</v>
      </c>
      <c r="O114" s="1">
        <f>O115/O113</f>
        <v>8.9132670551936926</v>
      </c>
      <c r="P114" s="1">
        <f>P115/P113</f>
        <v>8.090614886731391</v>
      </c>
      <c r="Q114" s="1">
        <f>Q115/Q113</f>
        <v>7.5414781297134237</v>
      </c>
      <c r="R114" s="75"/>
      <c r="S114" s="75"/>
    </row>
    <row r="115" spans="1:19" ht="20.399999999999999" x14ac:dyDescent="0.25">
      <c r="A115" s="73"/>
      <c r="B115" s="26" t="s">
        <v>76</v>
      </c>
      <c r="C115" s="29"/>
      <c r="D115" s="29"/>
      <c r="E115" s="29"/>
      <c r="F115" s="29"/>
      <c r="G115" s="29"/>
      <c r="H115" s="1">
        <f t="shared" ref="H115:H119" si="42">I115+J115+K115+L115</f>
        <v>152965.33000000002</v>
      </c>
      <c r="I115" s="1">
        <f>I116+I117+I118+I119+I120+I121</f>
        <v>2000</v>
      </c>
      <c r="J115" s="1">
        <f t="shared" ref="J115:Q115" si="43">J116+J117+J118+J119+J120+J121</f>
        <v>2010</v>
      </c>
      <c r="K115" s="1">
        <f t="shared" si="43"/>
        <v>146955.33000000002</v>
      </c>
      <c r="L115" s="1">
        <f t="shared" si="43"/>
        <v>2000</v>
      </c>
      <c r="M115" s="1">
        <f t="shared" si="43"/>
        <v>5000</v>
      </c>
      <c r="N115" s="1">
        <f t="shared" si="43"/>
        <v>5000</v>
      </c>
      <c r="O115" s="1">
        <f t="shared" si="43"/>
        <v>26000</v>
      </c>
      <c r="P115" s="1">
        <f t="shared" si="43"/>
        <v>25000</v>
      </c>
      <c r="Q115" s="1">
        <f t="shared" si="43"/>
        <v>25000</v>
      </c>
      <c r="R115" s="75"/>
      <c r="S115" s="75"/>
    </row>
    <row r="116" spans="1:19" x14ac:dyDescent="0.25">
      <c r="A116" s="73"/>
      <c r="B116" s="73" t="s">
        <v>21</v>
      </c>
      <c r="C116" s="2">
        <v>176</v>
      </c>
      <c r="D116" s="2" t="s">
        <v>85</v>
      </c>
      <c r="E116" s="2" t="s">
        <v>84</v>
      </c>
      <c r="F116" s="2" t="s">
        <v>70</v>
      </c>
      <c r="G116" s="2">
        <v>243</v>
      </c>
      <c r="H116" s="1">
        <f t="shared" si="42"/>
        <v>134057.13</v>
      </c>
      <c r="I116" s="1"/>
      <c r="J116" s="1"/>
      <c r="K116" s="1">
        <f>130677.41+3379.72</f>
        <v>134057.13</v>
      </c>
      <c r="L116" s="1"/>
      <c r="M116" s="1"/>
      <c r="N116" s="1"/>
      <c r="O116" s="1">
        <v>1000</v>
      </c>
      <c r="P116" s="1"/>
      <c r="Q116" s="1"/>
      <c r="R116" s="75"/>
      <c r="S116" s="75"/>
    </row>
    <row r="117" spans="1:19" x14ac:dyDescent="0.25">
      <c r="A117" s="73"/>
      <c r="B117" s="73"/>
      <c r="C117" s="67">
        <v>176</v>
      </c>
      <c r="D117" s="67" t="s">
        <v>85</v>
      </c>
      <c r="E117" s="67" t="s">
        <v>84</v>
      </c>
      <c r="F117" s="67" t="s">
        <v>70</v>
      </c>
      <c r="G117" s="67">
        <v>414</v>
      </c>
      <c r="H117" s="1">
        <f t="shared" si="42"/>
        <v>8908.2000000000007</v>
      </c>
      <c r="I117" s="68"/>
      <c r="J117" s="68"/>
      <c r="K117" s="68">
        <v>8908.2000000000007</v>
      </c>
      <c r="L117" s="68"/>
      <c r="M117" s="68"/>
      <c r="N117" s="68"/>
      <c r="O117" s="68">
        <v>20000</v>
      </c>
      <c r="P117" s="68">
        <v>20000</v>
      </c>
      <c r="Q117" s="68">
        <v>20000</v>
      </c>
      <c r="R117" s="75"/>
      <c r="S117" s="75"/>
    </row>
    <row r="118" spans="1:19" x14ac:dyDescent="0.25">
      <c r="A118" s="73"/>
      <c r="B118" s="26" t="s">
        <v>24</v>
      </c>
      <c r="C118" s="2"/>
      <c r="D118" s="2"/>
      <c r="E118" s="2"/>
      <c r="F118" s="2"/>
      <c r="G118" s="2"/>
      <c r="H118" s="1">
        <f t="shared" si="42"/>
        <v>0</v>
      </c>
      <c r="I118" s="1"/>
      <c r="J118" s="1"/>
      <c r="K118" s="1"/>
      <c r="L118" s="1"/>
      <c r="M118" s="1"/>
      <c r="N118" s="1"/>
      <c r="O118" s="1"/>
      <c r="P118" s="1"/>
      <c r="Q118" s="1"/>
      <c r="R118" s="75"/>
      <c r="S118" s="75"/>
    </row>
    <row r="119" spans="1:19" x14ac:dyDescent="0.25">
      <c r="A119" s="73"/>
      <c r="B119" s="73" t="s">
        <v>22</v>
      </c>
      <c r="C119" s="2">
        <v>780</v>
      </c>
      <c r="D119" s="2" t="s">
        <v>85</v>
      </c>
      <c r="E119" s="2" t="s">
        <v>84</v>
      </c>
      <c r="F119" s="2" t="s">
        <v>82</v>
      </c>
      <c r="G119" s="2">
        <v>100</v>
      </c>
      <c r="H119" s="1">
        <f t="shared" si="42"/>
        <v>1590</v>
      </c>
      <c r="I119" s="1">
        <v>320</v>
      </c>
      <c r="J119" s="1">
        <v>320</v>
      </c>
      <c r="K119" s="1">
        <v>630</v>
      </c>
      <c r="L119" s="1">
        <v>320</v>
      </c>
      <c r="M119" s="1">
        <v>1600</v>
      </c>
      <c r="N119" s="1">
        <v>1600</v>
      </c>
      <c r="O119" s="1">
        <v>1600</v>
      </c>
      <c r="P119" s="1">
        <v>1600</v>
      </c>
      <c r="Q119" s="1">
        <v>1600</v>
      </c>
      <c r="R119" s="75"/>
      <c r="S119" s="75"/>
    </row>
    <row r="120" spans="1:19" x14ac:dyDescent="0.25">
      <c r="A120" s="73"/>
      <c r="B120" s="73"/>
      <c r="C120" s="2">
        <v>780</v>
      </c>
      <c r="D120" s="2" t="s">
        <v>85</v>
      </c>
      <c r="E120" s="2" t="s">
        <v>84</v>
      </c>
      <c r="F120" s="2" t="s">
        <v>82</v>
      </c>
      <c r="G120" s="2">
        <v>244</v>
      </c>
      <c r="H120" s="1">
        <f>I120+J120+K120+L120</f>
        <v>8410</v>
      </c>
      <c r="I120" s="1">
        <v>1680</v>
      </c>
      <c r="J120" s="1">
        <v>1690</v>
      </c>
      <c r="K120" s="1">
        <v>3360</v>
      </c>
      <c r="L120" s="1">
        <v>1680</v>
      </c>
      <c r="M120" s="1">
        <v>3400</v>
      </c>
      <c r="N120" s="1">
        <v>3400</v>
      </c>
      <c r="O120" s="1">
        <v>3400</v>
      </c>
      <c r="P120" s="1">
        <v>3400</v>
      </c>
      <c r="Q120" s="1">
        <v>3400</v>
      </c>
      <c r="R120" s="75"/>
      <c r="S120" s="75"/>
    </row>
    <row r="121" spans="1:19" ht="20.399999999999999" x14ac:dyDescent="0.25">
      <c r="A121" s="73"/>
      <c r="B121" s="26" t="s">
        <v>23</v>
      </c>
      <c r="C121" s="29"/>
      <c r="D121" s="29"/>
      <c r="E121" s="29"/>
      <c r="F121" s="29"/>
      <c r="G121" s="2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76"/>
      <c r="S121" s="76"/>
    </row>
    <row r="122" spans="1:19" ht="20.399999999999999" x14ac:dyDescent="0.25">
      <c r="A122" s="73" t="s">
        <v>113</v>
      </c>
      <c r="B122" s="26" t="s">
        <v>44</v>
      </c>
      <c r="C122" s="29"/>
      <c r="D122" s="29"/>
      <c r="E122" s="29"/>
      <c r="F122" s="29"/>
      <c r="G122" s="29"/>
      <c r="H122" s="1">
        <f>I122+J122+K122+L122</f>
        <v>22.6</v>
      </c>
      <c r="I122" s="1">
        <v>0</v>
      </c>
      <c r="J122" s="1">
        <v>0</v>
      </c>
      <c r="K122" s="1">
        <f>16.3+6.3</f>
        <v>22.6</v>
      </c>
      <c r="L122" s="1">
        <v>0</v>
      </c>
      <c r="M122" s="1">
        <f>16.3+0.9+11.2</f>
        <v>28.4</v>
      </c>
      <c r="N122" s="1">
        <f>16.3+2.6</f>
        <v>18.900000000000002</v>
      </c>
      <c r="O122" s="1">
        <f>16.3+15.7</f>
        <v>32</v>
      </c>
      <c r="P122" s="1">
        <f>16.3+9.1</f>
        <v>25.4</v>
      </c>
      <c r="Q122" s="1">
        <f>16.3+14.3</f>
        <v>30.6</v>
      </c>
      <c r="R122" s="73" t="s">
        <v>43</v>
      </c>
      <c r="S122" s="73" t="s">
        <v>148</v>
      </c>
    </row>
    <row r="123" spans="1:19" x14ac:dyDescent="0.25">
      <c r="A123" s="73"/>
      <c r="B123" s="26" t="s">
        <v>18</v>
      </c>
      <c r="C123" s="29"/>
      <c r="D123" s="29"/>
      <c r="E123" s="29"/>
      <c r="F123" s="29"/>
      <c r="G123" s="29"/>
      <c r="H123" s="1">
        <f>H124/H122</f>
        <v>4909.8805309734507</v>
      </c>
      <c r="I123" s="1" t="s">
        <v>19</v>
      </c>
      <c r="J123" s="1" t="s">
        <v>19</v>
      </c>
      <c r="K123" s="1" t="s">
        <v>19</v>
      </c>
      <c r="L123" s="1" t="s">
        <v>19</v>
      </c>
      <c r="M123" s="1">
        <f>M124/M122</f>
        <v>4565.140845070423</v>
      </c>
      <c r="N123" s="1">
        <f>N124/N122</f>
        <v>3613.7566137566132</v>
      </c>
      <c r="O123" s="1">
        <f>O124/O122</f>
        <v>5853.125</v>
      </c>
      <c r="P123" s="1">
        <f>P124/P122</f>
        <v>5161.4173228346463</v>
      </c>
      <c r="Q123" s="1">
        <f>Q124/Q122</f>
        <v>3809.1503267973853</v>
      </c>
      <c r="R123" s="73"/>
      <c r="S123" s="73"/>
    </row>
    <row r="124" spans="1:19" ht="20.399999999999999" x14ac:dyDescent="0.25">
      <c r="A124" s="73"/>
      <c r="B124" s="26" t="s">
        <v>76</v>
      </c>
      <c r="C124" s="29"/>
      <c r="D124" s="29"/>
      <c r="E124" s="29"/>
      <c r="F124" s="29"/>
      <c r="G124" s="29"/>
      <c r="H124" s="1">
        <f>I124+J124+K124+L124</f>
        <v>110963.3</v>
      </c>
      <c r="I124" s="1">
        <f>I125+I126+I127+I128+I129+I130</f>
        <v>0</v>
      </c>
      <c r="J124" s="1">
        <f t="shared" ref="J124:L124" si="44">J125+J126+J127+J128+J129+J130</f>
        <v>0</v>
      </c>
      <c r="K124" s="1">
        <f t="shared" si="44"/>
        <v>110963.3</v>
      </c>
      <c r="L124" s="1">
        <f t="shared" si="44"/>
        <v>0</v>
      </c>
      <c r="M124" s="1">
        <f t="shared" ref="M124:Q124" si="45">M125+M126+M127+M128+M129+M130</f>
        <v>129650</v>
      </c>
      <c r="N124" s="1">
        <f t="shared" ref="N124:O124" si="46">N125+N126+N127+N128+N129+N130</f>
        <v>68300</v>
      </c>
      <c r="O124" s="1">
        <f t="shared" si="46"/>
        <v>187300</v>
      </c>
      <c r="P124" s="1">
        <f t="shared" ref="P124" si="47">P125+P126+P127+P128+P129+P130</f>
        <v>131100</v>
      </c>
      <c r="Q124" s="1">
        <f t="shared" si="45"/>
        <v>116560</v>
      </c>
      <c r="R124" s="73"/>
      <c r="S124" s="73"/>
    </row>
    <row r="125" spans="1:19" x14ac:dyDescent="0.25">
      <c r="A125" s="73"/>
      <c r="B125" s="73" t="s">
        <v>21</v>
      </c>
      <c r="C125" s="2">
        <v>176</v>
      </c>
      <c r="D125" s="2" t="s">
        <v>85</v>
      </c>
      <c r="E125" s="2" t="s">
        <v>84</v>
      </c>
      <c r="F125" s="2" t="s">
        <v>70</v>
      </c>
      <c r="G125" s="2">
        <v>243</v>
      </c>
      <c r="H125" s="1">
        <f>I125+J125+K125+L125</f>
        <v>60213.3</v>
      </c>
      <c r="I125" s="1"/>
      <c r="J125" s="1"/>
      <c r="K125" s="1">
        <v>60213.3</v>
      </c>
      <c r="L125" s="1"/>
      <c r="M125" s="1">
        <f>70000+950</f>
        <v>70950</v>
      </c>
      <c r="N125" s="1">
        <f>16000+2300</f>
        <v>18300</v>
      </c>
      <c r="O125" s="1">
        <f>132000+5300</f>
        <v>137300</v>
      </c>
      <c r="P125" s="1">
        <f>6300+74800</f>
        <v>81100</v>
      </c>
      <c r="Q125" s="1">
        <f>63560+2000</f>
        <v>65560</v>
      </c>
      <c r="R125" s="73"/>
      <c r="S125" s="73"/>
    </row>
    <row r="126" spans="1:19" x14ac:dyDescent="0.25">
      <c r="A126" s="73"/>
      <c r="B126" s="73"/>
      <c r="C126" s="2">
        <v>176</v>
      </c>
      <c r="D126" s="2" t="s">
        <v>85</v>
      </c>
      <c r="E126" s="2" t="s">
        <v>84</v>
      </c>
      <c r="F126" s="2" t="s">
        <v>70</v>
      </c>
      <c r="G126" s="2">
        <v>244</v>
      </c>
      <c r="H126" s="1">
        <f t="shared" ref="H126:H128" si="48">I126+J126+K126+L126</f>
        <v>750</v>
      </c>
      <c r="I126" s="1"/>
      <c r="J126" s="1"/>
      <c r="K126" s="1">
        <v>750</v>
      </c>
      <c r="L126" s="1"/>
      <c r="M126" s="1">
        <v>1600</v>
      </c>
      <c r="N126" s="1"/>
      <c r="O126" s="1"/>
      <c r="P126" s="1"/>
      <c r="Q126" s="1">
        <v>1000</v>
      </c>
      <c r="R126" s="73"/>
      <c r="S126" s="73"/>
    </row>
    <row r="127" spans="1:19" x14ac:dyDescent="0.25">
      <c r="A127" s="73"/>
      <c r="B127" s="73"/>
      <c r="C127" s="2">
        <v>176</v>
      </c>
      <c r="D127" s="2" t="s">
        <v>85</v>
      </c>
      <c r="E127" s="2" t="s">
        <v>84</v>
      </c>
      <c r="F127" s="2" t="s">
        <v>70</v>
      </c>
      <c r="G127" s="2">
        <v>414</v>
      </c>
      <c r="H127" s="1">
        <f t="shared" si="48"/>
        <v>0</v>
      </c>
      <c r="I127" s="1"/>
      <c r="J127" s="1"/>
      <c r="K127" s="1"/>
      <c r="L127" s="1"/>
      <c r="M127" s="1">
        <f>7000+100</f>
        <v>7100</v>
      </c>
      <c r="N127" s="1"/>
      <c r="O127" s="1"/>
      <c r="P127" s="1"/>
      <c r="Q127" s="1"/>
      <c r="R127" s="73"/>
      <c r="S127" s="73"/>
    </row>
    <row r="128" spans="1:19" x14ac:dyDescent="0.25">
      <c r="A128" s="73"/>
      <c r="B128" s="26" t="s">
        <v>24</v>
      </c>
      <c r="C128" s="2"/>
      <c r="D128" s="2"/>
      <c r="E128" s="2"/>
      <c r="F128" s="2"/>
      <c r="G128" s="2"/>
      <c r="H128" s="1">
        <f t="shared" si="48"/>
        <v>0</v>
      </c>
      <c r="I128" s="1"/>
      <c r="J128" s="1"/>
      <c r="K128" s="1"/>
      <c r="L128" s="1"/>
      <c r="M128" s="1"/>
      <c r="N128" s="1"/>
      <c r="O128" s="1"/>
      <c r="P128" s="1"/>
      <c r="Q128" s="1"/>
      <c r="R128" s="73"/>
      <c r="S128" s="73"/>
    </row>
    <row r="129" spans="1:19" x14ac:dyDescent="0.25">
      <c r="A129" s="73"/>
      <c r="B129" s="26" t="s">
        <v>22</v>
      </c>
      <c r="C129" s="2">
        <v>780</v>
      </c>
      <c r="D129" s="2" t="s">
        <v>85</v>
      </c>
      <c r="E129" s="2" t="s">
        <v>84</v>
      </c>
      <c r="F129" s="2" t="s">
        <v>77</v>
      </c>
      <c r="G129" s="2">
        <v>244</v>
      </c>
      <c r="H129" s="1">
        <f>I129+J129+K129+L129</f>
        <v>50000</v>
      </c>
      <c r="I129" s="1"/>
      <c r="J129" s="1"/>
      <c r="K129" s="1">
        <v>50000</v>
      </c>
      <c r="L129" s="1"/>
      <c r="M129" s="1">
        <v>50000</v>
      </c>
      <c r="N129" s="1">
        <v>50000</v>
      </c>
      <c r="O129" s="1">
        <v>50000</v>
      </c>
      <c r="P129" s="1">
        <v>50000</v>
      </c>
      <c r="Q129" s="1">
        <v>50000</v>
      </c>
      <c r="R129" s="73"/>
      <c r="S129" s="73"/>
    </row>
    <row r="130" spans="1:19" ht="20.399999999999999" x14ac:dyDescent="0.25">
      <c r="A130" s="73"/>
      <c r="B130" s="26" t="s">
        <v>23</v>
      </c>
      <c r="C130" s="29"/>
      <c r="D130" s="29"/>
      <c r="E130" s="29"/>
      <c r="F130" s="29"/>
      <c r="G130" s="2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73"/>
      <c r="S130" s="73"/>
    </row>
    <row r="131" spans="1:19" ht="20.399999999999999" customHeight="1" x14ac:dyDescent="0.25">
      <c r="A131" s="74" t="s">
        <v>114</v>
      </c>
      <c r="B131" s="26" t="s">
        <v>45</v>
      </c>
      <c r="C131" s="29"/>
      <c r="D131" s="29"/>
      <c r="E131" s="29"/>
      <c r="F131" s="29"/>
      <c r="G131" s="29"/>
      <c r="H131" s="1">
        <f t="shared" ref="H131:H136" si="49">I131+J131+K131+L131</f>
        <v>6</v>
      </c>
      <c r="I131" s="1"/>
      <c r="J131" s="1"/>
      <c r="K131" s="1">
        <v>1</v>
      </c>
      <c r="L131" s="1">
        <v>5</v>
      </c>
      <c r="M131" s="1">
        <v>7</v>
      </c>
      <c r="N131" s="1">
        <v>5</v>
      </c>
      <c r="O131" s="1">
        <v>10</v>
      </c>
      <c r="P131" s="1">
        <v>28</v>
      </c>
      <c r="Q131" s="1">
        <v>27</v>
      </c>
      <c r="R131" s="74" t="s">
        <v>46</v>
      </c>
      <c r="S131" s="74" t="s">
        <v>149</v>
      </c>
    </row>
    <row r="132" spans="1:19" x14ac:dyDescent="0.25">
      <c r="A132" s="75"/>
      <c r="B132" s="26" t="s">
        <v>18</v>
      </c>
      <c r="C132" s="29"/>
      <c r="D132" s="29"/>
      <c r="E132" s="29"/>
      <c r="F132" s="29"/>
      <c r="G132" s="29"/>
      <c r="H132" s="1">
        <f>H133/H131</f>
        <v>10608.716666666667</v>
      </c>
      <c r="I132" s="1" t="s">
        <v>19</v>
      </c>
      <c r="J132" s="1" t="s">
        <v>19</v>
      </c>
      <c r="K132" s="1" t="s">
        <v>19</v>
      </c>
      <c r="L132" s="1" t="s">
        <v>19</v>
      </c>
      <c r="M132" s="1">
        <f>M133/M131</f>
        <v>13630.842857142856</v>
      </c>
      <c r="N132" s="1">
        <f>N133/N131</f>
        <v>16740.16</v>
      </c>
      <c r="O132" s="1">
        <f>O133/O131</f>
        <v>21840</v>
      </c>
      <c r="P132" s="1">
        <f>P133/P131</f>
        <v>8811.903571428571</v>
      </c>
      <c r="Q132" s="1">
        <f>Q133/Q131</f>
        <v>9114.8148148148157</v>
      </c>
      <c r="R132" s="75"/>
      <c r="S132" s="75"/>
    </row>
    <row r="133" spans="1:19" ht="20.399999999999999" x14ac:dyDescent="0.25">
      <c r="A133" s="75"/>
      <c r="B133" s="26" t="s">
        <v>76</v>
      </c>
      <c r="C133" s="29"/>
      <c r="D133" s="29"/>
      <c r="E133" s="29"/>
      <c r="F133" s="29"/>
      <c r="G133" s="29"/>
      <c r="H133" s="1">
        <f t="shared" si="49"/>
        <v>63652.3</v>
      </c>
      <c r="I133" s="1">
        <f>I134+I135+I136+I137+I138+I139</f>
        <v>0</v>
      </c>
      <c r="J133" s="1">
        <f t="shared" ref="J133:P133" si="50">J134+J135+J136+J137+J138+J139</f>
        <v>0</v>
      </c>
      <c r="K133" s="1">
        <f t="shared" si="50"/>
        <v>3936.5</v>
      </c>
      <c r="L133" s="1">
        <f>L134+L135+L136+L137+L138+L139</f>
        <v>59715.8</v>
      </c>
      <c r="M133" s="1">
        <f t="shared" si="50"/>
        <v>95415.9</v>
      </c>
      <c r="N133" s="1">
        <f t="shared" si="50"/>
        <v>83700.800000000003</v>
      </c>
      <c r="O133" s="1">
        <f t="shared" si="50"/>
        <v>218400</v>
      </c>
      <c r="P133" s="1">
        <f t="shared" si="50"/>
        <v>246733.3</v>
      </c>
      <c r="Q133" s="1">
        <f t="shared" ref="Q133" si="51">Q134+Q135+Q136+Q137+Q138+Q139</f>
        <v>246100</v>
      </c>
      <c r="R133" s="75"/>
      <c r="S133" s="75"/>
    </row>
    <row r="134" spans="1:19" x14ac:dyDescent="0.25">
      <c r="A134" s="75"/>
      <c r="B134" s="73" t="s">
        <v>21</v>
      </c>
      <c r="C134" s="2">
        <v>176</v>
      </c>
      <c r="D134" s="2" t="s">
        <v>85</v>
      </c>
      <c r="E134" s="2" t="s">
        <v>84</v>
      </c>
      <c r="F134" s="2" t="s">
        <v>70</v>
      </c>
      <c r="G134" s="2">
        <v>243</v>
      </c>
      <c r="H134" s="1">
        <f>I134+J134+K134+L134</f>
        <v>2623.7</v>
      </c>
      <c r="I134" s="1"/>
      <c r="J134" s="1"/>
      <c r="K134" s="1"/>
      <c r="L134" s="1">
        <f>1248.7+1375</f>
        <v>2623.7</v>
      </c>
      <c r="M134" s="1"/>
      <c r="N134" s="1"/>
      <c r="O134" s="1">
        <v>10000</v>
      </c>
      <c r="P134" s="1"/>
      <c r="Q134" s="1"/>
      <c r="R134" s="75"/>
      <c r="S134" s="75"/>
    </row>
    <row r="135" spans="1:19" x14ac:dyDescent="0.25">
      <c r="A135" s="75"/>
      <c r="B135" s="73"/>
      <c r="C135" s="2">
        <v>176</v>
      </c>
      <c r="D135" s="2" t="s">
        <v>85</v>
      </c>
      <c r="E135" s="2" t="s">
        <v>84</v>
      </c>
      <c r="F135" s="2" t="s">
        <v>70</v>
      </c>
      <c r="G135" s="2">
        <v>244</v>
      </c>
      <c r="H135" s="1">
        <f t="shared" si="49"/>
        <v>3093.8</v>
      </c>
      <c r="I135" s="1"/>
      <c r="J135" s="1"/>
      <c r="K135" s="1"/>
      <c r="L135" s="1">
        <v>3093.8</v>
      </c>
      <c r="M135" s="1">
        <f>5500+900</f>
        <v>6400</v>
      </c>
      <c r="N135" s="1">
        <v>11600</v>
      </c>
      <c r="O135" s="1">
        <v>35200</v>
      </c>
      <c r="P135" s="1">
        <v>21600</v>
      </c>
      <c r="Q135" s="1">
        <v>8000</v>
      </c>
      <c r="R135" s="75"/>
      <c r="S135" s="75"/>
    </row>
    <row r="136" spans="1:19" x14ac:dyDescent="0.25">
      <c r="A136" s="75"/>
      <c r="B136" s="73"/>
      <c r="C136" s="2">
        <v>176</v>
      </c>
      <c r="D136" s="2" t="s">
        <v>85</v>
      </c>
      <c r="E136" s="2" t="s">
        <v>84</v>
      </c>
      <c r="F136" s="2" t="s">
        <v>70</v>
      </c>
      <c r="G136" s="2">
        <v>414</v>
      </c>
      <c r="H136" s="1">
        <f t="shared" si="49"/>
        <v>57934.8</v>
      </c>
      <c r="I136" s="1"/>
      <c r="J136" s="1"/>
      <c r="K136" s="1">
        <v>3936.5</v>
      </c>
      <c r="L136" s="1">
        <v>53998.3</v>
      </c>
      <c r="M136" s="1">
        <f>87915.9+500+600</f>
        <v>89015.9</v>
      </c>
      <c r="N136" s="1">
        <f>71000+500.8+600</f>
        <v>72100.800000000003</v>
      </c>
      <c r="O136" s="1">
        <f>172100+500+600</f>
        <v>173200</v>
      </c>
      <c r="P136" s="1">
        <f>224033.3+500+600</f>
        <v>225133.3</v>
      </c>
      <c r="Q136" s="1">
        <f>237000+500+600</f>
        <v>238100</v>
      </c>
      <c r="R136" s="75"/>
      <c r="S136" s="75"/>
    </row>
    <row r="137" spans="1:19" x14ac:dyDescent="0.25">
      <c r="A137" s="75"/>
      <c r="B137" s="26" t="s">
        <v>24</v>
      </c>
      <c r="C137" s="2"/>
      <c r="D137" s="2"/>
      <c r="E137" s="2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5"/>
      <c r="S137" s="75"/>
    </row>
    <row r="138" spans="1:19" x14ac:dyDescent="0.25">
      <c r="A138" s="75"/>
      <c r="B138" s="26" t="s">
        <v>22</v>
      </c>
      <c r="C138" s="29"/>
      <c r="D138" s="29"/>
      <c r="E138" s="29"/>
      <c r="F138" s="29"/>
      <c r="G138" s="2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75"/>
      <c r="S138" s="75"/>
    </row>
    <row r="139" spans="1:19" ht="20.399999999999999" x14ac:dyDescent="0.25">
      <c r="A139" s="76"/>
      <c r="B139" s="26" t="s">
        <v>23</v>
      </c>
      <c r="C139" s="29"/>
      <c r="D139" s="29"/>
      <c r="E139" s="29"/>
      <c r="F139" s="29"/>
      <c r="G139" s="2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76"/>
      <c r="S139" s="76"/>
    </row>
    <row r="140" spans="1:19" ht="20.399999999999999" x14ac:dyDescent="0.25">
      <c r="A140" s="73" t="s">
        <v>115</v>
      </c>
      <c r="B140" s="26" t="s">
        <v>44</v>
      </c>
      <c r="C140" s="29"/>
      <c r="D140" s="29"/>
      <c r="E140" s="29"/>
      <c r="F140" s="29"/>
      <c r="G140" s="29"/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0.4</v>
      </c>
      <c r="N140" s="1"/>
      <c r="O140" s="1">
        <v>0.4</v>
      </c>
      <c r="P140" s="1">
        <v>0.4</v>
      </c>
      <c r="Q140" s="1"/>
      <c r="R140" s="73" t="s">
        <v>46</v>
      </c>
      <c r="S140" s="73" t="s">
        <v>150</v>
      </c>
    </row>
    <row r="141" spans="1:19" x14ac:dyDescent="0.25">
      <c r="A141" s="73"/>
      <c r="B141" s="26" t="s">
        <v>18</v>
      </c>
      <c r="C141" s="29"/>
      <c r="D141" s="29"/>
      <c r="E141" s="29"/>
      <c r="F141" s="29"/>
      <c r="G141" s="29"/>
      <c r="H141" s="1">
        <v>0</v>
      </c>
      <c r="I141" s="1" t="s">
        <v>19</v>
      </c>
      <c r="J141" s="1" t="s">
        <v>19</v>
      </c>
      <c r="K141" s="1" t="s">
        <v>19</v>
      </c>
      <c r="L141" s="1" t="s">
        <v>19</v>
      </c>
      <c r="M141" s="1">
        <f>M142/M140</f>
        <v>12250</v>
      </c>
      <c r="N141" s="1"/>
      <c r="O141" s="1">
        <f>O142/O140</f>
        <v>91250</v>
      </c>
      <c r="P141" s="1"/>
      <c r="Q141" s="1" t="e">
        <f>Q142/Q140</f>
        <v>#DIV/0!</v>
      </c>
      <c r="R141" s="73"/>
      <c r="S141" s="73"/>
    </row>
    <row r="142" spans="1:19" ht="20.399999999999999" x14ac:dyDescent="0.25">
      <c r="A142" s="73"/>
      <c r="B142" s="26" t="s">
        <v>76</v>
      </c>
      <c r="C142" s="29"/>
      <c r="D142" s="29"/>
      <c r="E142" s="29"/>
      <c r="F142" s="29"/>
      <c r="G142" s="29"/>
      <c r="H142" s="1">
        <f t="shared" ref="H142:H143" si="52">I142+J142+K142+L142</f>
        <v>368.8</v>
      </c>
      <c r="I142" s="1">
        <f>I143+I144+I145+I146+I147</f>
        <v>0</v>
      </c>
      <c r="J142" s="1">
        <f t="shared" ref="J142:M142" si="53">J143+J144+J145+J146+J147</f>
        <v>0</v>
      </c>
      <c r="K142" s="1">
        <f t="shared" si="53"/>
        <v>0</v>
      </c>
      <c r="L142" s="1">
        <f t="shared" si="53"/>
        <v>368.8</v>
      </c>
      <c r="M142" s="1">
        <f t="shared" si="53"/>
        <v>4900</v>
      </c>
      <c r="N142" s="1">
        <f>N143+N144+N145+N146+N147</f>
        <v>0</v>
      </c>
      <c r="O142" s="1">
        <f t="shared" ref="O142" si="54">O143+O144+O145+O146+O147</f>
        <v>36500</v>
      </c>
      <c r="P142" s="1">
        <f>P143+P144+P145+P146+P147</f>
        <v>35000</v>
      </c>
      <c r="Q142" s="1">
        <f t="shared" ref="Q142" si="55">Q143+Q144+Q145+Q146+Q147</f>
        <v>0</v>
      </c>
      <c r="R142" s="73"/>
      <c r="S142" s="73"/>
    </row>
    <row r="143" spans="1:19" x14ac:dyDescent="0.25">
      <c r="A143" s="73"/>
      <c r="B143" s="73" t="s">
        <v>21</v>
      </c>
      <c r="C143" s="2">
        <v>176</v>
      </c>
      <c r="D143" s="2" t="s">
        <v>85</v>
      </c>
      <c r="E143" s="2" t="s">
        <v>84</v>
      </c>
      <c r="F143" s="2" t="s">
        <v>70</v>
      </c>
      <c r="G143" s="2">
        <v>244</v>
      </c>
      <c r="H143" s="1">
        <f t="shared" si="52"/>
        <v>368.8</v>
      </c>
      <c r="I143" s="1"/>
      <c r="J143" s="1"/>
      <c r="K143" s="1"/>
      <c r="L143" s="1">
        <v>368.8</v>
      </c>
      <c r="M143" s="1">
        <v>900</v>
      </c>
      <c r="N143" s="1"/>
      <c r="O143" s="1">
        <v>1500</v>
      </c>
      <c r="P143" s="1"/>
      <c r="Q143" s="1"/>
      <c r="R143" s="73"/>
      <c r="S143" s="73"/>
    </row>
    <row r="144" spans="1:19" x14ac:dyDescent="0.25">
      <c r="A144" s="73"/>
      <c r="B144" s="73"/>
      <c r="C144" s="2">
        <v>176</v>
      </c>
      <c r="D144" s="2" t="s">
        <v>85</v>
      </c>
      <c r="E144" s="2" t="s">
        <v>84</v>
      </c>
      <c r="F144" s="2" t="s">
        <v>70</v>
      </c>
      <c r="G144" s="2">
        <v>414</v>
      </c>
      <c r="H144" s="1">
        <f>I144+J144+K144+L144</f>
        <v>0</v>
      </c>
      <c r="I144" s="1"/>
      <c r="J144" s="1"/>
      <c r="K144" s="1"/>
      <c r="L144" s="1"/>
      <c r="M144" s="1">
        <v>4000</v>
      </c>
      <c r="N144" s="1"/>
      <c r="O144" s="1">
        <v>35000</v>
      </c>
      <c r="P144" s="1">
        <v>35000</v>
      </c>
      <c r="Q144" s="1"/>
      <c r="R144" s="73"/>
      <c r="S144" s="73"/>
    </row>
    <row r="145" spans="1:19" x14ac:dyDescent="0.25">
      <c r="A145" s="73"/>
      <c r="B145" s="26" t="s">
        <v>24</v>
      </c>
      <c r="C145" s="2"/>
      <c r="D145" s="2"/>
      <c r="E145" s="2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73"/>
      <c r="S145" s="73"/>
    </row>
    <row r="146" spans="1:19" x14ac:dyDescent="0.25">
      <c r="A146" s="73"/>
      <c r="B146" s="26" t="s">
        <v>22</v>
      </c>
      <c r="C146" s="29"/>
      <c r="D146" s="29"/>
      <c r="E146" s="29"/>
      <c r="F146" s="29"/>
      <c r="G146" s="2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73"/>
      <c r="S146" s="73"/>
    </row>
    <row r="147" spans="1:19" ht="20.399999999999999" x14ac:dyDescent="0.25">
      <c r="A147" s="73"/>
      <c r="B147" s="26" t="s">
        <v>23</v>
      </c>
      <c r="C147" s="29"/>
      <c r="D147" s="29"/>
      <c r="E147" s="29"/>
      <c r="F147" s="29"/>
      <c r="G147" s="2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73"/>
      <c r="S147" s="73"/>
    </row>
    <row r="148" spans="1:19" ht="30.6" x14ac:dyDescent="0.25">
      <c r="A148" s="73" t="s">
        <v>116</v>
      </c>
      <c r="B148" s="26" t="s">
        <v>47</v>
      </c>
      <c r="C148" s="29"/>
      <c r="D148" s="29"/>
      <c r="E148" s="29"/>
      <c r="F148" s="29"/>
      <c r="G148" s="29"/>
      <c r="H148" s="1">
        <f>I148+J148+K148+L148</f>
        <v>4</v>
      </c>
      <c r="I148" s="3"/>
      <c r="J148" s="1">
        <v>1</v>
      </c>
      <c r="K148" s="1">
        <v>3</v>
      </c>
      <c r="L148" s="3"/>
      <c r="M148" s="1">
        <v>4</v>
      </c>
      <c r="N148" s="1">
        <v>4</v>
      </c>
      <c r="O148" s="1">
        <v>4</v>
      </c>
      <c r="P148" s="1">
        <v>4</v>
      </c>
      <c r="Q148" s="1">
        <v>4</v>
      </c>
      <c r="R148" s="73" t="s">
        <v>48</v>
      </c>
      <c r="S148" s="73" t="s">
        <v>164</v>
      </c>
    </row>
    <row r="149" spans="1:19" x14ac:dyDescent="0.25">
      <c r="A149" s="73"/>
      <c r="B149" s="26" t="s">
        <v>18</v>
      </c>
      <c r="C149" s="29"/>
      <c r="D149" s="29"/>
      <c r="E149" s="29"/>
      <c r="F149" s="29"/>
      <c r="G149" s="29"/>
      <c r="H149" s="1">
        <f>H150/H148</f>
        <v>987.7</v>
      </c>
      <c r="I149" s="1" t="s">
        <v>19</v>
      </c>
      <c r="J149" s="1" t="s">
        <v>19</v>
      </c>
      <c r="K149" s="1" t="s">
        <v>19</v>
      </c>
      <c r="L149" s="1" t="s">
        <v>19</v>
      </c>
      <c r="M149" s="1">
        <f>M150/M148</f>
        <v>1100.075</v>
      </c>
      <c r="N149" s="1">
        <f>N150/N148</f>
        <v>1057.825</v>
      </c>
      <c r="O149" s="1">
        <f>O150/O148</f>
        <v>2078.9749999999999</v>
      </c>
      <c r="P149" s="1">
        <f>P150/P148</f>
        <v>1100.55</v>
      </c>
      <c r="Q149" s="1">
        <f>Q150/Q148</f>
        <v>1122.575</v>
      </c>
      <c r="R149" s="73"/>
      <c r="S149" s="73"/>
    </row>
    <row r="150" spans="1:19" ht="20.399999999999999" x14ac:dyDescent="0.25">
      <c r="A150" s="73"/>
      <c r="B150" s="26" t="s">
        <v>76</v>
      </c>
      <c r="C150" s="29"/>
      <c r="D150" s="29"/>
      <c r="E150" s="29"/>
      <c r="F150" s="29"/>
      <c r="G150" s="29"/>
      <c r="H150" s="4">
        <f>H151+H152+H153</f>
        <v>3950.8</v>
      </c>
      <c r="I150" s="4">
        <f>I151+I152+I153</f>
        <v>0</v>
      </c>
      <c r="J150" s="4">
        <f t="shared" ref="J150:Q150" si="56">J151+J152+J153</f>
        <v>987.7</v>
      </c>
      <c r="K150" s="4">
        <f t="shared" si="56"/>
        <v>2963.1</v>
      </c>
      <c r="L150" s="4">
        <f t="shared" si="56"/>
        <v>0</v>
      </c>
      <c r="M150" s="4">
        <f t="shared" si="56"/>
        <v>4400.3</v>
      </c>
      <c r="N150" s="4">
        <f>N151+N152+N153</f>
        <v>4231.3</v>
      </c>
      <c r="O150" s="4">
        <f t="shared" si="56"/>
        <v>8315.9</v>
      </c>
      <c r="P150" s="4">
        <f t="shared" si="56"/>
        <v>4402.2</v>
      </c>
      <c r="Q150" s="4">
        <f t="shared" si="56"/>
        <v>4490.3</v>
      </c>
      <c r="R150" s="73"/>
      <c r="S150" s="73"/>
    </row>
    <row r="151" spans="1:19" x14ac:dyDescent="0.25">
      <c r="A151" s="73"/>
      <c r="B151" s="26" t="s">
        <v>21</v>
      </c>
      <c r="C151" s="2">
        <v>176</v>
      </c>
      <c r="D151" s="2" t="s">
        <v>85</v>
      </c>
      <c r="E151" s="2" t="s">
        <v>84</v>
      </c>
      <c r="F151" s="2" t="s">
        <v>70</v>
      </c>
      <c r="G151" s="2">
        <v>244</v>
      </c>
      <c r="H151" s="1"/>
      <c r="I151" s="1"/>
      <c r="J151" s="1"/>
      <c r="K151" s="1"/>
      <c r="L151" s="1"/>
      <c r="M151" s="1">
        <v>252</v>
      </c>
      <c r="N151" s="1"/>
      <c r="O151" s="1">
        <v>4000</v>
      </c>
      <c r="P151" s="1"/>
      <c r="Q151" s="1"/>
      <c r="R151" s="73"/>
      <c r="S151" s="73"/>
    </row>
    <row r="152" spans="1:19" x14ac:dyDescent="0.25">
      <c r="A152" s="73"/>
      <c r="B152" s="26" t="s">
        <v>22</v>
      </c>
      <c r="C152" s="29"/>
      <c r="D152" s="29"/>
      <c r="E152" s="29"/>
      <c r="F152" s="29"/>
      <c r="G152" s="2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73"/>
      <c r="S152" s="73"/>
    </row>
    <row r="153" spans="1:19" ht="20.399999999999999" x14ac:dyDescent="0.25">
      <c r="A153" s="73"/>
      <c r="B153" s="26" t="s">
        <v>23</v>
      </c>
      <c r="C153" s="29"/>
      <c r="D153" s="29"/>
      <c r="E153" s="29"/>
      <c r="F153" s="29"/>
      <c r="G153" s="29"/>
      <c r="H153" s="1">
        <f>I153+J153+K153+L153</f>
        <v>3950.8</v>
      </c>
      <c r="I153" s="4"/>
      <c r="J153" s="1">
        <v>987.7</v>
      </c>
      <c r="K153" s="1">
        <v>2963.1</v>
      </c>
      <c r="L153" s="1"/>
      <c r="M153" s="1">
        <v>4148.3</v>
      </c>
      <c r="N153" s="1">
        <v>4231.3</v>
      </c>
      <c r="O153" s="1">
        <v>4315.8999999999996</v>
      </c>
      <c r="P153" s="1">
        <v>4402.2</v>
      </c>
      <c r="Q153" s="1">
        <v>4490.3</v>
      </c>
      <c r="R153" s="73"/>
      <c r="S153" s="73"/>
    </row>
    <row r="154" spans="1:19" ht="20.399999999999999" x14ac:dyDescent="0.25">
      <c r="A154" s="73" t="s">
        <v>117</v>
      </c>
      <c r="B154" s="26" t="s">
        <v>44</v>
      </c>
      <c r="C154" s="29"/>
      <c r="D154" s="29"/>
      <c r="E154" s="29"/>
      <c r="F154" s="29"/>
      <c r="G154" s="29"/>
      <c r="H154" s="1">
        <f t="shared" ref="H154:H159" si="57">I154+J154+K154+L154</f>
        <v>15.4</v>
      </c>
      <c r="I154" s="3">
        <v>0</v>
      </c>
      <c r="J154" s="1">
        <v>7.7</v>
      </c>
      <c r="K154" s="1">
        <v>7.7</v>
      </c>
      <c r="L154" s="1">
        <v>0</v>
      </c>
      <c r="M154" s="1">
        <v>8.8000000000000007</v>
      </c>
      <c r="N154" s="1">
        <v>8.8000000000000007</v>
      </c>
      <c r="O154" s="1">
        <v>8.8000000000000007</v>
      </c>
      <c r="P154" s="1">
        <v>8.8000000000000007</v>
      </c>
      <c r="Q154" s="1">
        <v>8.8000000000000007</v>
      </c>
      <c r="R154" s="73" t="s">
        <v>49</v>
      </c>
      <c r="S154" s="73" t="s">
        <v>50</v>
      </c>
    </row>
    <row r="155" spans="1:19" x14ac:dyDescent="0.25">
      <c r="A155" s="73"/>
      <c r="B155" s="26" t="s">
        <v>18</v>
      </c>
      <c r="C155" s="29"/>
      <c r="D155" s="29"/>
      <c r="E155" s="29"/>
      <c r="F155" s="29"/>
      <c r="G155" s="29"/>
      <c r="H155" s="1">
        <f>H156/H154</f>
        <v>5194.8051948051943</v>
      </c>
      <c r="I155" s="1" t="s">
        <v>19</v>
      </c>
      <c r="J155" s="1" t="s">
        <v>19</v>
      </c>
      <c r="K155" s="1" t="s">
        <v>19</v>
      </c>
      <c r="L155" s="1" t="s">
        <v>19</v>
      </c>
      <c r="M155" s="1">
        <f>M156/M154</f>
        <v>5409.090909090909</v>
      </c>
      <c r="N155" s="1">
        <f>N156/N154</f>
        <v>5409.090909090909</v>
      </c>
      <c r="O155" s="1">
        <f>O156/O154</f>
        <v>5409.090909090909</v>
      </c>
      <c r="P155" s="1">
        <f>P156/P154</f>
        <v>5409.090909090909</v>
      </c>
      <c r="Q155" s="1">
        <f>Q156/Q154</f>
        <v>5409.090909090909</v>
      </c>
      <c r="R155" s="73"/>
      <c r="S155" s="73"/>
    </row>
    <row r="156" spans="1:19" ht="20.399999999999999" x14ac:dyDescent="0.25">
      <c r="A156" s="73"/>
      <c r="B156" s="26" t="s">
        <v>76</v>
      </c>
      <c r="C156" s="29"/>
      <c r="D156" s="29"/>
      <c r="E156" s="29"/>
      <c r="F156" s="29"/>
      <c r="G156" s="29"/>
      <c r="H156" s="1">
        <f>I156+J156+K156+L156</f>
        <v>80000</v>
      </c>
      <c r="I156" s="1">
        <f>I157+I158+I159+I160</f>
        <v>0</v>
      </c>
      <c r="J156" s="1">
        <f t="shared" ref="J156:Q156" si="58">J157+J158+J159+J160</f>
        <v>40000</v>
      </c>
      <c r="K156" s="1">
        <f t="shared" si="58"/>
        <v>40000</v>
      </c>
      <c r="L156" s="1">
        <f t="shared" si="58"/>
        <v>0</v>
      </c>
      <c r="M156" s="1">
        <f t="shared" si="58"/>
        <v>47600</v>
      </c>
      <c r="N156" s="1">
        <f t="shared" si="58"/>
        <v>47600</v>
      </c>
      <c r="O156" s="1">
        <f t="shared" si="58"/>
        <v>47600</v>
      </c>
      <c r="P156" s="1">
        <f t="shared" si="58"/>
        <v>47600</v>
      </c>
      <c r="Q156" s="1">
        <f t="shared" si="58"/>
        <v>47600</v>
      </c>
      <c r="R156" s="73"/>
      <c r="S156" s="73"/>
    </row>
    <row r="157" spans="1:19" x14ac:dyDescent="0.25">
      <c r="A157" s="73"/>
      <c r="B157" s="26" t="s">
        <v>21</v>
      </c>
      <c r="C157" s="2"/>
      <c r="D157" s="2"/>
      <c r="E157" s="2"/>
      <c r="F157" s="2"/>
      <c r="G157" s="2"/>
      <c r="H157" s="1">
        <f t="shared" si="57"/>
        <v>0</v>
      </c>
      <c r="I157" s="1"/>
      <c r="J157" s="1"/>
      <c r="K157" s="1"/>
      <c r="L157" s="1"/>
      <c r="M157" s="1"/>
      <c r="N157" s="1"/>
      <c r="O157" s="1"/>
      <c r="P157" s="1"/>
      <c r="Q157" s="1"/>
      <c r="R157" s="73"/>
      <c r="S157" s="73"/>
    </row>
    <row r="158" spans="1:19" x14ac:dyDescent="0.25">
      <c r="A158" s="73"/>
      <c r="B158" s="26" t="s">
        <v>24</v>
      </c>
      <c r="C158" s="2"/>
      <c r="D158" s="2"/>
      <c r="E158" s="2"/>
      <c r="F158" s="2"/>
      <c r="G158" s="2"/>
      <c r="H158" s="1">
        <f t="shared" si="57"/>
        <v>0</v>
      </c>
      <c r="I158" s="3"/>
      <c r="J158" s="3"/>
      <c r="K158" s="3"/>
      <c r="L158" s="3"/>
      <c r="M158" s="3"/>
      <c r="N158" s="3"/>
      <c r="O158" s="3"/>
      <c r="P158" s="3"/>
      <c r="Q158" s="3"/>
      <c r="R158" s="73"/>
      <c r="S158" s="73"/>
    </row>
    <row r="159" spans="1:19" x14ac:dyDescent="0.25">
      <c r="A159" s="73"/>
      <c r="B159" s="26" t="s">
        <v>22</v>
      </c>
      <c r="C159" s="2">
        <v>780</v>
      </c>
      <c r="D159" s="2" t="s">
        <v>85</v>
      </c>
      <c r="E159" s="2" t="s">
        <v>84</v>
      </c>
      <c r="F159" s="2" t="s">
        <v>78</v>
      </c>
      <c r="G159" s="2">
        <v>244</v>
      </c>
      <c r="H159" s="1">
        <f t="shared" si="57"/>
        <v>80000</v>
      </c>
      <c r="I159" s="1"/>
      <c r="J159" s="1">
        <v>40000</v>
      </c>
      <c r="K159" s="1">
        <v>40000</v>
      </c>
      <c r="L159" s="1"/>
      <c r="M159" s="1">
        <f>17600+30000</f>
        <v>47600</v>
      </c>
      <c r="N159" s="1">
        <f t="shared" ref="N159:Q159" si="59">17600+30000</f>
        <v>47600</v>
      </c>
      <c r="O159" s="1">
        <f t="shared" si="59"/>
        <v>47600</v>
      </c>
      <c r="P159" s="1">
        <f t="shared" si="59"/>
        <v>47600</v>
      </c>
      <c r="Q159" s="1">
        <f t="shared" si="59"/>
        <v>47600</v>
      </c>
      <c r="R159" s="73"/>
      <c r="S159" s="73"/>
    </row>
    <row r="160" spans="1:19" ht="20.399999999999999" x14ac:dyDescent="0.25">
      <c r="A160" s="73"/>
      <c r="B160" s="26" t="s">
        <v>23</v>
      </c>
      <c r="C160" s="29"/>
      <c r="D160" s="29"/>
      <c r="E160" s="29"/>
      <c r="F160" s="29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73"/>
      <c r="S160" s="73"/>
    </row>
    <row r="161" spans="1:19" ht="20.399999999999999" x14ac:dyDescent="0.25">
      <c r="A161" s="73" t="s">
        <v>118</v>
      </c>
      <c r="B161" s="26" t="s">
        <v>44</v>
      </c>
      <c r="C161" s="29"/>
      <c r="D161" s="29"/>
      <c r="E161" s="29"/>
      <c r="F161" s="29"/>
      <c r="G161" s="29"/>
      <c r="H161" s="1">
        <f>SUM(I161:L161)</f>
        <v>1000</v>
      </c>
      <c r="I161" s="1"/>
      <c r="J161" s="1"/>
      <c r="K161" s="1"/>
      <c r="L161" s="1">
        <v>1000</v>
      </c>
      <c r="M161" s="1">
        <v>2000</v>
      </c>
      <c r="N161" s="1">
        <v>5000</v>
      </c>
      <c r="O161" s="1"/>
      <c r="P161" s="1"/>
      <c r="Q161" s="1"/>
      <c r="R161" s="73" t="s">
        <v>46</v>
      </c>
      <c r="S161" s="73" t="s">
        <v>165</v>
      </c>
    </row>
    <row r="162" spans="1:19" x14ac:dyDescent="0.25">
      <c r="A162" s="73"/>
      <c r="B162" s="26" t="s">
        <v>18</v>
      </c>
      <c r="C162" s="29"/>
      <c r="D162" s="29"/>
      <c r="E162" s="29"/>
      <c r="F162" s="29"/>
      <c r="G162" s="29"/>
      <c r="H162" s="1">
        <f>H163/H161</f>
        <v>5</v>
      </c>
      <c r="I162" s="1" t="s">
        <v>19</v>
      </c>
      <c r="J162" s="1" t="s">
        <v>19</v>
      </c>
      <c r="K162" s="1" t="s">
        <v>19</v>
      </c>
      <c r="L162" s="1" t="s">
        <v>19</v>
      </c>
      <c r="M162" s="1">
        <f>M163/M161</f>
        <v>5</v>
      </c>
      <c r="N162" s="1">
        <f>N163/N161</f>
        <v>5</v>
      </c>
      <c r="O162" s="1">
        <v>0</v>
      </c>
      <c r="P162" s="1">
        <v>0</v>
      </c>
      <c r="Q162" s="1">
        <v>0</v>
      </c>
      <c r="R162" s="73"/>
      <c r="S162" s="73"/>
    </row>
    <row r="163" spans="1:19" ht="20.399999999999999" x14ac:dyDescent="0.25">
      <c r="A163" s="73"/>
      <c r="B163" s="26" t="s">
        <v>76</v>
      </c>
      <c r="C163" s="29"/>
      <c r="D163" s="29"/>
      <c r="E163" s="29"/>
      <c r="F163" s="29"/>
      <c r="G163" s="29"/>
      <c r="H163" s="1">
        <f>I163+J163+K163+L163</f>
        <v>5000</v>
      </c>
      <c r="I163" s="1">
        <f>I164+I165+I166+I167</f>
        <v>0</v>
      </c>
      <c r="J163" s="1">
        <f t="shared" ref="J163:P163" si="60">J164+J165+J166+J167</f>
        <v>0</v>
      </c>
      <c r="K163" s="1">
        <f t="shared" si="60"/>
        <v>0</v>
      </c>
      <c r="L163" s="1">
        <f t="shared" si="60"/>
        <v>5000</v>
      </c>
      <c r="M163" s="1">
        <f t="shared" si="60"/>
        <v>10000</v>
      </c>
      <c r="N163" s="1">
        <f t="shared" si="60"/>
        <v>25000</v>
      </c>
      <c r="O163" s="1">
        <f t="shared" si="60"/>
        <v>0</v>
      </c>
      <c r="P163" s="1">
        <f t="shared" si="60"/>
        <v>0</v>
      </c>
      <c r="Q163" s="1">
        <f t="shared" ref="Q163" si="61">Q164+Q165+Q166+Q167</f>
        <v>0</v>
      </c>
      <c r="R163" s="73"/>
      <c r="S163" s="73"/>
    </row>
    <row r="164" spans="1:19" x14ac:dyDescent="0.25">
      <c r="A164" s="73"/>
      <c r="B164" s="26" t="s">
        <v>21</v>
      </c>
      <c r="C164" s="2">
        <v>176</v>
      </c>
      <c r="D164" s="2" t="s">
        <v>85</v>
      </c>
      <c r="E164" s="2" t="s">
        <v>84</v>
      </c>
      <c r="F164" s="2" t="s">
        <v>70</v>
      </c>
      <c r="G164" s="2">
        <v>244</v>
      </c>
      <c r="H164" s="1">
        <f>I164+J164+K164+L164</f>
        <v>5000</v>
      </c>
      <c r="I164" s="1"/>
      <c r="J164" s="3"/>
      <c r="K164" s="3"/>
      <c r="L164" s="4">
        <v>5000</v>
      </c>
      <c r="M164" s="1">
        <v>10000</v>
      </c>
      <c r="N164" s="1">
        <v>25000</v>
      </c>
      <c r="O164" s="1"/>
      <c r="P164" s="1"/>
      <c r="Q164" s="1"/>
      <c r="R164" s="73"/>
      <c r="S164" s="73"/>
    </row>
    <row r="165" spans="1:19" x14ac:dyDescent="0.25">
      <c r="A165" s="73"/>
      <c r="B165" s="26" t="s">
        <v>24</v>
      </c>
      <c r="C165" s="2"/>
      <c r="D165" s="2"/>
      <c r="E165" s="2"/>
      <c r="F165" s="2"/>
      <c r="G165" s="2"/>
      <c r="H165" s="1">
        <f t="shared" ref="H165:H167" si="62">I165+J165+K165+L165</f>
        <v>0</v>
      </c>
      <c r="I165" s="1"/>
      <c r="J165" s="1"/>
      <c r="K165" s="1"/>
      <c r="L165" s="1"/>
      <c r="M165" s="1"/>
      <c r="N165" s="1"/>
      <c r="O165" s="1"/>
      <c r="P165" s="1"/>
      <c r="Q165" s="1"/>
      <c r="R165" s="73"/>
      <c r="S165" s="73"/>
    </row>
    <row r="166" spans="1:19" x14ac:dyDescent="0.25">
      <c r="A166" s="73"/>
      <c r="B166" s="26" t="s">
        <v>22</v>
      </c>
      <c r="C166" s="29"/>
      <c r="D166" s="29"/>
      <c r="E166" s="29"/>
      <c r="F166" s="29"/>
      <c r="G166" s="29"/>
      <c r="H166" s="1">
        <f t="shared" si="62"/>
        <v>0</v>
      </c>
      <c r="I166" s="3"/>
      <c r="J166" s="3"/>
      <c r="K166" s="3"/>
      <c r="L166" s="3"/>
      <c r="M166" s="3"/>
      <c r="N166" s="3"/>
      <c r="O166" s="3"/>
      <c r="P166" s="3"/>
      <c r="Q166" s="3"/>
      <c r="R166" s="73"/>
      <c r="S166" s="73"/>
    </row>
    <row r="167" spans="1:19" ht="20.399999999999999" x14ac:dyDescent="0.25">
      <c r="A167" s="73"/>
      <c r="B167" s="26" t="s">
        <v>23</v>
      </c>
      <c r="C167" s="29"/>
      <c r="D167" s="29"/>
      <c r="E167" s="29"/>
      <c r="F167" s="29"/>
      <c r="G167" s="29"/>
      <c r="H167" s="1">
        <f t="shared" si="62"/>
        <v>0</v>
      </c>
      <c r="I167" s="3"/>
      <c r="J167" s="3"/>
      <c r="K167" s="3"/>
      <c r="L167" s="3"/>
      <c r="M167" s="3"/>
      <c r="N167" s="3"/>
      <c r="O167" s="3"/>
      <c r="P167" s="3"/>
      <c r="Q167" s="3"/>
      <c r="R167" s="73"/>
      <c r="S167" s="73"/>
    </row>
    <row r="168" spans="1:19" ht="20.399999999999999" x14ac:dyDescent="0.25">
      <c r="A168" s="73" t="s">
        <v>119</v>
      </c>
      <c r="B168" s="26" t="s">
        <v>44</v>
      </c>
      <c r="C168" s="29"/>
      <c r="D168" s="29"/>
      <c r="E168" s="29"/>
      <c r="F168" s="29"/>
      <c r="G168" s="29"/>
      <c r="H168" s="1">
        <f>I168+J168+K168+L168</f>
        <v>3.9</v>
      </c>
      <c r="I168" s="1">
        <v>0</v>
      </c>
      <c r="J168" s="1">
        <v>0</v>
      </c>
      <c r="K168" s="1">
        <v>3.9</v>
      </c>
      <c r="L168" s="1">
        <v>0</v>
      </c>
      <c r="M168" s="1">
        <v>12.9</v>
      </c>
      <c r="N168" s="1">
        <v>5.9</v>
      </c>
      <c r="O168" s="1">
        <v>16.600000000000001</v>
      </c>
      <c r="P168" s="1">
        <v>15.3</v>
      </c>
      <c r="Q168" s="1">
        <v>14.2</v>
      </c>
      <c r="R168" s="73" t="s">
        <v>46</v>
      </c>
      <c r="S168" s="73" t="s">
        <v>151</v>
      </c>
    </row>
    <row r="169" spans="1:19" x14ac:dyDescent="0.25">
      <c r="A169" s="73"/>
      <c r="B169" s="26" t="s">
        <v>18</v>
      </c>
      <c r="C169" s="29"/>
      <c r="D169" s="29"/>
      <c r="E169" s="29"/>
      <c r="F169" s="29"/>
      <c r="G169" s="29"/>
      <c r="H169" s="1">
        <f>H170/H168</f>
        <v>5460.1282051282051</v>
      </c>
      <c r="I169" s="1" t="s">
        <v>19</v>
      </c>
      <c r="J169" s="1" t="s">
        <v>19</v>
      </c>
      <c r="K169" s="1" t="s">
        <v>19</v>
      </c>
      <c r="L169" s="1" t="s">
        <v>19</v>
      </c>
      <c r="M169" s="1">
        <f>M170/M168</f>
        <v>4259.6899224806202</v>
      </c>
      <c r="N169" s="1">
        <f>N170/N168</f>
        <v>3666.101694915254</v>
      </c>
      <c r="O169" s="1">
        <f>O170/O168</f>
        <v>3541.8915662650602</v>
      </c>
      <c r="P169" s="1">
        <f>P170/P168</f>
        <v>3104.5751633986929</v>
      </c>
      <c r="Q169" s="1">
        <f>Q170/Q168</f>
        <v>2922.535211267606</v>
      </c>
      <c r="R169" s="73"/>
      <c r="S169" s="73"/>
    </row>
    <row r="170" spans="1:19" ht="20.399999999999999" x14ac:dyDescent="0.25">
      <c r="A170" s="73"/>
      <c r="B170" s="26" t="s">
        <v>76</v>
      </c>
      <c r="C170" s="29"/>
      <c r="D170" s="29"/>
      <c r="E170" s="29"/>
      <c r="F170" s="29"/>
      <c r="G170" s="29"/>
      <c r="H170" s="1">
        <f>H171+H172+H173+H174+H175+H176</f>
        <v>21294.5</v>
      </c>
      <c r="I170" s="1">
        <f t="shared" ref="I170:P170" si="63">I171+I172+I173+I174+I175+I176</f>
        <v>0</v>
      </c>
      <c r="J170" s="1">
        <f t="shared" si="63"/>
        <v>0</v>
      </c>
      <c r="K170" s="1">
        <f t="shared" si="63"/>
        <v>12234.2</v>
      </c>
      <c r="L170" s="1">
        <f t="shared" si="63"/>
        <v>9060.2999999999993</v>
      </c>
      <c r="M170" s="1">
        <f t="shared" si="63"/>
        <v>54950</v>
      </c>
      <c r="N170" s="1">
        <f>N171+N172+N173+N174+N175+N176</f>
        <v>21630</v>
      </c>
      <c r="O170" s="1">
        <f t="shared" si="63"/>
        <v>58795.4</v>
      </c>
      <c r="P170" s="1">
        <f t="shared" si="63"/>
        <v>47500</v>
      </c>
      <c r="Q170" s="1">
        <f t="shared" ref="Q170" si="64">Q171+Q172+Q173+Q174+Q175+Q176</f>
        <v>41500</v>
      </c>
      <c r="R170" s="73"/>
      <c r="S170" s="73"/>
    </row>
    <row r="171" spans="1:19" x14ac:dyDescent="0.25">
      <c r="A171" s="73"/>
      <c r="B171" s="73" t="s">
        <v>21</v>
      </c>
      <c r="C171" s="2">
        <v>176</v>
      </c>
      <c r="D171" s="2" t="s">
        <v>85</v>
      </c>
      <c r="E171" s="2" t="s">
        <v>84</v>
      </c>
      <c r="F171" s="2" t="s">
        <v>70</v>
      </c>
      <c r="G171" s="2">
        <v>243</v>
      </c>
      <c r="H171" s="1">
        <f t="shared" ref="H171:H172" si="65">I171+J171+K171+L171</f>
        <v>21214.5</v>
      </c>
      <c r="I171" s="1"/>
      <c r="J171" s="1"/>
      <c r="K171" s="1">
        <v>12234.2</v>
      </c>
      <c r="L171" s="1">
        <v>8980.2999999999993</v>
      </c>
      <c r="M171" s="1">
        <v>50400</v>
      </c>
      <c r="N171" s="1">
        <f>700+20880</f>
        <v>21580</v>
      </c>
      <c r="O171" s="1">
        <f>54895.4+3900</f>
        <v>58795.4</v>
      </c>
      <c r="P171" s="1">
        <f>45500+2000</f>
        <v>47500</v>
      </c>
      <c r="Q171" s="1">
        <f>39500+2000</f>
        <v>41500</v>
      </c>
      <c r="R171" s="73"/>
      <c r="S171" s="73"/>
    </row>
    <row r="172" spans="1:19" x14ac:dyDescent="0.25">
      <c r="A172" s="73"/>
      <c r="B172" s="73"/>
      <c r="C172" s="2">
        <v>176</v>
      </c>
      <c r="D172" s="2" t="s">
        <v>85</v>
      </c>
      <c r="E172" s="2" t="s">
        <v>84</v>
      </c>
      <c r="F172" s="2" t="s">
        <v>70</v>
      </c>
      <c r="G172" s="2">
        <v>244</v>
      </c>
      <c r="H172" s="1">
        <f t="shared" si="65"/>
        <v>30</v>
      </c>
      <c r="I172" s="1"/>
      <c r="J172" s="1"/>
      <c r="K172" s="1"/>
      <c r="L172" s="1">
        <v>30</v>
      </c>
      <c r="M172" s="1">
        <v>200</v>
      </c>
      <c r="N172" s="1"/>
      <c r="O172" s="1"/>
      <c r="P172" s="1"/>
      <c r="Q172" s="1"/>
      <c r="R172" s="73"/>
      <c r="S172" s="73"/>
    </row>
    <row r="173" spans="1:19" x14ac:dyDescent="0.25">
      <c r="A173" s="73"/>
      <c r="B173" s="73"/>
      <c r="C173" s="2">
        <v>176</v>
      </c>
      <c r="D173" s="2" t="s">
        <v>85</v>
      </c>
      <c r="E173" s="2" t="s">
        <v>84</v>
      </c>
      <c r="F173" s="2" t="s">
        <v>70</v>
      </c>
      <c r="G173" s="2">
        <v>414</v>
      </c>
      <c r="H173" s="1">
        <f>I173+J173+K173+L173</f>
        <v>50</v>
      </c>
      <c r="I173" s="1"/>
      <c r="J173" s="1"/>
      <c r="K173" s="1"/>
      <c r="L173" s="1">
        <v>50</v>
      </c>
      <c r="M173" s="1">
        <f>50+4300</f>
        <v>4350</v>
      </c>
      <c r="N173" s="1">
        <v>50</v>
      </c>
      <c r="O173" s="1"/>
      <c r="P173" s="1"/>
      <c r="Q173" s="1"/>
      <c r="R173" s="73"/>
      <c r="S173" s="73"/>
    </row>
    <row r="174" spans="1:19" x14ac:dyDescent="0.25">
      <c r="A174" s="73"/>
      <c r="B174" s="26" t="s">
        <v>24</v>
      </c>
      <c r="C174" s="2"/>
      <c r="D174" s="2"/>
      <c r="E174" s="2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73"/>
      <c r="S174" s="73"/>
    </row>
    <row r="175" spans="1:19" x14ac:dyDescent="0.25">
      <c r="A175" s="73"/>
      <c r="B175" s="26" t="s">
        <v>22</v>
      </c>
      <c r="C175" s="29"/>
      <c r="D175" s="29"/>
      <c r="E175" s="29"/>
      <c r="F175" s="29"/>
      <c r="G175" s="2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73"/>
      <c r="S175" s="73"/>
    </row>
    <row r="176" spans="1:19" ht="20.399999999999999" x14ac:dyDescent="0.25">
      <c r="A176" s="73"/>
      <c r="B176" s="26" t="s">
        <v>23</v>
      </c>
      <c r="C176" s="29"/>
      <c r="D176" s="29"/>
      <c r="E176" s="29"/>
      <c r="F176" s="29"/>
      <c r="G176" s="2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73"/>
      <c r="S176" s="73"/>
    </row>
    <row r="177" spans="1:19" ht="20.399999999999999" x14ac:dyDescent="0.25">
      <c r="A177" s="73" t="s">
        <v>120</v>
      </c>
      <c r="B177" s="26" t="s">
        <v>44</v>
      </c>
      <c r="C177" s="29"/>
      <c r="D177" s="29"/>
      <c r="E177" s="29"/>
      <c r="F177" s="29"/>
      <c r="G177" s="29"/>
      <c r="H177" s="1">
        <f>I177+J177+K177+L177</f>
        <v>5082</v>
      </c>
      <c r="I177" s="1">
        <v>0</v>
      </c>
      <c r="J177" s="1">
        <f>2397.2+1854.2</f>
        <v>4251.3999999999996</v>
      </c>
      <c r="K177" s="1">
        <f>441.8+388.8</f>
        <v>830.6</v>
      </c>
      <c r="L177" s="1">
        <v>0</v>
      </c>
      <c r="M177" s="1">
        <f>2786+2296</f>
        <v>5082</v>
      </c>
      <c r="N177" s="1">
        <f>3281+2296</f>
        <v>5577</v>
      </c>
      <c r="O177" s="1">
        <f>3281+2296</f>
        <v>5577</v>
      </c>
      <c r="P177" s="1">
        <f>3281+2296</f>
        <v>5577</v>
      </c>
      <c r="Q177" s="1">
        <f>3281+2296</f>
        <v>5577</v>
      </c>
      <c r="R177" s="73" t="s">
        <v>51</v>
      </c>
      <c r="S177" s="73" t="s">
        <v>152</v>
      </c>
    </row>
    <row r="178" spans="1:19" x14ac:dyDescent="0.25">
      <c r="A178" s="73"/>
      <c r="B178" s="26" t="s">
        <v>18</v>
      </c>
      <c r="C178" s="29"/>
      <c r="D178" s="29"/>
      <c r="E178" s="29"/>
      <c r="F178" s="29"/>
      <c r="G178" s="29"/>
      <c r="H178" s="1">
        <f>H179/H177</f>
        <v>68.158933490751679</v>
      </c>
      <c r="I178" s="1" t="s">
        <v>19</v>
      </c>
      <c r="J178" s="1" t="s">
        <v>19</v>
      </c>
      <c r="K178" s="1" t="s">
        <v>19</v>
      </c>
      <c r="L178" s="1" t="s">
        <v>19</v>
      </c>
      <c r="M178" s="1">
        <f>M179/M177</f>
        <v>52.105627705627704</v>
      </c>
      <c r="N178" s="1">
        <f>N179/N177</f>
        <v>57.87724583109199</v>
      </c>
      <c r="O178" s="1">
        <f>O179/O177</f>
        <v>62.026985834678143</v>
      </c>
      <c r="P178" s="1">
        <f>P179/P177</f>
        <v>64.895911780527172</v>
      </c>
      <c r="Q178" s="1">
        <f>Q179/Q177</f>
        <v>67.908284023668642</v>
      </c>
      <c r="R178" s="73"/>
      <c r="S178" s="73"/>
    </row>
    <row r="179" spans="1:19" ht="20.399999999999999" x14ac:dyDescent="0.25">
      <c r="A179" s="73"/>
      <c r="B179" s="26" t="s">
        <v>76</v>
      </c>
      <c r="C179" s="29"/>
      <c r="D179" s="29"/>
      <c r="E179" s="29"/>
      <c r="F179" s="29"/>
      <c r="G179" s="29"/>
      <c r="H179" s="1">
        <f>I179+J179+K179+L179</f>
        <v>346383.7</v>
      </c>
      <c r="I179" s="1">
        <f>I180+I181+I182+I183+I184+I185+I186</f>
        <v>0</v>
      </c>
      <c r="J179" s="1">
        <f t="shared" ref="J179:P179" si="66">J180+J181+J182+J183+J184+J185+J186</f>
        <v>130000</v>
      </c>
      <c r="K179" s="1">
        <f t="shared" si="66"/>
        <v>216383.7</v>
      </c>
      <c r="L179" s="1">
        <f t="shared" si="66"/>
        <v>0</v>
      </c>
      <c r="M179" s="1">
        <f t="shared" si="66"/>
        <v>264800.8</v>
      </c>
      <c r="N179" s="1">
        <f t="shared" si="66"/>
        <v>322781.40000000002</v>
      </c>
      <c r="O179" s="1">
        <f t="shared" si="66"/>
        <v>345924.5</v>
      </c>
      <c r="P179" s="1">
        <f t="shared" si="66"/>
        <v>361924.5</v>
      </c>
      <c r="Q179" s="1">
        <f t="shared" ref="Q179" si="67">Q180+Q181+Q182+Q183+Q184+Q185+Q186</f>
        <v>378724.5</v>
      </c>
      <c r="R179" s="73"/>
      <c r="S179" s="73"/>
    </row>
    <row r="180" spans="1:19" x14ac:dyDescent="0.25">
      <c r="A180" s="73"/>
      <c r="B180" s="26" t="s">
        <v>21</v>
      </c>
      <c r="C180" s="2">
        <v>176</v>
      </c>
      <c r="D180" s="2" t="s">
        <v>85</v>
      </c>
      <c r="E180" s="2" t="s">
        <v>84</v>
      </c>
      <c r="F180" s="2" t="s">
        <v>70</v>
      </c>
      <c r="G180" s="2">
        <v>244</v>
      </c>
      <c r="H180" s="1">
        <f t="shared" ref="H180:H184" si="68">I180+J180+K180+L180</f>
        <v>320459.2</v>
      </c>
      <c r="I180" s="1"/>
      <c r="J180" s="1">
        <v>130000</v>
      </c>
      <c r="K180" s="1">
        <v>190459.2</v>
      </c>
      <c r="L180" s="1"/>
      <c r="M180" s="1">
        <v>238876.3</v>
      </c>
      <c r="N180" s="1">
        <v>296856.90000000002</v>
      </c>
      <c r="O180" s="1">
        <v>320000</v>
      </c>
      <c r="P180" s="1">
        <v>336000</v>
      </c>
      <c r="Q180" s="1">
        <v>352800</v>
      </c>
      <c r="R180" s="73"/>
      <c r="S180" s="73"/>
    </row>
    <row r="181" spans="1:19" x14ac:dyDescent="0.25">
      <c r="A181" s="73"/>
      <c r="B181" s="26" t="s">
        <v>24</v>
      </c>
      <c r="C181" s="2"/>
      <c r="D181" s="2"/>
      <c r="E181" s="2"/>
      <c r="F181" s="2"/>
      <c r="G181" s="2"/>
      <c r="H181" s="1">
        <f t="shared" si="68"/>
        <v>0</v>
      </c>
      <c r="I181" s="1"/>
      <c r="J181" s="1"/>
      <c r="K181" s="1"/>
      <c r="L181" s="1"/>
      <c r="M181" s="1"/>
      <c r="N181" s="1"/>
      <c r="O181" s="1"/>
      <c r="P181" s="1"/>
      <c r="Q181" s="1"/>
      <c r="R181" s="73"/>
      <c r="S181" s="73"/>
    </row>
    <row r="182" spans="1:19" x14ac:dyDescent="0.25">
      <c r="A182" s="73"/>
      <c r="B182" s="73" t="s">
        <v>22</v>
      </c>
      <c r="C182" s="2">
        <v>780</v>
      </c>
      <c r="D182" s="2" t="s">
        <v>85</v>
      </c>
      <c r="E182" s="2" t="s">
        <v>84</v>
      </c>
      <c r="F182" s="2" t="s">
        <v>80</v>
      </c>
      <c r="G182" s="2">
        <v>244</v>
      </c>
      <c r="H182" s="1">
        <f t="shared" si="68"/>
        <v>0</v>
      </c>
      <c r="I182" s="1"/>
      <c r="J182" s="1"/>
      <c r="K182" s="1"/>
      <c r="L182" s="1"/>
      <c r="M182" s="1">
        <v>5000</v>
      </c>
      <c r="N182" s="1">
        <v>5000</v>
      </c>
      <c r="O182" s="1">
        <v>5000</v>
      </c>
      <c r="P182" s="1">
        <v>5000</v>
      </c>
      <c r="Q182" s="1">
        <v>5000</v>
      </c>
      <c r="R182" s="73"/>
      <c r="S182" s="73"/>
    </row>
    <row r="183" spans="1:19" x14ac:dyDescent="0.25">
      <c r="A183" s="73"/>
      <c r="B183" s="73"/>
      <c r="C183" s="2">
        <v>780</v>
      </c>
      <c r="D183" s="2" t="s">
        <v>85</v>
      </c>
      <c r="E183" s="2" t="s">
        <v>84</v>
      </c>
      <c r="F183" s="2" t="s">
        <v>136</v>
      </c>
      <c r="G183" s="2">
        <v>244</v>
      </c>
      <c r="H183" s="1">
        <f t="shared" si="68"/>
        <v>10000</v>
      </c>
      <c r="I183" s="1"/>
      <c r="J183" s="1"/>
      <c r="K183" s="1">
        <v>10000</v>
      </c>
      <c r="L183" s="1"/>
      <c r="M183" s="1">
        <v>5000</v>
      </c>
      <c r="N183" s="1">
        <v>5000</v>
      </c>
      <c r="O183" s="1">
        <v>5000</v>
      </c>
      <c r="P183" s="1">
        <v>5000</v>
      </c>
      <c r="Q183" s="1">
        <v>5000</v>
      </c>
      <c r="R183" s="73"/>
      <c r="S183" s="73"/>
    </row>
    <row r="184" spans="1:19" x14ac:dyDescent="0.25">
      <c r="A184" s="73"/>
      <c r="B184" s="73"/>
      <c r="C184" s="2">
        <v>780</v>
      </c>
      <c r="D184" s="2" t="s">
        <v>85</v>
      </c>
      <c r="E184" s="2" t="s">
        <v>84</v>
      </c>
      <c r="F184" s="2" t="s">
        <v>81</v>
      </c>
      <c r="G184" s="2">
        <v>100</v>
      </c>
      <c r="H184" s="1">
        <f t="shared" si="68"/>
        <v>924.5</v>
      </c>
      <c r="I184" s="1"/>
      <c r="J184" s="1"/>
      <c r="K184" s="1">
        <v>924.5</v>
      </c>
      <c r="L184" s="1"/>
      <c r="M184" s="1">
        <v>924.5</v>
      </c>
      <c r="N184" s="1">
        <v>924.5</v>
      </c>
      <c r="O184" s="1">
        <v>924.5</v>
      </c>
      <c r="P184" s="1">
        <v>924.5</v>
      </c>
      <c r="Q184" s="1">
        <v>924.5</v>
      </c>
      <c r="R184" s="73"/>
      <c r="S184" s="73"/>
    </row>
    <row r="185" spans="1:19" x14ac:dyDescent="0.25">
      <c r="A185" s="73"/>
      <c r="B185" s="73"/>
      <c r="C185" s="2">
        <v>780</v>
      </c>
      <c r="D185" s="2" t="s">
        <v>85</v>
      </c>
      <c r="E185" s="2" t="s">
        <v>84</v>
      </c>
      <c r="F185" s="2" t="s">
        <v>81</v>
      </c>
      <c r="G185" s="2">
        <v>244</v>
      </c>
      <c r="H185" s="1">
        <f>I185+J185+K185+L185</f>
        <v>15000</v>
      </c>
      <c r="I185" s="1"/>
      <c r="J185" s="1"/>
      <c r="K185" s="1">
        <v>15000</v>
      </c>
      <c r="L185" s="1"/>
      <c r="M185" s="1">
        <v>15000</v>
      </c>
      <c r="N185" s="1">
        <v>15000</v>
      </c>
      <c r="O185" s="1">
        <v>15000</v>
      </c>
      <c r="P185" s="1">
        <v>15000</v>
      </c>
      <c r="Q185" s="1">
        <v>15000</v>
      </c>
      <c r="R185" s="73"/>
      <c r="S185" s="73"/>
    </row>
    <row r="186" spans="1:19" ht="20.399999999999999" x14ac:dyDescent="0.25">
      <c r="A186" s="73"/>
      <c r="B186" s="26" t="s">
        <v>23</v>
      </c>
      <c r="C186" s="29"/>
      <c r="D186" s="29"/>
      <c r="E186" s="29"/>
      <c r="F186" s="29"/>
      <c r="G186" s="2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73"/>
      <c r="S186" s="73"/>
    </row>
    <row r="187" spans="1:19" ht="20.399999999999999" x14ac:dyDescent="0.25">
      <c r="A187" s="73" t="s">
        <v>121</v>
      </c>
      <c r="B187" s="26" t="s">
        <v>44</v>
      </c>
      <c r="C187" s="29"/>
      <c r="D187" s="29"/>
      <c r="E187" s="29"/>
      <c r="F187" s="29"/>
      <c r="G187" s="29"/>
      <c r="H187" s="1">
        <f t="shared" ref="H187:H193" si="69">I187+J187+K187+L187</f>
        <v>6</v>
      </c>
      <c r="I187" s="3">
        <v>0</v>
      </c>
      <c r="J187" s="1">
        <v>2</v>
      </c>
      <c r="K187" s="1">
        <v>2</v>
      </c>
      <c r="L187" s="1">
        <v>2</v>
      </c>
      <c r="M187" s="1">
        <v>6</v>
      </c>
      <c r="N187" s="1">
        <v>6</v>
      </c>
      <c r="O187" s="1">
        <v>6</v>
      </c>
      <c r="P187" s="1">
        <v>6</v>
      </c>
      <c r="Q187" s="1">
        <v>6</v>
      </c>
      <c r="R187" s="73" t="s">
        <v>52</v>
      </c>
      <c r="S187" s="73" t="s">
        <v>153</v>
      </c>
    </row>
    <row r="188" spans="1:19" x14ac:dyDescent="0.25">
      <c r="A188" s="73"/>
      <c r="B188" s="26" t="s">
        <v>18</v>
      </c>
      <c r="C188" s="29"/>
      <c r="D188" s="29"/>
      <c r="E188" s="29"/>
      <c r="F188" s="29"/>
      <c r="G188" s="29"/>
      <c r="H188" s="1">
        <f>H189/H187</f>
        <v>1666.6666666666667</v>
      </c>
      <c r="I188" s="1" t="s">
        <v>19</v>
      </c>
      <c r="J188" s="1" t="s">
        <v>19</v>
      </c>
      <c r="K188" s="1" t="s">
        <v>19</v>
      </c>
      <c r="L188" s="1" t="s">
        <v>19</v>
      </c>
      <c r="M188" s="1">
        <f>M189/M187</f>
        <v>1666.6666666666667</v>
      </c>
      <c r="N188" s="1">
        <f>N189/N187</f>
        <v>1666.6666666666667</v>
      </c>
      <c r="O188" s="1">
        <f>O189/O187</f>
        <v>1666.6666666666667</v>
      </c>
      <c r="P188" s="1">
        <f>P189/P187</f>
        <v>1666.6666666666667</v>
      </c>
      <c r="Q188" s="1">
        <f>Q189/Q187</f>
        <v>1666.6666666666667</v>
      </c>
      <c r="R188" s="73"/>
      <c r="S188" s="73"/>
    </row>
    <row r="189" spans="1:19" ht="20.399999999999999" x14ac:dyDescent="0.25">
      <c r="A189" s="73"/>
      <c r="B189" s="26" t="s">
        <v>76</v>
      </c>
      <c r="C189" s="29"/>
      <c r="D189" s="29"/>
      <c r="E189" s="29"/>
      <c r="F189" s="29"/>
      <c r="G189" s="29"/>
      <c r="H189" s="1">
        <f t="shared" si="69"/>
        <v>10000</v>
      </c>
      <c r="I189" s="3">
        <f>I190+I191+I192+I193</f>
        <v>0</v>
      </c>
      <c r="J189" s="4">
        <f t="shared" ref="J189:P189" si="70">J190+J191+J192+J193</f>
        <v>3000</v>
      </c>
      <c r="K189" s="4">
        <f>K190+K191+K192+K193</f>
        <v>4000</v>
      </c>
      <c r="L189" s="4">
        <f t="shared" si="70"/>
        <v>3000</v>
      </c>
      <c r="M189" s="4">
        <f t="shared" si="70"/>
        <v>10000</v>
      </c>
      <c r="N189" s="4">
        <f t="shared" si="70"/>
        <v>10000</v>
      </c>
      <c r="O189" s="4">
        <f t="shared" si="70"/>
        <v>10000</v>
      </c>
      <c r="P189" s="4">
        <f t="shared" si="70"/>
        <v>10000</v>
      </c>
      <c r="Q189" s="4">
        <f t="shared" ref="Q189" si="71">Q190+Q191+Q192+Q193</f>
        <v>10000</v>
      </c>
      <c r="R189" s="73"/>
      <c r="S189" s="73"/>
    </row>
    <row r="190" spans="1:19" x14ac:dyDescent="0.25">
      <c r="A190" s="73"/>
      <c r="B190" s="26" t="s">
        <v>21</v>
      </c>
      <c r="C190" s="2"/>
      <c r="D190" s="2"/>
      <c r="E190" s="2"/>
      <c r="F190" s="2"/>
      <c r="G190" s="2"/>
      <c r="H190" s="1">
        <f t="shared" si="69"/>
        <v>0</v>
      </c>
      <c r="I190" s="1"/>
      <c r="J190" s="1"/>
      <c r="K190" s="1">
        <v>0</v>
      </c>
      <c r="L190" s="1"/>
      <c r="M190" s="1"/>
      <c r="N190" s="1"/>
      <c r="O190" s="1"/>
      <c r="P190" s="1"/>
      <c r="Q190" s="1"/>
      <c r="R190" s="73"/>
      <c r="S190" s="73"/>
    </row>
    <row r="191" spans="1:19" x14ac:dyDescent="0.25">
      <c r="A191" s="73"/>
      <c r="B191" s="26" t="s">
        <v>24</v>
      </c>
      <c r="C191" s="2"/>
      <c r="D191" s="2"/>
      <c r="E191" s="2"/>
      <c r="F191" s="2"/>
      <c r="G191" s="2"/>
      <c r="H191" s="1">
        <f t="shared" si="69"/>
        <v>0</v>
      </c>
      <c r="I191" s="1"/>
      <c r="J191" s="1"/>
      <c r="K191" s="1">
        <v>0</v>
      </c>
      <c r="L191" s="1"/>
      <c r="M191" s="1"/>
      <c r="N191" s="1"/>
      <c r="O191" s="1"/>
      <c r="P191" s="1"/>
      <c r="Q191" s="1"/>
      <c r="R191" s="73"/>
      <c r="S191" s="73"/>
    </row>
    <row r="192" spans="1:19" x14ac:dyDescent="0.25">
      <c r="A192" s="73"/>
      <c r="B192" s="26" t="s">
        <v>22</v>
      </c>
      <c r="C192" s="2">
        <v>780</v>
      </c>
      <c r="D192" s="2" t="s">
        <v>85</v>
      </c>
      <c r="E192" s="2" t="s">
        <v>84</v>
      </c>
      <c r="F192" s="2" t="s">
        <v>79</v>
      </c>
      <c r="G192" s="2">
        <v>244</v>
      </c>
      <c r="H192" s="1">
        <f>I192+J192+K192+L192</f>
        <v>10000</v>
      </c>
      <c r="I192" s="3"/>
      <c r="J192" s="1">
        <v>3000</v>
      </c>
      <c r="K192" s="1">
        <v>4000</v>
      </c>
      <c r="L192" s="1">
        <v>3000</v>
      </c>
      <c r="M192" s="1">
        <v>10000</v>
      </c>
      <c r="N192" s="1">
        <v>10000</v>
      </c>
      <c r="O192" s="1">
        <v>10000</v>
      </c>
      <c r="P192" s="1">
        <v>10000</v>
      </c>
      <c r="Q192" s="1">
        <v>10000</v>
      </c>
      <c r="R192" s="73"/>
      <c r="S192" s="73"/>
    </row>
    <row r="193" spans="1:19" ht="20.399999999999999" x14ac:dyDescent="0.25">
      <c r="A193" s="73"/>
      <c r="B193" s="26" t="s">
        <v>23</v>
      </c>
      <c r="C193" s="29"/>
      <c r="D193" s="29"/>
      <c r="E193" s="29"/>
      <c r="F193" s="29"/>
      <c r="G193" s="29"/>
      <c r="H193" s="1">
        <f t="shared" si="69"/>
        <v>0</v>
      </c>
      <c r="I193" s="1"/>
      <c r="J193" s="1"/>
      <c r="K193" s="1">
        <v>0</v>
      </c>
      <c r="L193" s="1"/>
      <c r="M193" s="1"/>
      <c r="N193" s="1"/>
      <c r="O193" s="1"/>
      <c r="P193" s="1"/>
      <c r="Q193" s="1"/>
      <c r="R193" s="73"/>
      <c r="S193" s="73"/>
    </row>
    <row r="194" spans="1:19" x14ac:dyDescent="0.25">
      <c r="A194" s="73" t="s">
        <v>122</v>
      </c>
      <c r="B194" s="26" t="s">
        <v>38</v>
      </c>
      <c r="C194" s="29"/>
      <c r="D194" s="29"/>
      <c r="E194" s="29"/>
      <c r="F194" s="29"/>
      <c r="G194" s="29"/>
      <c r="H194" s="1">
        <v>5</v>
      </c>
      <c r="I194" s="3"/>
      <c r="J194" s="3"/>
      <c r="K194" s="1"/>
      <c r="L194" s="1">
        <v>5</v>
      </c>
      <c r="M194" s="1">
        <v>4</v>
      </c>
      <c r="N194" s="1">
        <v>4</v>
      </c>
      <c r="O194" s="1">
        <v>3</v>
      </c>
      <c r="P194" s="1">
        <v>3</v>
      </c>
      <c r="Q194" s="1">
        <v>4</v>
      </c>
      <c r="R194" s="73" t="s">
        <v>46</v>
      </c>
      <c r="S194" s="73" t="s">
        <v>154</v>
      </c>
    </row>
    <row r="195" spans="1:19" x14ac:dyDescent="0.25">
      <c r="A195" s="73"/>
      <c r="B195" s="26" t="s">
        <v>18</v>
      </c>
      <c r="C195" s="29"/>
      <c r="D195" s="29"/>
      <c r="E195" s="29"/>
      <c r="F195" s="29"/>
      <c r="G195" s="29"/>
      <c r="H195" s="1">
        <f>H196/H194</f>
        <v>30218</v>
      </c>
      <c r="I195" s="1" t="s">
        <v>19</v>
      </c>
      <c r="J195" s="1" t="s">
        <v>19</v>
      </c>
      <c r="K195" s="1" t="s">
        <v>19</v>
      </c>
      <c r="L195" s="1" t="s">
        <v>19</v>
      </c>
      <c r="M195" s="1">
        <f>M196/M194</f>
        <v>36941.4</v>
      </c>
      <c r="N195" s="1">
        <f t="shared" ref="N195:Q195" si="72">N196/N194</f>
        <v>41718.974999999999</v>
      </c>
      <c r="O195" s="1">
        <f t="shared" si="72"/>
        <v>40392.666666666664</v>
      </c>
      <c r="P195" s="1">
        <f t="shared" si="72"/>
        <v>43354.5</v>
      </c>
      <c r="Q195" s="1">
        <f t="shared" si="72"/>
        <v>42479.574999999997</v>
      </c>
      <c r="R195" s="73"/>
      <c r="S195" s="73"/>
    </row>
    <row r="196" spans="1:19" ht="20.399999999999999" x14ac:dyDescent="0.25">
      <c r="A196" s="73"/>
      <c r="B196" s="26" t="s">
        <v>76</v>
      </c>
      <c r="C196" s="29"/>
      <c r="D196" s="29"/>
      <c r="E196" s="29"/>
      <c r="F196" s="29"/>
      <c r="G196" s="29"/>
      <c r="H196" s="39">
        <f t="shared" ref="H196:H197" si="73">I196+J196+K196+L196</f>
        <v>151090</v>
      </c>
      <c r="I196" s="3">
        <f>I197+I198+I199+I200+I201</f>
        <v>0</v>
      </c>
      <c r="J196" s="3">
        <f t="shared" ref="J196:P196" si="74">J197+J198+J199+J200+J201</f>
        <v>0</v>
      </c>
      <c r="K196" s="4">
        <f t="shared" si="74"/>
        <v>0</v>
      </c>
      <c r="L196" s="4">
        <f t="shared" si="74"/>
        <v>151090</v>
      </c>
      <c r="M196" s="4">
        <f t="shared" si="74"/>
        <v>147765.6</v>
      </c>
      <c r="N196" s="4">
        <f t="shared" si="74"/>
        <v>166875.9</v>
      </c>
      <c r="O196" s="4">
        <f t="shared" si="74"/>
        <v>121178</v>
      </c>
      <c r="P196" s="4">
        <f t="shared" si="74"/>
        <v>130063.5</v>
      </c>
      <c r="Q196" s="4">
        <f t="shared" ref="Q196" si="75">Q197+Q198+Q199+Q200+Q201</f>
        <v>169918.3</v>
      </c>
      <c r="R196" s="73"/>
      <c r="S196" s="73"/>
    </row>
    <row r="197" spans="1:19" x14ac:dyDescent="0.25">
      <c r="A197" s="73"/>
      <c r="B197" s="73" t="s">
        <v>21</v>
      </c>
      <c r="C197" s="2">
        <v>176</v>
      </c>
      <c r="D197" s="2" t="s">
        <v>85</v>
      </c>
      <c r="E197" s="2" t="s">
        <v>84</v>
      </c>
      <c r="F197" s="2" t="s">
        <v>70</v>
      </c>
      <c r="G197" s="40">
        <v>243</v>
      </c>
      <c r="H197" s="39">
        <f t="shared" si="73"/>
        <v>139490</v>
      </c>
      <c r="I197" s="39"/>
      <c r="J197" s="39"/>
      <c r="K197" s="39"/>
      <c r="L197" s="39">
        <v>139490</v>
      </c>
      <c r="M197" s="39">
        <v>136137.60000000001</v>
      </c>
      <c r="N197" s="4">
        <v>157085.29999999999</v>
      </c>
      <c r="O197" s="39">
        <v>110966.39999999999</v>
      </c>
      <c r="P197" s="4">
        <v>115848.9</v>
      </c>
      <c r="Q197" s="39">
        <v>169918.3</v>
      </c>
      <c r="R197" s="73"/>
      <c r="S197" s="73"/>
    </row>
    <row r="198" spans="1:19" x14ac:dyDescent="0.25">
      <c r="A198" s="73"/>
      <c r="B198" s="73"/>
      <c r="C198" s="2">
        <v>176</v>
      </c>
      <c r="D198" s="2" t="s">
        <v>85</v>
      </c>
      <c r="E198" s="2" t="s">
        <v>84</v>
      </c>
      <c r="F198" s="2" t="s">
        <v>70</v>
      </c>
      <c r="G198" s="40">
        <v>244</v>
      </c>
      <c r="H198" s="39">
        <f>I198+J198+K198+L198</f>
        <v>11600</v>
      </c>
      <c r="I198" s="3"/>
      <c r="J198" s="39"/>
      <c r="K198" s="39"/>
      <c r="L198" s="39">
        <f>2000+10500-900</f>
        <v>11600</v>
      </c>
      <c r="M198" s="39">
        <f>12528-900</f>
        <v>11628</v>
      </c>
      <c r="N198" s="39">
        <v>9790.6</v>
      </c>
      <c r="O198" s="39">
        <v>10211.6</v>
      </c>
      <c r="P198" s="39">
        <v>14214.6</v>
      </c>
      <c r="Q198" s="39"/>
      <c r="R198" s="73"/>
      <c r="S198" s="73"/>
    </row>
    <row r="199" spans="1:19" x14ac:dyDescent="0.25">
      <c r="A199" s="73"/>
      <c r="B199" s="26" t="s">
        <v>24</v>
      </c>
      <c r="C199" s="2"/>
      <c r="D199" s="2"/>
      <c r="E199" s="2"/>
      <c r="F199" s="2"/>
      <c r="G199" s="40"/>
      <c r="H199" s="39">
        <f t="shared" ref="H199:H201" si="76">I199+J199+K199+L199</f>
        <v>0</v>
      </c>
      <c r="I199" s="39"/>
      <c r="J199" s="39"/>
      <c r="K199" s="39"/>
      <c r="L199" s="39"/>
      <c r="M199" s="39"/>
      <c r="N199" s="39"/>
      <c r="O199" s="39"/>
      <c r="P199" s="39"/>
      <c r="Q199" s="39"/>
      <c r="R199" s="73"/>
      <c r="S199" s="73"/>
    </row>
    <row r="200" spans="1:19" x14ac:dyDescent="0.25">
      <c r="A200" s="73"/>
      <c r="B200" s="26" t="s">
        <v>22</v>
      </c>
      <c r="C200" s="29"/>
      <c r="D200" s="29"/>
      <c r="E200" s="29"/>
      <c r="F200" s="29"/>
      <c r="G200" s="29"/>
      <c r="H200" s="39">
        <f t="shared" si="76"/>
        <v>0</v>
      </c>
      <c r="I200" s="3"/>
      <c r="J200" s="3"/>
      <c r="K200" s="3"/>
      <c r="L200" s="3"/>
      <c r="M200" s="3"/>
      <c r="N200" s="3"/>
      <c r="O200" s="3"/>
      <c r="P200" s="3"/>
      <c r="Q200" s="3"/>
      <c r="R200" s="73"/>
      <c r="S200" s="73"/>
    </row>
    <row r="201" spans="1:19" ht="20.399999999999999" x14ac:dyDescent="0.25">
      <c r="A201" s="73"/>
      <c r="B201" s="26" t="s">
        <v>23</v>
      </c>
      <c r="C201" s="29"/>
      <c r="D201" s="29"/>
      <c r="E201" s="29"/>
      <c r="F201" s="29"/>
      <c r="G201" s="29"/>
      <c r="H201" s="39">
        <f t="shared" si="76"/>
        <v>0</v>
      </c>
      <c r="I201" s="3"/>
      <c r="J201" s="3"/>
      <c r="K201" s="3"/>
      <c r="L201" s="3"/>
      <c r="M201" s="3"/>
      <c r="N201" s="3"/>
      <c r="O201" s="3"/>
      <c r="P201" s="3"/>
      <c r="Q201" s="3"/>
      <c r="R201" s="73"/>
      <c r="S201" s="73"/>
    </row>
    <row r="202" spans="1:19" x14ac:dyDescent="0.25">
      <c r="A202" s="92" t="s">
        <v>102</v>
      </c>
      <c r="B202" s="27" t="s">
        <v>37</v>
      </c>
      <c r="C202" s="28"/>
      <c r="D202" s="28"/>
      <c r="E202" s="28"/>
      <c r="F202" s="28"/>
      <c r="G202" s="28"/>
      <c r="H202" s="12">
        <f>H203+H204+H205+H206</f>
        <v>971446.27000000014</v>
      </c>
      <c r="I202" s="12">
        <f t="shared" ref="I202:P202" si="77">I203+I204+I205+I206</f>
        <v>2000</v>
      </c>
      <c r="J202" s="12">
        <f t="shared" si="77"/>
        <v>177997.7</v>
      </c>
      <c r="K202" s="12">
        <f t="shared" si="77"/>
        <v>559213.67000000004</v>
      </c>
      <c r="L202" s="12">
        <f t="shared" si="77"/>
        <v>232234.90000000002</v>
      </c>
      <c r="M202" s="12">
        <f t="shared" si="77"/>
        <v>786482.6</v>
      </c>
      <c r="N202" s="12">
        <f t="shared" si="77"/>
        <v>767619.4</v>
      </c>
      <c r="O202" s="12">
        <f t="shared" si="77"/>
        <v>1076013.7999999998</v>
      </c>
      <c r="P202" s="12">
        <f t="shared" si="77"/>
        <v>1051323.5</v>
      </c>
      <c r="Q202" s="12">
        <f t="shared" ref="Q202" si="78">Q203+Q204+Q205+Q206</f>
        <v>1051893.1000000001</v>
      </c>
      <c r="R202" s="93"/>
      <c r="S202" s="93"/>
    </row>
    <row r="203" spans="1:19" x14ac:dyDescent="0.25">
      <c r="A203" s="92"/>
      <c r="B203" s="27" t="s">
        <v>56</v>
      </c>
      <c r="C203" s="28"/>
      <c r="D203" s="28"/>
      <c r="E203" s="28"/>
      <c r="F203" s="28"/>
      <c r="G203" s="28"/>
      <c r="H203" s="12">
        <f>I203+J203+K203+L203</f>
        <v>779570.97000000009</v>
      </c>
      <c r="I203" s="12">
        <f t="shared" ref="I203:Q203" si="79">I82</f>
        <v>0</v>
      </c>
      <c r="J203" s="12">
        <f t="shared" si="79"/>
        <v>130000</v>
      </c>
      <c r="K203" s="12">
        <f t="shared" si="79"/>
        <v>424336.07</v>
      </c>
      <c r="L203" s="12">
        <f t="shared" si="79"/>
        <v>225234.90000000002</v>
      </c>
      <c r="M203" s="12">
        <f t="shared" si="79"/>
        <v>631809.79999999993</v>
      </c>
      <c r="N203" s="12">
        <f t="shared" si="79"/>
        <v>612863.6</v>
      </c>
      <c r="O203" s="12">
        <f t="shared" si="79"/>
        <v>921173.4</v>
      </c>
      <c r="P203" s="12">
        <f t="shared" si="79"/>
        <v>896396.80000000005</v>
      </c>
      <c r="Q203" s="12">
        <f t="shared" si="79"/>
        <v>896878.3</v>
      </c>
      <c r="R203" s="93"/>
      <c r="S203" s="93"/>
    </row>
    <row r="204" spans="1:19" ht="20.399999999999999" x14ac:dyDescent="0.25">
      <c r="A204" s="92"/>
      <c r="B204" s="27" t="s">
        <v>86</v>
      </c>
      <c r="C204" s="28"/>
      <c r="D204" s="28"/>
      <c r="E204" s="28"/>
      <c r="F204" s="28"/>
      <c r="G204" s="28"/>
      <c r="H204" s="12">
        <f t="shared" ref="H204:H206" si="80">I204+J204+K204+L204</f>
        <v>0</v>
      </c>
      <c r="I204" s="12">
        <f t="shared" ref="I204:Q204" si="81">I83</f>
        <v>0</v>
      </c>
      <c r="J204" s="12">
        <f t="shared" si="81"/>
        <v>0</v>
      </c>
      <c r="K204" s="12">
        <f t="shared" si="81"/>
        <v>0</v>
      </c>
      <c r="L204" s="12">
        <f t="shared" si="81"/>
        <v>0</v>
      </c>
      <c r="M204" s="12">
        <f t="shared" si="81"/>
        <v>0</v>
      </c>
      <c r="N204" s="12">
        <f t="shared" si="81"/>
        <v>0</v>
      </c>
      <c r="O204" s="12">
        <f t="shared" si="81"/>
        <v>0</v>
      </c>
      <c r="P204" s="12">
        <f t="shared" si="81"/>
        <v>0</v>
      </c>
      <c r="Q204" s="12">
        <f t="shared" si="81"/>
        <v>0</v>
      </c>
      <c r="R204" s="93"/>
      <c r="S204" s="93"/>
    </row>
    <row r="205" spans="1:19" x14ac:dyDescent="0.25">
      <c r="A205" s="92"/>
      <c r="B205" s="27" t="s">
        <v>22</v>
      </c>
      <c r="C205" s="28"/>
      <c r="D205" s="28"/>
      <c r="E205" s="28"/>
      <c r="F205" s="28"/>
      <c r="G205" s="28"/>
      <c r="H205" s="12">
        <f t="shared" si="80"/>
        <v>187924.5</v>
      </c>
      <c r="I205" s="12">
        <f t="shared" ref="I205:Q205" si="82">I84</f>
        <v>2000</v>
      </c>
      <c r="J205" s="12">
        <f t="shared" si="82"/>
        <v>47010</v>
      </c>
      <c r="K205" s="12">
        <f t="shared" si="82"/>
        <v>131914.5</v>
      </c>
      <c r="L205" s="12">
        <f t="shared" si="82"/>
        <v>7000</v>
      </c>
      <c r="M205" s="12">
        <f>M84</f>
        <v>150524.5</v>
      </c>
      <c r="N205" s="12">
        <f t="shared" si="82"/>
        <v>150524.5</v>
      </c>
      <c r="O205" s="12">
        <f t="shared" si="82"/>
        <v>150524.5</v>
      </c>
      <c r="P205" s="12">
        <f t="shared" si="82"/>
        <v>150524.5</v>
      </c>
      <c r="Q205" s="12">
        <f t="shared" si="82"/>
        <v>150524.5</v>
      </c>
      <c r="R205" s="93"/>
      <c r="S205" s="93"/>
    </row>
    <row r="206" spans="1:19" ht="20.399999999999999" x14ac:dyDescent="0.25">
      <c r="A206" s="92"/>
      <c r="B206" s="27" t="s">
        <v>23</v>
      </c>
      <c r="C206" s="28"/>
      <c r="D206" s="28"/>
      <c r="E206" s="28"/>
      <c r="F206" s="28"/>
      <c r="G206" s="28"/>
      <c r="H206" s="12">
        <f t="shared" si="80"/>
        <v>3950.8</v>
      </c>
      <c r="I206" s="12">
        <f t="shared" ref="I206:Q206" si="83">I85</f>
        <v>0</v>
      </c>
      <c r="J206" s="12">
        <f t="shared" si="83"/>
        <v>987.7</v>
      </c>
      <c r="K206" s="12">
        <f t="shared" si="83"/>
        <v>2963.1</v>
      </c>
      <c r="L206" s="12">
        <f t="shared" si="83"/>
        <v>0</v>
      </c>
      <c r="M206" s="12">
        <f t="shared" si="83"/>
        <v>4148.3</v>
      </c>
      <c r="N206" s="12">
        <f t="shared" si="83"/>
        <v>4231.3</v>
      </c>
      <c r="O206" s="12">
        <f t="shared" si="83"/>
        <v>4315.8999999999996</v>
      </c>
      <c r="P206" s="12">
        <f t="shared" si="83"/>
        <v>4402.2</v>
      </c>
      <c r="Q206" s="12">
        <f t="shared" si="83"/>
        <v>4490.3</v>
      </c>
      <c r="R206" s="93"/>
      <c r="S206" s="93"/>
    </row>
    <row r="207" spans="1:19" ht="13.95" customHeight="1" x14ac:dyDescent="0.25">
      <c r="A207" s="94" t="s">
        <v>98</v>
      </c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6"/>
    </row>
    <row r="208" spans="1:19" ht="20.399999999999999" x14ac:dyDescent="0.25">
      <c r="A208" s="73" t="s">
        <v>53</v>
      </c>
      <c r="B208" s="26" t="s">
        <v>54</v>
      </c>
      <c r="C208" s="29"/>
      <c r="D208" s="29"/>
      <c r="E208" s="29"/>
      <c r="F208" s="29"/>
      <c r="G208" s="29"/>
      <c r="H208" s="2">
        <v>530</v>
      </c>
      <c r="I208" s="2">
        <v>132</v>
      </c>
      <c r="J208" s="2">
        <v>132</v>
      </c>
      <c r="K208" s="2">
        <v>133</v>
      </c>
      <c r="L208" s="2">
        <v>133</v>
      </c>
      <c r="M208" s="2">
        <v>530</v>
      </c>
      <c r="N208" s="2">
        <v>530</v>
      </c>
      <c r="O208" s="2">
        <v>530</v>
      </c>
      <c r="P208" s="2">
        <v>530</v>
      </c>
      <c r="Q208" s="2">
        <v>530</v>
      </c>
      <c r="R208" s="73" t="s">
        <v>55</v>
      </c>
      <c r="S208" s="73" t="s">
        <v>162</v>
      </c>
    </row>
    <row r="209" spans="1:19" ht="21" customHeight="1" x14ac:dyDescent="0.25">
      <c r="A209" s="73"/>
      <c r="B209" s="26" t="s">
        <v>18</v>
      </c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73"/>
      <c r="S209" s="73"/>
    </row>
    <row r="210" spans="1:19" ht="31.2" customHeight="1" x14ac:dyDescent="0.25">
      <c r="A210" s="73"/>
      <c r="B210" s="26" t="s">
        <v>76</v>
      </c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73"/>
      <c r="S210" s="73"/>
    </row>
    <row r="211" spans="1:19" ht="21" customHeight="1" x14ac:dyDescent="0.25">
      <c r="A211" s="73"/>
      <c r="B211" s="26" t="s">
        <v>21</v>
      </c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73"/>
      <c r="S211" s="73"/>
    </row>
    <row r="212" spans="1:19" x14ac:dyDescent="0.25">
      <c r="A212" s="73"/>
      <c r="B212" s="26" t="s">
        <v>24</v>
      </c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73"/>
      <c r="S212" s="73"/>
    </row>
    <row r="213" spans="1:19" ht="21" customHeight="1" x14ac:dyDescent="0.25">
      <c r="A213" s="73"/>
      <c r="B213" s="26" t="s">
        <v>22</v>
      </c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73"/>
      <c r="S213" s="73"/>
    </row>
    <row r="214" spans="1:19" ht="31.2" customHeight="1" x14ac:dyDescent="0.25">
      <c r="A214" s="73"/>
      <c r="B214" s="26" t="s">
        <v>23</v>
      </c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73"/>
      <c r="S214" s="73"/>
    </row>
    <row r="215" spans="1:19" ht="21" customHeight="1" x14ac:dyDescent="0.25">
      <c r="A215" s="73" t="s">
        <v>101</v>
      </c>
      <c r="B215" s="26" t="s">
        <v>37</v>
      </c>
      <c r="C215" s="29"/>
      <c r="D215" s="29"/>
      <c r="E215" s="29"/>
      <c r="F215" s="29"/>
      <c r="G215" s="2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97"/>
      <c r="S215" s="97"/>
    </row>
    <row r="216" spans="1:19" x14ac:dyDescent="0.25">
      <c r="A216" s="73"/>
      <c r="B216" s="26" t="s">
        <v>56</v>
      </c>
      <c r="C216" s="29"/>
      <c r="D216" s="29"/>
      <c r="E216" s="29"/>
      <c r="F216" s="29"/>
      <c r="G216" s="2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97"/>
      <c r="S216" s="97"/>
    </row>
    <row r="217" spans="1:19" x14ac:dyDescent="0.25">
      <c r="A217" s="73"/>
      <c r="B217" s="26" t="s">
        <v>24</v>
      </c>
      <c r="C217" s="29"/>
      <c r="D217" s="29"/>
      <c r="E217" s="29"/>
      <c r="F217" s="29"/>
      <c r="G217" s="2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97"/>
      <c r="S217" s="97"/>
    </row>
    <row r="218" spans="1:19" x14ac:dyDescent="0.25">
      <c r="A218" s="73"/>
      <c r="B218" s="26" t="s">
        <v>22</v>
      </c>
      <c r="C218" s="29"/>
      <c r="D218" s="29"/>
      <c r="E218" s="29"/>
      <c r="F218" s="29"/>
      <c r="G218" s="29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97"/>
      <c r="S218" s="97"/>
    </row>
    <row r="219" spans="1:19" ht="20.399999999999999" x14ac:dyDescent="0.25">
      <c r="A219" s="73"/>
      <c r="B219" s="26" t="s">
        <v>23</v>
      </c>
      <c r="C219" s="29"/>
      <c r="D219" s="29"/>
      <c r="E219" s="29"/>
      <c r="F219" s="29"/>
      <c r="G219" s="29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97"/>
      <c r="S219" s="97"/>
    </row>
    <row r="220" spans="1:19" ht="21" customHeight="1" x14ac:dyDescent="0.25">
      <c r="A220" s="73" t="s">
        <v>57</v>
      </c>
      <c r="B220" s="26" t="s">
        <v>37</v>
      </c>
      <c r="C220" s="29"/>
      <c r="D220" s="29"/>
      <c r="E220" s="29"/>
      <c r="F220" s="29"/>
      <c r="G220" s="29"/>
      <c r="H220" s="1">
        <f t="shared" ref="H220" si="84">I220+J220+K220+L220</f>
        <v>975301.52000000014</v>
      </c>
      <c r="I220" s="1">
        <f>I221+I222+I223+I224</f>
        <v>2000</v>
      </c>
      <c r="J220" s="1">
        <f t="shared" ref="J220:P220" si="85">J221+J222+J223+J224</f>
        <v>179197.7</v>
      </c>
      <c r="K220" s="1">
        <f t="shared" si="85"/>
        <v>560568.92000000004</v>
      </c>
      <c r="L220" s="1">
        <f t="shared" si="85"/>
        <v>233534.90000000002</v>
      </c>
      <c r="M220" s="1">
        <f t="shared" si="85"/>
        <v>790482.6</v>
      </c>
      <c r="N220" s="1">
        <f t="shared" si="85"/>
        <v>771619.4</v>
      </c>
      <c r="O220" s="1">
        <f t="shared" si="85"/>
        <v>1080013.7999999998</v>
      </c>
      <c r="P220" s="1">
        <f t="shared" si="85"/>
        <v>1055323.5</v>
      </c>
      <c r="Q220" s="1">
        <f t="shared" ref="Q220" si="86">Q221+Q222+Q223+Q224</f>
        <v>1055893.1000000001</v>
      </c>
      <c r="R220" s="97"/>
      <c r="S220" s="97"/>
    </row>
    <row r="221" spans="1:19" ht="21" customHeight="1" x14ac:dyDescent="0.25">
      <c r="A221" s="73"/>
      <c r="B221" s="26" t="s">
        <v>21</v>
      </c>
      <c r="C221" s="29"/>
      <c r="D221" s="29"/>
      <c r="E221" s="29"/>
      <c r="F221" s="29"/>
      <c r="G221" s="29"/>
      <c r="H221" s="1">
        <f>I221+J221+K221+L221</f>
        <v>783426.22000000009</v>
      </c>
      <c r="I221" s="1">
        <f>I216+I203+I74</f>
        <v>0</v>
      </c>
      <c r="J221" s="1">
        <f>J216+J203+J74</f>
        <v>131200</v>
      </c>
      <c r="K221" s="1">
        <f t="shared" ref="K221:Q221" si="87">K216+K203+K74</f>
        <v>425691.32</v>
      </c>
      <c r="L221" s="1">
        <f t="shared" si="87"/>
        <v>226534.90000000002</v>
      </c>
      <c r="M221" s="1">
        <f t="shared" si="87"/>
        <v>635809.79999999993</v>
      </c>
      <c r="N221" s="1">
        <f t="shared" si="87"/>
        <v>616863.6</v>
      </c>
      <c r="O221" s="1">
        <f t="shared" si="87"/>
        <v>925173.4</v>
      </c>
      <c r="P221" s="1">
        <f t="shared" si="87"/>
        <v>900396.8</v>
      </c>
      <c r="Q221" s="1">
        <f t="shared" si="87"/>
        <v>900878.3</v>
      </c>
      <c r="R221" s="97"/>
      <c r="S221" s="97"/>
    </row>
    <row r="222" spans="1:19" x14ac:dyDescent="0.25">
      <c r="A222" s="73"/>
      <c r="B222" s="26" t="s">
        <v>24</v>
      </c>
      <c r="C222" s="29"/>
      <c r="D222" s="29"/>
      <c r="E222" s="29"/>
      <c r="F222" s="29"/>
      <c r="G222" s="29"/>
      <c r="H222" s="1">
        <f>I222+J222+K222+L222</f>
        <v>0</v>
      </c>
      <c r="I222" s="1">
        <f t="shared" ref="I222:Q222" si="88">I217+I204+I75</f>
        <v>0</v>
      </c>
      <c r="J222" s="1">
        <f t="shared" si="88"/>
        <v>0</v>
      </c>
      <c r="K222" s="1">
        <f t="shared" si="88"/>
        <v>0</v>
      </c>
      <c r="L222" s="1">
        <f t="shared" si="88"/>
        <v>0</v>
      </c>
      <c r="M222" s="1">
        <f t="shared" si="88"/>
        <v>0</v>
      </c>
      <c r="N222" s="1">
        <f t="shared" si="88"/>
        <v>0</v>
      </c>
      <c r="O222" s="1">
        <f t="shared" si="88"/>
        <v>0</v>
      </c>
      <c r="P222" s="1">
        <f t="shared" si="88"/>
        <v>0</v>
      </c>
      <c r="Q222" s="1">
        <f t="shared" si="88"/>
        <v>0</v>
      </c>
      <c r="R222" s="97"/>
      <c r="S222" s="97"/>
    </row>
    <row r="223" spans="1:19" ht="21" customHeight="1" x14ac:dyDescent="0.25">
      <c r="A223" s="73"/>
      <c r="B223" s="26" t="s">
        <v>22</v>
      </c>
      <c r="C223" s="29"/>
      <c r="D223" s="29"/>
      <c r="E223" s="29"/>
      <c r="F223" s="29"/>
      <c r="G223" s="29"/>
      <c r="H223" s="1">
        <f>I223+J223+K223+L223</f>
        <v>187924.5</v>
      </c>
      <c r="I223" s="1">
        <f t="shared" ref="I223:Q223" si="89">I218+I205+I76</f>
        <v>2000</v>
      </c>
      <c r="J223" s="1">
        <f t="shared" si="89"/>
        <v>47010</v>
      </c>
      <c r="K223" s="1">
        <f t="shared" si="89"/>
        <v>131914.5</v>
      </c>
      <c r="L223" s="1">
        <f t="shared" si="89"/>
        <v>7000</v>
      </c>
      <c r="M223" s="1">
        <f t="shared" si="89"/>
        <v>150524.5</v>
      </c>
      <c r="N223" s="1">
        <f t="shared" si="89"/>
        <v>150524.5</v>
      </c>
      <c r="O223" s="1">
        <f t="shared" si="89"/>
        <v>150524.5</v>
      </c>
      <c r="P223" s="1">
        <f t="shared" si="89"/>
        <v>150524.5</v>
      </c>
      <c r="Q223" s="1">
        <f t="shared" si="89"/>
        <v>150524.5</v>
      </c>
      <c r="R223" s="97"/>
      <c r="S223" s="97"/>
    </row>
    <row r="224" spans="1:19" ht="31.2" customHeight="1" x14ac:dyDescent="0.25">
      <c r="A224" s="73"/>
      <c r="B224" s="26" t="s">
        <v>23</v>
      </c>
      <c r="C224" s="29"/>
      <c r="D224" s="29"/>
      <c r="E224" s="29"/>
      <c r="F224" s="29"/>
      <c r="G224" s="29"/>
      <c r="H224" s="1">
        <f>I224+J224+K224+L224</f>
        <v>3950.8</v>
      </c>
      <c r="I224" s="1">
        <f t="shared" ref="I224:Q224" si="90">I219+I206+I77</f>
        <v>0</v>
      </c>
      <c r="J224" s="1">
        <f t="shared" si="90"/>
        <v>987.7</v>
      </c>
      <c r="K224" s="1">
        <f t="shared" si="90"/>
        <v>2963.1</v>
      </c>
      <c r="L224" s="1">
        <f t="shared" si="90"/>
        <v>0</v>
      </c>
      <c r="M224" s="1">
        <f t="shared" si="90"/>
        <v>4148.3</v>
      </c>
      <c r="N224" s="1">
        <f>N219+N206+N77</f>
        <v>4231.3</v>
      </c>
      <c r="O224" s="1">
        <f t="shared" si="90"/>
        <v>4315.8999999999996</v>
      </c>
      <c r="P224" s="1">
        <f t="shared" si="90"/>
        <v>4402.2</v>
      </c>
      <c r="Q224" s="1">
        <f t="shared" si="90"/>
        <v>4490.3</v>
      </c>
      <c r="R224" s="97"/>
      <c r="S224" s="97"/>
    </row>
    <row r="225" spans="1:19" ht="20.399999999999999" customHeight="1" x14ac:dyDescent="0.25">
      <c r="A225" s="94" t="s">
        <v>99</v>
      </c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6"/>
    </row>
    <row r="226" spans="1:19" ht="13.95" customHeight="1" x14ac:dyDescent="0.25">
      <c r="A226" s="94" t="s">
        <v>100</v>
      </c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6"/>
    </row>
    <row r="227" spans="1:19" ht="30.6" x14ac:dyDescent="0.25">
      <c r="A227" s="73" t="s">
        <v>58</v>
      </c>
      <c r="B227" s="26" t="s">
        <v>26</v>
      </c>
      <c r="C227" s="29"/>
      <c r="D227" s="29"/>
      <c r="E227" s="29"/>
      <c r="F227" s="29"/>
      <c r="G227" s="29"/>
      <c r="H227" s="71"/>
      <c r="I227" s="53"/>
      <c r="J227" s="53"/>
      <c r="K227" s="72"/>
      <c r="L227" s="72"/>
      <c r="M227" s="53"/>
      <c r="N227" s="53"/>
      <c r="O227" s="53"/>
      <c r="P227" s="53"/>
      <c r="Q227" s="53"/>
      <c r="R227" s="73" t="s">
        <v>128</v>
      </c>
      <c r="S227" s="73" t="s">
        <v>126</v>
      </c>
    </row>
    <row r="228" spans="1:19" x14ac:dyDescent="0.25">
      <c r="A228" s="73"/>
      <c r="B228" s="26" t="s">
        <v>18</v>
      </c>
      <c r="C228" s="29"/>
      <c r="D228" s="29"/>
      <c r="E228" s="29"/>
      <c r="F228" s="29"/>
      <c r="G228" s="29"/>
      <c r="H228" s="2"/>
      <c r="I228" s="1" t="s">
        <v>19</v>
      </c>
      <c r="J228" s="1" t="s">
        <v>19</v>
      </c>
      <c r="K228" s="1" t="s">
        <v>19</v>
      </c>
      <c r="L228" s="1" t="s">
        <v>19</v>
      </c>
      <c r="M228" s="1"/>
      <c r="N228" s="1"/>
      <c r="O228" s="1"/>
      <c r="P228" s="1"/>
      <c r="Q228" s="1"/>
      <c r="R228" s="73"/>
      <c r="S228" s="73"/>
    </row>
    <row r="229" spans="1:19" ht="20.399999999999999" x14ac:dyDescent="0.25">
      <c r="A229" s="73"/>
      <c r="B229" s="26" t="s">
        <v>76</v>
      </c>
      <c r="C229" s="29"/>
      <c r="D229" s="29"/>
      <c r="E229" s="29"/>
      <c r="F229" s="29"/>
      <c r="G229" s="29"/>
      <c r="H229" s="1">
        <f>I229+J229+K229+L229</f>
        <v>4000</v>
      </c>
      <c r="I229" s="1">
        <f t="shared" ref="I229:L229" si="91">I230+I231+I232+I233</f>
        <v>0</v>
      </c>
      <c r="J229" s="1">
        <f t="shared" si="91"/>
        <v>0</v>
      </c>
      <c r="K229" s="1">
        <f t="shared" si="91"/>
        <v>4000</v>
      </c>
      <c r="L229" s="1">
        <f t="shared" si="91"/>
        <v>0</v>
      </c>
      <c r="M229" s="1">
        <f>M230+M231+M232+M233</f>
        <v>0</v>
      </c>
      <c r="N229" s="1">
        <f>N230+N231+N232+N233</f>
        <v>0</v>
      </c>
      <c r="O229" s="1">
        <f>O230+O231+O232+O233</f>
        <v>0</v>
      </c>
      <c r="P229" s="1">
        <f>P230+P231+P232+P233</f>
        <v>0</v>
      </c>
      <c r="Q229" s="1">
        <f>Q230+Q231+Q232+Q233</f>
        <v>0</v>
      </c>
      <c r="R229" s="73"/>
      <c r="S229" s="73"/>
    </row>
    <row r="230" spans="1:19" x14ac:dyDescent="0.25">
      <c r="A230" s="73"/>
      <c r="B230" s="26" t="s">
        <v>21</v>
      </c>
      <c r="C230" s="29"/>
      <c r="D230" s="29"/>
      <c r="E230" s="29"/>
      <c r="F230" s="29"/>
      <c r="G230" s="29"/>
      <c r="H230" s="1">
        <f t="shared" ref="H230:H233" si="92">I230+J230+K230+L230</f>
        <v>0</v>
      </c>
      <c r="I230" s="1">
        <f>I237+I244+I249</f>
        <v>0</v>
      </c>
      <c r="J230" s="1"/>
      <c r="K230" s="1"/>
      <c r="L230" s="1"/>
      <c r="M230" s="1"/>
      <c r="N230" s="1"/>
      <c r="O230" s="1"/>
      <c r="P230" s="1"/>
      <c r="Q230" s="1"/>
      <c r="R230" s="73"/>
      <c r="S230" s="73"/>
    </row>
    <row r="231" spans="1:19" x14ac:dyDescent="0.25">
      <c r="A231" s="73"/>
      <c r="B231" s="26" t="s">
        <v>24</v>
      </c>
      <c r="C231" s="29"/>
      <c r="D231" s="29"/>
      <c r="E231" s="29"/>
      <c r="F231" s="29"/>
      <c r="G231" s="29"/>
      <c r="H231" s="1">
        <f t="shared" si="92"/>
        <v>0</v>
      </c>
      <c r="I231" s="1"/>
      <c r="J231" s="1"/>
      <c r="K231" s="1"/>
      <c r="L231" s="1"/>
      <c r="M231" s="1"/>
      <c r="N231" s="1"/>
      <c r="O231" s="1"/>
      <c r="P231" s="1"/>
      <c r="Q231" s="1"/>
      <c r="R231" s="73"/>
      <c r="S231" s="73"/>
    </row>
    <row r="232" spans="1:19" x14ac:dyDescent="0.25">
      <c r="A232" s="73"/>
      <c r="B232" s="26" t="s">
        <v>22</v>
      </c>
      <c r="C232" s="29"/>
      <c r="D232" s="29"/>
      <c r="E232" s="29"/>
      <c r="F232" s="29"/>
      <c r="G232" s="29"/>
      <c r="H232" s="1">
        <f t="shared" si="92"/>
        <v>0</v>
      </c>
      <c r="I232" s="1"/>
      <c r="J232" s="1"/>
      <c r="K232" s="1"/>
      <c r="L232" s="1"/>
      <c r="M232" s="1"/>
      <c r="N232" s="1"/>
      <c r="O232" s="1"/>
      <c r="P232" s="1"/>
      <c r="Q232" s="1"/>
      <c r="R232" s="73"/>
      <c r="S232" s="73"/>
    </row>
    <row r="233" spans="1:19" ht="49.2" customHeight="1" x14ac:dyDescent="0.25">
      <c r="A233" s="73"/>
      <c r="B233" s="26" t="s">
        <v>23</v>
      </c>
      <c r="C233" s="29"/>
      <c r="D233" s="29"/>
      <c r="E233" s="29"/>
      <c r="F233" s="29"/>
      <c r="G233" s="29"/>
      <c r="H233" s="1">
        <f t="shared" si="92"/>
        <v>4000</v>
      </c>
      <c r="I233" s="1">
        <f>I240+I247</f>
        <v>0</v>
      </c>
      <c r="J233" s="1">
        <f t="shared" ref="J233:P233" si="93">J240+J247</f>
        <v>0</v>
      </c>
      <c r="K233" s="1">
        <f t="shared" si="93"/>
        <v>4000</v>
      </c>
      <c r="L233" s="1">
        <f t="shared" si="93"/>
        <v>0</v>
      </c>
      <c r="M233" s="1">
        <f t="shared" si="93"/>
        <v>0</v>
      </c>
      <c r="N233" s="1">
        <f t="shared" si="93"/>
        <v>0</v>
      </c>
      <c r="O233" s="1">
        <f t="shared" si="93"/>
        <v>0</v>
      </c>
      <c r="P233" s="1">
        <f t="shared" si="93"/>
        <v>0</v>
      </c>
      <c r="Q233" s="1">
        <f t="shared" ref="Q233" si="94">Q240+Q247</f>
        <v>0</v>
      </c>
      <c r="R233" s="73"/>
      <c r="S233" s="73"/>
    </row>
    <row r="234" spans="1:19" ht="20.399999999999999" x14ac:dyDescent="0.25">
      <c r="A234" s="73" t="s">
        <v>59</v>
      </c>
      <c r="B234" s="26" t="s">
        <v>60</v>
      </c>
      <c r="C234" s="29"/>
      <c r="D234" s="29"/>
      <c r="E234" s="29"/>
      <c r="F234" s="29"/>
      <c r="G234" s="29"/>
      <c r="H234" s="2">
        <v>1</v>
      </c>
      <c r="I234" s="3"/>
      <c r="J234" s="3"/>
      <c r="K234" s="4">
        <v>1</v>
      </c>
      <c r="L234" s="3"/>
      <c r="M234" s="1"/>
      <c r="N234" s="1"/>
      <c r="O234" s="1"/>
      <c r="P234" s="1"/>
      <c r="Q234" s="1"/>
      <c r="R234" s="73" t="s">
        <v>109</v>
      </c>
      <c r="S234" s="73" t="s">
        <v>133</v>
      </c>
    </row>
    <row r="235" spans="1:19" x14ac:dyDescent="0.25">
      <c r="A235" s="73"/>
      <c r="B235" s="26" t="s">
        <v>18</v>
      </c>
      <c r="C235" s="29"/>
      <c r="D235" s="29"/>
      <c r="E235" s="29"/>
      <c r="F235" s="29"/>
      <c r="G235" s="29"/>
      <c r="H235" s="2">
        <v>4000</v>
      </c>
      <c r="I235" s="1" t="s">
        <v>19</v>
      </c>
      <c r="J235" s="1" t="s">
        <v>19</v>
      </c>
      <c r="K235" s="1" t="s">
        <v>19</v>
      </c>
      <c r="L235" s="1" t="s">
        <v>19</v>
      </c>
      <c r="M235" s="1"/>
      <c r="N235" s="1"/>
      <c r="O235" s="1"/>
      <c r="P235" s="1"/>
      <c r="Q235" s="1"/>
      <c r="R235" s="73"/>
      <c r="S235" s="73"/>
    </row>
    <row r="236" spans="1:19" ht="20.399999999999999" x14ac:dyDescent="0.25">
      <c r="A236" s="73"/>
      <c r="B236" s="26" t="s">
        <v>76</v>
      </c>
      <c r="C236" s="29"/>
      <c r="D236" s="29"/>
      <c r="E236" s="29"/>
      <c r="F236" s="29"/>
      <c r="G236" s="29"/>
      <c r="H236" s="1">
        <f t="shared" ref="H236:L236" si="95">H237+H238+H239+H240</f>
        <v>4000</v>
      </c>
      <c r="I236" s="1">
        <f t="shared" si="95"/>
        <v>0</v>
      </c>
      <c r="J236" s="1">
        <f t="shared" si="95"/>
        <v>0</v>
      </c>
      <c r="K236" s="1">
        <f t="shared" si="95"/>
        <v>4000</v>
      </c>
      <c r="L236" s="1">
        <f t="shared" si="95"/>
        <v>0</v>
      </c>
      <c r="M236" s="1">
        <f>M237+M238+M239+M240</f>
        <v>0</v>
      </c>
      <c r="N236" s="1">
        <f>N237+N238+N239+N240</f>
        <v>0</v>
      </c>
      <c r="O236" s="1">
        <f>O237+O238+O239+O240</f>
        <v>0</v>
      </c>
      <c r="P236" s="1">
        <f>P237+P238+P239+P240</f>
        <v>0</v>
      </c>
      <c r="Q236" s="1">
        <f>Q237+Q238+Q239+Q240</f>
        <v>0</v>
      </c>
      <c r="R236" s="73"/>
      <c r="S236" s="73"/>
    </row>
    <row r="237" spans="1:19" x14ac:dyDescent="0.25">
      <c r="A237" s="73"/>
      <c r="B237" s="26" t="s">
        <v>21</v>
      </c>
      <c r="C237" s="29"/>
      <c r="D237" s="29"/>
      <c r="E237" s="29"/>
      <c r="F237" s="29"/>
      <c r="G237" s="29"/>
      <c r="H237" s="1">
        <f>I237+J237+K237+L237</f>
        <v>0</v>
      </c>
      <c r="I237" s="1"/>
      <c r="J237" s="1"/>
      <c r="K237" s="1"/>
      <c r="L237" s="1"/>
      <c r="M237" s="1"/>
      <c r="N237" s="1"/>
      <c r="O237" s="1"/>
      <c r="P237" s="1"/>
      <c r="Q237" s="1"/>
      <c r="R237" s="73"/>
      <c r="S237" s="73"/>
    </row>
    <row r="238" spans="1:19" x14ac:dyDescent="0.25">
      <c r="A238" s="73"/>
      <c r="B238" s="26" t="s">
        <v>24</v>
      </c>
      <c r="C238" s="29"/>
      <c r="D238" s="29"/>
      <c r="E238" s="29"/>
      <c r="F238" s="29"/>
      <c r="G238" s="29"/>
      <c r="H238" s="1">
        <f t="shared" ref="H238:H240" si="96">I238+J238+K238+L238</f>
        <v>0</v>
      </c>
      <c r="I238" s="1"/>
      <c r="J238" s="1"/>
      <c r="K238" s="1"/>
      <c r="L238" s="1"/>
      <c r="M238" s="1"/>
      <c r="N238" s="1"/>
      <c r="O238" s="1"/>
      <c r="P238" s="1"/>
      <c r="Q238" s="1"/>
      <c r="R238" s="73"/>
      <c r="S238" s="73"/>
    </row>
    <row r="239" spans="1:19" x14ac:dyDescent="0.25">
      <c r="A239" s="73"/>
      <c r="B239" s="26" t="s">
        <v>22</v>
      </c>
      <c r="C239" s="29"/>
      <c r="D239" s="29"/>
      <c r="E239" s="29"/>
      <c r="F239" s="29"/>
      <c r="G239" s="29"/>
      <c r="H239" s="1">
        <f t="shared" si="96"/>
        <v>0</v>
      </c>
      <c r="I239" s="1"/>
      <c r="J239" s="1"/>
      <c r="K239" s="1"/>
      <c r="L239" s="1"/>
      <c r="M239" s="1"/>
      <c r="N239" s="1"/>
      <c r="O239" s="1"/>
      <c r="P239" s="1"/>
      <c r="Q239" s="1"/>
      <c r="R239" s="73"/>
      <c r="S239" s="73"/>
    </row>
    <row r="240" spans="1:19" ht="20.399999999999999" x14ac:dyDescent="0.25">
      <c r="A240" s="73"/>
      <c r="B240" s="26" t="s">
        <v>23</v>
      </c>
      <c r="C240" s="29"/>
      <c r="D240" s="29"/>
      <c r="E240" s="29"/>
      <c r="F240" s="29"/>
      <c r="G240" s="29"/>
      <c r="H240" s="1">
        <f t="shared" si="96"/>
        <v>4000</v>
      </c>
      <c r="I240" s="1"/>
      <c r="J240" s="1"/>
      <c r="K240" s="1">
        <v>4000</v>
      </c>
      <c r="L240" s="1"/>
      <c r="M240" s="1">
        <v>0</v>
      </c>
      <c r="N240" s="1"/>
      <c r="O240" s="1"/>
      <c r="P240" s="1"/>
      <c r="Q240" s="1"/>
      <c r="R240" s="73"/>
      <c r="S240" s="73"/>
    </row>
    <row r="241" spans="1:19" ht="20.399999999999999" x14ac:dyDescent="0.25">
      <c r="A241" s="73" t="s">
        <v>61</v>
      </c>
      <c r="B241" s="26" t="s">
        <v>62</v>
      </c>
      <c r="C241" s="2"/>
      <c r="D241" s="2"/>
      <c r="E241" s="2"/>
      <c r="F241" s="2"/>
      <c r="G241" s="2"/>
      <c r="H241" s="2">
        <v>2</v>
      </c>
      <c r="I241" s="1">
        <v>0</v>
      </c>
      <c r="J241" s="1">
        <v>1</v>
      </c>
      <c r="K241" s="1">
        <v>0</v>
      </c>
      <c r="L241" s="1">
        <v>1</v>
      </c>
      <c r="M241" s="1">
        <v>2</v>
      </c>
      <c r="N241" s="1">
        <v>2</v>
      </c>
      <c r="O241" s="1">
        <v>2</v>
      </c>
      <c r="P241" s="1">
        <v>2</v>
      </c>
      <c r="Q241" s="1">
        <v>2</v>
      </c>
      <c r="R241" s="73" t="s">
        <v>63</v>
      </c>
      <c r="S241" s="73" t="s">
        <v>134</v>
      </c>
    </row>
    <row r="242" spans="1:19" ht="21" customHeight="1" x14ac:dyDescent="0.25">
      <c r="A242" s="73"/>
      <c r="B242" s="26" t="s">
        <v>18</v>
      </c>
      <c r="C242" s="2"/>
      <c r="D242" s="2"/>
      <c r="E242" s="2"/>
      <c r="F242" s="2"/>
      <c r="G242" s="2"/>
      <c r="H242" s="2"/>
      <c r="I242" s="1" t="s">
        <v>64</v>
      </c>
      <c r="J242" s="1" t="s">
        <v>64</v>
      </c>
      <c r="K242" s="1" t="s">
        <v>64</v>
      </c>
      <c r="L242" s="1" t="s">
        <v>64</v>
      </c>
      <c r="M242" s="1"/>
      <c r="N242" s="1"/>
      <c r="O242" s="1"/>
      <c r="P242" s="1"/>
      <c r="Q242" s="1"/>
      <c r="R242" s="73"/>
      <c r="S242" s="73"/>
    </row>
    <row r="243" spans="1:19" ht="20.399999999999999" x14ac:dyDescent="0.25">
      <c r="A243" s="73"/>
      <c r="B243" s="26" t="s">
        <v>76</v>
      </c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73"/>
      <c r="S243" s="73"/>
    </row>
    <row r="244" spans="1:19" x14ac:dyDescent="0.25">
      <c r="A244" s="73"/>
      <c r="B244" s="26" t="s">
        <v>21</v>
      </c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73"/>
      <c r="S244" s="73"/>
    </row>
    <row r="245" spans="1:19" x14ac:dyDescent="0.25">
      <c r="A245" s="73"/>
      <c r="B245" s="26" t="s">
        <v>24</v>
      </c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73"/>
      <c r="S245" s="73"/>
    </row>
    <row r="246" spans="1:19" x14ac:dyDescent="0.25">
      <c r="A246" s="73"/>
      <c r="B246" s="26" t="s">
        <v>22</v>
      </c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73"/>
      <c r="S246" s="73"/>
    </row>
    <row r="247" spans="1:19" ht="20.399999999999999" x14ac:dyDescent="0.25">
      <c r="A247" s="73"/>
      <c r="B247" s="26" t="s">
        <v>23</v>
      </c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73"/>
      <c r="S247" s="73"/>
    </row>
    <row r="248" spans="1:19" x14ac:dyDescent="0.25">
      <c r="A248" s="73" t="s">
        <v>104</v>
      </c>
      <c r="B248" s="26" t="s">
        <v>37</v>
      </c>
      <c r="C248" s="29"/>
      <c r="D248" s="29"/>
      <c r="E248" s="29"/>
      <c r="F248" s="29"/>
      <c r="G248" s="29"/>
      <c r="H248" s="1">
        <f t="shared" ref="H248:H251" si="97">I248+J248+K248+L248</f>
        <v>4000</v>
      </c>
      <c r="I248" s="1">
        <f>I249+I250+I251+I252</f>
        <v>0</v>
      </c>
      <c r="J248" s="1">
        <f t="shared" ref="J248:P248" si="98">J249+J250+J251+J252</f>
        <v>0</v>
      </c>
      <c r="K248" s="1">
        <f t="shared" si="98"/>
        <v>4000</v>
      </c>
      <c r="L248" s="1">
        <f t="shared" si="98"/>
        <v>0</v>
      </c>
      <c r="M248" s="1">
        <f t="shared" si="98"/>
        <v>0</v>
      </c>
      <c r="N248" s="1">
        <f t="shared" si="98"/>
        <v>0</v>
      </c>
      <c r="O248" s="1">
        <f t="shared" si="98"/>
        <v>0</v>
      </c>
      <c r="P248" s="1">
        <f t="shared" si="98"/>
        <v>0</v>
      </c>
      <c r="Q248" s="1">
        <f t="shared" ref="Q248" si="99">Q249+Q250+Q251+Q252</f>
        <v>0</v>
      </c>
      <c r="R248" s="98"/>
      <c r="S248" s="98"/>
    </row>
    <row r="249" spans="1:19" x14ac:dyDescent="0.25">
      <c r="A249" s="73"/>
      <c r="B249" s="26" t="s">
        <v>56</v>
      </c>
      <c r="C249" s="29"/>
      <c r="D249" s="29"/>
      <c r="E249" s="29"/>
      <c r="F249" s="29"/>
      <c r="G249" s="29"/>
      <c r="H249" s="1">
        <f t="shared" si="97"/>
        <v>0</v>
      </c>
      <c r="I249" s="1"/>
      <c r="J249" s="1"/>
      <c r="K249" s="1"/>
      <c r="L249" s="1"/>
      <c r="M249" s="1"/>
      <c r="N249" s="1"/>
      <c r="O249" s="1"/>
      <c r="P249" s="1"/>
      <c r="Q249" s="1"/>
      <c r="R249" s="98"/>
      <c r="S249" s="98"/>
    </row>
    <row r="250" spans="1:19" x14ac:dyDescent="0.25">
      <c r="A250" s="73"/>
      <c r="B250" s="26" t="s">
        <v>24</v>
      </c>
      <c r="C250" s="29"/>
      <c r="D250" s="29"/>
      <c r="E250" s="29"/>
      <c r="F250" s="29"/>
      <c r="G250" s="29"/>
      <c r="H250" s="1">
        <f t="shared" si="97"/>
        <v>0</v>
      </c>
      <c r="I250" s="1"/>
      <c r="J250" s="1"/>
      <c r="K250" s="1"/>
      <c r="L250" s="1"/>
      <c r="M250" s="1"/>
      <c r="N250" s="1"/>
      <c r="O250" s="1"/>
      <c r="P250" s="1"/>
      <c r="Q250" s="1"/>
      <c r="R250" s="98"/>
      <c r="S250" s="98"/>
    </row>
    <row r="251" spans="1:19" x14ac:dyDescent="0.25">
      <c r="A251" s="73"/>
      <c r="B251" s="26" t="s">
        <v>22</v>
      </c>
      <c r="C251" s="29"/>
      <c r="D251" s="29"/>
      <c r="E251" s="29"/>
      <c r="F251" s="29"/>
      <c r="G251" s="29"/>
      <c r="H251" s="1">
        <f t="shared" si="97"/>
        <v>0</v>
      </c>
      <c r="I251" s="1"/>
      <c r="J251" s="1"/>
      <c r="K251" s="1"/>
      <c r="L251" s="1"/>
      <c r="M251" s="1"/>
      <c r="N251" s="1"/>
      <c r="O251" s="1"/>
      <c r="P251" s="1"/>
      <c r="Q251" s="1"/>
      <c r="R251" s="98"/>
      <c r="S251" s="98"/>
    </row>
    <row r="252" spans="1:19" ht="20.399999999999999" x14ac:dyDescent="0.25">
      <c r="A252" s="73"/>
      <c r="B252" s="26" t="s">
        <v>23</v>
      </c>
      <c r="C252" s="29"/>
      <c r="D252" s="29"/>
      <c r="E252" s="29"/>
      <c r="F252" s="29"/>
      <c r="G252" s="29"/>
      <c r="H252" s="1">
        <f>I252+J252+K252+L252</f>
        <v>4000</v>
      </c>
      <c r="I252" s="1">
        <f t="shared" ref="I252:L252" si="100">I233</f>
        <v>0</v>
      </c>
      <c r="J252" s="1">
        <f t="shared" si="100"/>
        <v>0</v>
      </c>
      <c r="K252" s="1">
        <f t="shared" si="100"/>
        <v>4000</v>
      </c>
      <c r="L252" s="1">
        <f t="shared" si="100"/>
        <v>0</v>
      </c>
      <c r="M252" s="1">
        <f>M233</f>
        <v>0</v>
      </c>
      <c r="N252" s="1">
        <f>N233</f>
        <v>0</v>
      </c>
      <c r="O252" s="1">
        <f>O233</f>
        <v>0</v>
      </c>
      <c r="P252" s="1">
        <f>P233</f>
        <v>0</v>
      </c>
      <c r="Q252" s="1">
        <f>Q233</f>
        <v>0</v>
      </c>
      <c r="R252" s="98"/>
      <c r="S252" s="98"/>
    </row>
    <row r="253" spans="1:19" ht="13.95" customHeight="1" x14ac:dyDescent="0.25">
      <c r="A253" s="94" t="s">
        <v>105</v>
      </c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6"/>
    </row>
    <row r="254" spans="1:19" ht="30.6" x14ac:dyDescent="0.25">
      <c r="A254" s="74" t="s">
        <v>87</v>
      </c>
      <c r="B254" s="26" t="s">
        <v>65</v>
      </c>
      <c r="C254" s="29"/>
      <c r="D254" s="29"/>
      <c r="E254" s="29"/>
      <c r="F254" s="29"/>
      <c r="G254" s="29"/>
      <c r="H254" s="2">
        <v>4</v>
      </c>
      <c r="I254" s="2">
        <v>1</v>
      </c>
      <c r="J254" s="2">
        <v>1</v>
      </c>
      <c r="K254" s="2">
        <v>1</v>
      </c>
      <c r="L254" s="2">
        <v>1</v>
      </c>
      <c r="M254" s="2">
        <v>4</v>
      </c>
      <c r="N254" s="2">
        <v>4</v>
      </c>
      <c r="O254" s="2"/>
      <c r="P254" s="2"/>
      <c r="Q254" s="2"/>
      <c r="R254" s="74" t="s">
        <v>88</v>
      </c>
      <c r="S254" s="73" t="s">
        <v>66</v>
      </c>
    </row>
    <row r="255" spans="1:19" x14ac:dyDescent="0.25">
      <c r="A255" s="75"/>
      <c r="B255" s="26" t="s">
        <v>18</v>
      </c>
      <c r="C255" s="29"/>
      <c r="D255" s="29"/>
      <c r="E255" s="29"/>
      <c r="F255" s="29"/>
      <c r="G255" s="29"/>
      <c r="H255" s="29"/>
      <c r="I255" s="7" t="s">
        <v>106</v>
      </c>
      <c r="J255" s="7" t="s">
        <v>106</v>
      </c>
      <c r="K255" s="7" t="s">
        <v>106</v>
      </c>
      <c r="L255" s="7" t="s">
        <v>106</v>
      </c>
      <c r="M255" s="29"/>
      <c r="N255" s="29"/>
      <c r="O255" s="29"/>
      <c r="P255" s="29"/>
      <c r="Q255" s="29"/>
      <c r="R255" s="75"/>
      <c r="S255" s="73"/>
    </row>
    <row r="256" spans="1:19" ht="20.399999999999999" x14ac:dyDescent="0.25">
      <c r="A256" s="75"/>
      <c r="B256" s="26" t="s">
        <v>76</v>
      </c>
      <c r="C256" s="29"/>
      <c r="D256" s="29"/>
      <c r="E256" s="29"/>
      <c r="F256" s="29"/>
      <c r="G256" s="29"/>
      <c r="H256" s="2"/>
      <c r="I256" s="2"/>
      <c r="J256" s="2"/>
      <c r="K256" s="2"/>
      <c r="L256" s="2"/>
      <c r="M256" s="6"/>
      <c r="N256" s="6"/>
      <c r="O256" s="6"/>
      <c r="P256" s="6"/>
      <c r="Q256" s="6"/>
      <c r="R256" s="75"/>
      <c r="S256" s="73"/>
    </row>
    <row r="257" spans="1:19" x14ac:dyDescent="0.25">
      <c r="A257" s="75"/>
      <c r="B257" s="26" t="s">
        <v>21</v>
      </c>
      <c r="C257" s="29"/>
      <c r="D257" s="29"/>
      <c r="E257" s="29"/>
      <c r="F257" s="29"/>
      <c r="G257" s="29"/>
      <c r="H257" s="2"/>
      <c r="I257" s="2"/>
      <c r="J257" s="2"/>
      <c r="K257" s="2"/>
      <c r="L257" s="2"/>
      <c r="M257" s="6"/>
      <c r="N257" s="6"/>
      <c r="O257" s="6"/>
      <c r="P257" s="6"/>
      <c r="Q257" s="6"/>
      <c r="R257" s="75"/>
      <c r="S257" s="73"/>
    </row>
    <row r="258" spans="1:19" x14ac:dyDescent="0.25">
      <c r="A258" s="75"/>
      <c r="B258" s="26" t="s">
        <v>24</v>
      </c>
      <c r="C258" s="29"/>
      <c r="D258" s="29"/>
      <c r="E258" s="29"/>
      <c r="F258" s="29"/>
      <c r="G258" s="29"/>
      <c r="H258" s="2"/>
      <c r="I258" s="2"/>
      <c r="J258" s="2"/>
      <c r="K258" s="2"/>
      <c r="L258" s="2"/>
      <c r="M258" s="6"/>
      <c r="N258" s="6"/>
      <c r="O258" s="6"/>
      <c r="P258" s="6"/>
      <c r="Q258" s="6"/>
      <c r="R258" s="75"/>
      <c r="S258" s="73"/>
    </row>
    <row r="259" spans="1:19" x14ac:dyDescent="0.25">
      <c r="A259" s="75"/>
      <c r="B259" s="26" t="s">
        <v>22</v>
      </c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75"/>
      <c r="S259" s="73"/>
    </row>
    <row r="260" spans="1:19" ht="20.399999999999999" x14ac:dyDescent="0.25">
      <c r="A260" s="76"/>
      <c r="B260" s="26" t="s">
        <v>23</v>
      </c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76"/>
      <c r="S260" s="73"/>
    </row>
    <row r="261" spans="1:19" ht="30.6" x14ac:dyDescent="0.25">
      <c r="A261" s="73" t="s">
        <v>127</v>
      </c>
      <c r="B261" s="26" t="s">
        <v>65</v>
      </c>
      <c r="C261" s="29"/>
      <c r="D261" s="29"/>
      <c r="E261" s="29"/>
      <c r="F261" s="29"/>
      <c r="G261" s="29"/>
      <c r="H261" s="2">
        <v>4</v>
      </c>
      <c r="I261" s="2">
        <v>1</v>
      </c>
      <c r="J261" s="2">
        <v>1</v>
      </c>
      <c r="K261" s="2">
        <v>1</v>
      </c>
      <c r="L261" s="2">
        <v>1</v>
      </c>
      <c r="M261" s="2">
        <v>4</v>
      </c>
      <c r="N261" s="2">
        <v>4</v>
      </c>
      <c r="O261" s="2"/>
      <c r="P261" s="2"/>
      <c r="Q261" s="2"/>
      <c r="R261" s="74" t="s">
        <v>88</v>
      </c>
      <c r="S261" s="73" t="s">
        <v>91</v>
      </c>
    </row>
    <row r="262" spans="1:19" x14ac:dyDescent="0.25">
      <c r="A262" s="73"/>
      <c r="B262" s="26" t="s">
        <v>18</v>
      </c>
      <c r="C262" s="29"/>
      <c r="D262" s="29"/>
      <c r="E262" s="29"/>
      <c r="F262" s="29"/>
      <c r="G262" s="29"/>
      <c r="H262" s="2"/>
      <c r="I262" s="2" t="s">
        <v>106</v>
      </c>
      <c r="J262" s="2" t="s">
        <v>106</v>
      </c>
      <c r="K262" s="2" t="s">
        <v>106</v>
      </c>
      <c r="L262" s="2" t="s">
        <v>106</v>
      </c>
      <c r="M262" s="6"/>
      <c r="N262" s="6"/>
      <c r="O262" s="6"/>
      <c r="P262" s="6"/>
      <c r="Q262" s="6"/>
      <c r="R262" s="75"/>
      <c r="S262" s="73"/>
    </row>
    <row r="263" spans="1:19" ht="20.399999999999999" x14ac:dyDescent="0.25">
      <c r="A263" s="73"/>
      <c r="B263" s="26" t="s">
        <v>76</v>
      </c>
      <c r="C263" s="29"/>
      <c r="D263" s="29"/>
      <c r="E263" s="29"/>
      <c r="F263" s="29"/>
      <c r="G263" s="29"/>
      <c r="H263" s="2"/>
      <c r="I263" s="2"/>
      <c r="J263" s="2"/>
      <c r="K263" s="2"/>
      <c r="L263" s="2"/>
      <c r="M263" s="6"/>
      <c r="N263" s="6"/>
      <c r="O263" s="6"/>
      <c r="P263" s="6"/>
      <c r="Q263" s="6"/>
      <c r="R263" s="75"/>
      <c r="S263" s="73"/>
    </row>
    <row r="264" spans="1:19" x14ac:dyDescent="0.25">
      <c r="A264" s="73"/>
      <c r="B264" s="26" t="s">
        <v>21</v>
      </c>
      <c r="C264" s="29"/>
      <c r="D264" s="29"/>
      <c r="E264" s="29"/>
      <c r="F264" s="29"/>
      <c r="G264" s="29"/>
      <c r="H264" s="2"/>
      <c r="I264" s="2"/>
      <c r="J264" s="2"/>
      <c r="K264" s="2"/>
      <c r="L264" s="2"/>
      <c r="M264" s="6"/>
      <c r="N264" s="6"/>
      <c r="O264" s="6"/>
      <c r="P264" s="6"/>
      <c r="Q264" s="6"/>
      <c r="R264" s="75"/>
      <c r="S264" s="73"/>
    </row>
    <row r="265" spans="1:19" x14ac:dyDescent="0.25">
      <c r="A265" s="73"/>
      <c r="B265" s="26" t="s">
        <v>24</v>
      </c>
      <c r="C265" s="29"/>
      <c r="D265" s="29"/>
      <c r="E265" s="29"/>
      <c r="F265" s="29"/>
      <c r="G265" s="29"/>
      <c r="H265" s="2"/>
      <c r="I265" s="2"/>
      <c r="J265" s="2"/>
      <c r="K265" s="2"/>
      <c r="L265" s="2"/>
      <c r="M265" s="6"/>
      <c r="N265" s="6"/>
      <c r="O265" s="6"/>
      <c r="P265" s="6"/>
      <c r="Q265" s="6"/>
      <c r="R265" s="75"/>
      <c r="S265" s="73"/>
    </row>
    <row r="266" spans="1:19" x14ac:dyDescent="0.25">
      <c r="A266" s="73"/>
      <c r="B266" s="26" t="s">
        <v>22</v>
      </c>
      <c r="C266" s="29"/>
      <c r="D266" s="29"/>
      <c r="E266" s="29"/>
      <c r="F266" s="29"/>
      <c r="G266" s="29"/>
      <c r="H266" s="2"/>
      <c r="I266" s="2"/>
      <c r="J266" s="2"/>
      <c r="K266" s="2"/>
      <c r="L266" s="2"/>
      <c r="M266" s="6"/>
      <c r="N266" s="6"/>
      <c r="O266" s="6"/>
      <c r="P266" s="6"/>
      <c r="Q266" s="6"/>
      <c r="R266" s="75"/>
      <c r="S266" s="73"/>
    </row>
    <row r="267" spans="1:19" ht="20.399999999999999" x14ac:dyDescent="0.25">
      <c r="A267" s="73"/>
      <c r="B267" s="26" t="s">
        <v>23</v>
      </c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76"/>
      <c r="S267" s="73"/>
    </row>
    <row r="268" spans="1:19" x14ac:dyDescent="0.25">
      <c r="A268" s="73" t="s">
        <v>107</v>
      </c>
      <c r="B268" s="26" t="s">
        <v>37</v>
      </c>
      <c r="C268" s="29"/>
      <c r="D268" s="29"/>
      <c r="E268" s="29"/>
      <c r="F268" s="29"/>
      <c r="G268" s="29"/>
      <c r="H268" s="2"/>
      <c r="I268" s="2"/>
      <c r="J268" s="2"/>
      <c r="K268" s="2"/>
      <c r="L268" s="2"/>
      <c r="M268" s="6"/>
      <c r="N268" s="6"/>
      <c r="O268" s="6"/>
      <c r="P268" s="6"/>
      <c r="Q268" s="6"/>
      <c r="R268" s="98"/>
      <c r="S268" s="98"/>
    </row>
    <row r="269" spans="1:19" x14ac:dyDescent="0.25">
      <c r="A269" s="73"/>
      <c r="B269" s="26" t="s">
        <v>21</v>
      </c>
      <c r="C269" s="29"/>
      <c r="D269" s="29"/>
      <c r="E269" s="29"/>
      <c r="F269" s="29"/>
      <c r="G269" s="29"/>
      <c r="H269" s="2"/>
      <c r="I269" s="2"/>
      <c r="J269" s="2"/>
      <c r="K269" s="2"/>
      <c r="L269" s="2"/>
      <c r="M269" s="6"/>
      <c r="N269" s="6"/>
      <c r="O269" s="6"/>
      <c r="P269" s="6"/>
      <c r="Q269" s="6"/>
      <c r="R269" s="98"/>
      <c r="S269" s="98"/>
    </row>
    <row r="270" spans="1:19" x14ac:dyDescent="0.25">
      <c r="A270" s="73"/>
      <c r="B270" s="26" t="s">
        <v>24</v>
      </c>
      <c r="C270" s="29"/>
      <c r="D270" s="29"/>
      <c r="E270" s="29"/>
      <c r="F270" s="29"/>
      <c r="G270" s="29"/>
      <c r="H270" s="2"/>
      <c r="I270" s="2"/>
      <c r="J270" s="2"/>
      <c r="K270" s="2"/>
      <c r="L270" s="2"/>
      <c r="M270" s="6"/>
      <c r="N270" s="6"/>
      <c r="O270" s="6"/>
      <c r="P270" s="6"/>
      <c r="Q270" s="6"/>
      <c r="R270" s="98"/>
      <c r="S270" s="98"/>
    </row>
    <row r="271" spans="1:19" x14ac:dyDescent="0.25">
      <c r="A271" s="73"/>
      <c r="B271" s="26" t="s">
        <v>22</v>
      </c>
      <c r="C271" s="29"/>
      <c r="D271" s="29"/>
      <c r="E271" s="29"/>
      <c r="F271" s="29"/>
      <c r="G271" s="29"/>
      <c r="H271" s="2"/>
      <c r="I271" s="2"/>
      <c r="J271" s="2"/>
      <c r="K271" s="2"/>
      <c r="L271" s="2"/>
      <c r="M271" s="6"/>
      <c r="N271" s="6"/>
      <c r="O271" s="6"/>
      <c r="P271" s="6"/>
      <c r="Q271" s="6"/>
      <c r="R271" s="98"/>
      <c r="S271" s="98"/>
    </row>
    <row r="272" spans="1:19" ht="20.399999999999999" x14ac:dyDescent="0.25">
      <c r="A272" s="73"/>
      <c r="B272" s="26" t="s">
        <v>23</v>
      </c>
      <c r="C272" s="29"/>
      <c r="D272" s="29"/>
      <c r="E272" s="29"/>
      <c r="F272" s="29"/>
      <c r="G272" s="29"/>
      <c r="H272" s="2"/>
      <c r="I272" s="2"/>
      <c r="J272" s="2"/>
      <c r="K272" s="2"/>
      <c r="L272" s="2"/>
      <c r="M272" s="6"/>
      <c r="N272" s="6"/>
      <c r="O272" s="6"/>
      <c r="P272" s="6"/>
      <c r="Q272" s="6"/>
      <c r="R272" s="98"/>
      <c r="S272" s="98"/>
    </row>
    <row r="273" spans="1:19" x14ac:dyDescent="0.25">
      <c r="A273" s="99" t="s">
        <v>67</v>
      </c>
      <c r="B273" s="30" t="s">
        <v>37</v>
      </c>
      <c r="C273" s="29"/>
      <c r="D273" s="29"/>
      <c r="E273" s="29"/>
      <c r="F273" s="29"/>
      <c r="G273" s="29"/>
      <c r="H273" s="1">
        <f>H274+H275+H276+H277</f>
        <v>4000</v>
      </c>
      <c r="I273" s="1">
        <f>I274+I275+I276+I277</f>
        <v>0</v>
      </c>
      <c r="J273" s="1">
        <f t="shared" ref="J273:P273" si="101">J274+J275+J276+J277</f>
        <v>0</v>
      </c>
      <c r="K273" s="1">
        <f t="shared" si="101"/>
        <v>4000</v>
      </c>
      <c r="L273" s="1">
        <f t="shared" si="101"/>
        <v>0</v>
      </c>
      <c r="M273" s="1">
        <f t="shared" si="101"/>
        <v>0</v>
      </c>
      <c r="N273" s="1">
        <f t="shared" si="101"/>
        <v>0</v>
      </c>
      <c r="O273" s="1">
        <f t="shared" si="101"/>
        <v>0</v>
      </c>
      <c r="P273" s="1">
        <f t="shared" si="101"/>
        <v>0</v>
      </c>
      <c r="Q273" s="1">
        <f t="shared" ref="Q273" si="102">Q274+Q275+Q276+Q277</f>
        <v>0</v>
      </c>
      <c r="R273" s="98"/>
      <c r="S273" s="98"/>
    </row>
    <row r="274" spans="1:19" x14ac:dyDescent="0.25">
      <c r="A274" s="99"/>
      <c r="B274" s="30" t="s">
        <v>21</v>
      </c>
      <c r="C274" s="29"/>
      <c r="D274" s="29"/>
      <c r="E274" s="29"/>
      <c r="F274" s="29"/>
      <c r="G274" s="29"/>
      <c r="H274" s="1">
        <f t="shared" ref="H274:H276" si="103">I274+J274+K274+L274</f>
        <v>0</v>
      </c>
      <c r="I274" s="1">
        <f>I257+I249</f>
        <v>0</v>
      </c>
      <c r="J274" s="1">
        <f t="shared" ref="J274:P274" si="104">J257+J249</f>
        <v>0</v>
      </c>
      <c r="K274" s="1">
        <f t="shared" si="104"/>
        <v>0</v>
      </c>
      <c r="L274" s="1">
        <f t="shared" si="104"/>
        <v>0</v>
      </c>
      <c r="M274" s="1">
        <f t="shared" si="104"/>
        <v>0</v>
      </c>
      <c r="N274" s="1">
        <f t="shared" si="104"/>
        <v>0</v>
      </c>
      <c r="O274" s="1">
        <f t="shared" si="104"/>
        <v>0</v>
      </c>
      <c r="P274" s="1">
        <f t="shared" si="104"/>
        <v>0</v>
      </c>
      <c r="Q274" s="1">
        <f t="shared" ref="Q274" si="105">Q257+Q249</f>
        <v>0</v>
      </c>
      <c r="R274" s="98"/>
      <c r="S274" s="98"/>
    </row>
    <row r="275" spans="1:19" x14ac:dyDescent="0.25">
      <c r="A275" s="99"/>
      <c r="B275" s="30" t="s">
        <v>24</v>
      </c>
      <c r="C275" s="29"/>
      <c r="D275" s="29"/>
      <c r="E275" s="29"/>
      <c r="F275" s="29"/>
      <c r="G275" s="29"/>
      <c r="H275" s="1">
        <f t="shared" si="103"/>
        <v>0</v>
      </c>
      <c r="I275" s="1">
        <f t="shared" ref="I275:P277" si="106">I258+I250</f>
        <v>0</v>
      </c>
      <c r="J275" s="1">
        <f t="shared" si="106"/>
        <v>0</v>
      </c>
      <c r="K275" s="1">
        <f t="shared" si="106"/>
        <v>0</v>
      </c>
      <c r="L275" s="1">
        <f t="shared" si="106"/>
        <v>0</v>
      </c>
      <c r="M275" s="1">
        <f t="shared" si="106"/>
        <v>0</v>
      </c>
      <c r="N275" s="1">
        <f t="shared" si="106"/>
        <v>0</v>
      </c>
      <c r="O275" s="1">
        <f t="shared" si="106"/>
        <v>0</v>
      </c>
      <c r="P275" s="1">
        <f t="shared" si="106"/>
        <v>0</v>
      </c>
      <c r="Q275" s="1">
        <f t="shared" ref="Q275" si="107">Q258+Q250</f>
        <v>0</v>
      </c>
      <c r="R275" s="98"/>
      <c r="S275" s="98"/>
    </row>
    <row r="276" spans="1:19" x14ac:dyDescent="0.25">
      <c r="A276" s="99"/>
      <c r="B276" s="30" t="s">
        <v>22</v>
      </c>
      <c r="C276" s="29"/>
      <c r="D276" s="29"/>
      <c r="E276" s="29"/>
      <c r="F276" s="29"/>
      <c r="G276" s="29"/>
      <c r="H276" s="1">
        <f t="shared" si="103"/>
        <v>0</v>
      </c>
      <c r="I276" s="1">
        <f t="shared" si="106"/>
        <v>0</v>
      </c>
      <c r="J276" s="1">
        <f t="shared" si="106"/>
        <v>0</v>
      </c>
      <c r="K276" s="1">
        <f t="shared" si="106"/>
        <v>0</v>
      </c>
      <c r="L276" s="1">
        <f t="shared" si="106"/>
        <v>0</v>
      </c>
      <c r="M276" s="1">
        <f t="shared" si="106"/>
        <v>0</v>
      </c>
      <c r="N276" s="1">
        <f t="shared" si="106"/>
        <v>0</v>
      </c>
      <c r="O276" s="1">
        <f t="shared" si="106"/>
        <v>0</v>
      </c>
      <c r="P276" s="1">
        <f t="shared" si="106"/>
        <v>0</v>
      </c>
      <c r="Q276" s="1">
        <f t="shared" ref="Q276" si="108">Q259+Q251</f>
        <v>0</v>
      </c>
      <c r="R276" s="98"/>
      <c r="S276" s="98"/>
    </row>
    <row r="277" spans="1:19" ht="20.399999999999999" x14ac:dyDescent="0.25">
      <c r="A277" s="99"/>
      <c r="B277" s="30" t="s">
        <v>23</v>
      </c>
      <c r="C277" s="29"/>
      <c r="D277" s="29"/>
      <c r="E277" s="29"/>
      <c r="F277" s="29"/>
      <c r="G277" s="29"/>
      <c r="H277" s="1">
        <f>I277+J277+K277+L277</f>
        <v>4000</v>
      </c>
      <c r="I277" s="1">
        <f t="shared" si="106"/>
        <v>0</v>
      </c>
      <c r="J277" s="1">
        <f t="shared" si="106"/>
        <v>0</v>
      </c>
      <c r="K277" s="1">
        <f t="shared" si="106"/>
        <v>4000</v>
      </c>
      <c r="L277" s="1">
        <f t="shared" si="106"/>
        <v>0</v>
      </c>
      <c r="M277" s="1">
        <f t="shared" si="106"/>
        <v>0</v>
      </c>
      <c r="N277" s="1">
        <f t="shared" si="106"/>
        <v>0</v>
      </c>
      <c r="O277" s="1">
        <f t="shared" si="106"/>
        <v>0</v>
      </c>
      <c r="P277" s="1">
        <f t="shared" si="106"/>
        <v>0</v>
      </c>
      <c r="Q277" s="1">
        <f t="shared" ref="Q277" si="109">Q260+Q252</f>
        <v>0</v>
      </c>
      <c r="R277" s="98"/>
      <c r="S277" s="98"/>
    </row>
    <row r="278" spans="1:19" x14ac:dyDescent="0.25">
      <c r="A278" s="73" t="s">
        <v>68</v>
      </c>
      <c r="B278" s="26" t="s">
        <v>37</v>
      </c>
      <c r="C278" s="29"/>
      <c r="D278" s="29"/>
      <c r="E278" s="29"/>
      <c r="F278" s="29"/>
      <c r="G278" s="29"/>
      <c r="H278" s="1">
        <f>H279+H280+H281+H282</f>
        <v>979301.52000000014</v>
      </c>
      <c r="I278" s="1">
        <f t="shared" ref="I278:P278" si="110">I279+I280+I281+I282</f>
        <v>2000</v>
      </c>
      <c r="J278" s="1">
        <f t="shared" si="110"/>
        <v>179197.7</v>
      </c>
      <c r="K278" s="1">
        <f t="shared" si="110"/>
        <v>564568.92000000004</v>
      </c>
      <c r="L278" s="1">
        <f t="shared" si="110"/>
        <v>233534.90000000002</v>
      </c>
      <c r="M278" s="1">
        <f t="shared" si="110"/>
        <v>790482.6</v>
      </c>
      <c r="N278" s="1">
        <f t="shared" si="110"/>
        <v>771619.4</v>
      </c>
      <c r="O278" s="1">
        <f t="shared" si="110"/>
        <v>1080013.7999999998</v>
      </c>
      <c r="P278" s="1">
        <f t="shared" si="110"/>
        <v>1055323.5</v>
      </c>
      <c r="Q278" s="1">
        <f t="shared" ref="Q278" si="111">Q279+Q280+Q281+Q282</f>
        <v>1055893.1000000001</v>
      </c>
      <c r="R278" s="98"/>
      <c r="S278" s="98"/>
    </row>
    <row r="279" spans="1:19" x14ac:dyDescent="0.25">
      <c r="A279" s="73"/>
      <c r="B279" s="26" t="s">
        <v>21</v>
      </c>
      <c r="C279" s="29"/>
      <c r="D279" s="29"/>
      <c r="E279" s="29"/>
      <c r="F279" s="29"/>
      <c r="G279" s="29"/>
      <c r="H279" s="1">
        <f>I279+J279+K279+L279</f>
        <v>783426.22000000009</v>
      </c>
      <c r="I279" s="1">
        <f>I221+I274</f>
        <v>0</v>
      </c>
      <c r="J279" s="1">
        <f>J221+J274</f>
        <v>131200</v>
      </c>
      <c r="K279" s="1">
        <f t="shared" ref="K279:P279" si="112">K221+K274</f>
        <v>425691.32</v>
      </c>
      <c r="L279" s="1">
        <f t="shared" si="112"/>
        <v>226534.90000000002</v>
      </c>
      <c r="M279" s="1">
        <f t="shared" si="112"/>
        <v>635809.79999999993</v>
      </c>
      <c r="N279" s="1">
        <f t="shared" si="112"/>
        <v>616863.6</v>
      </c>
      <c r="O279" s="1">
        <f t="shared" si="112"/>
        <v>925173.4</v>
      </c>
      <c r="P279" s="1">
        <f t="shared" si="112"/>
        <v>900396.8</v>
      </c>
      <c r="Q279" s="1">
        <f t="shared" ref="Q279" si="113">Q221+Q274</f>
        <v>900878.3</v>
      </c>
      <c r="R279" s="98"/>
      <c r="S279" s="98"/>
    </row>
    <row r="280" spans="1:19" x14ac:dyDescent="0.25">
      <c r="A280" s="73"/>
      <c r="B280" s="26" t="s">
        <v>24</v>
      </c>
      <c r="C280" s="2"/>
      <c r="D280" s="2"/>
      <c r="E280" s="2"/>
      <c r="F280" s="2"/>
      <c r="G280" s="2"/>
      <c r="H280" s="1">
        <f t="shared" ref="H280:H281" si="114">I280+J280+K280+L280</f>
        <v>0</v>
      </c>
      <c r="I280" s="1">
        <f t="shared" ref="I280:P282" si="115">I222+I275</f>
        <v>0</v>
      </c>
      <c r="J280" s="1">
        <f t="shared" si="115"/>
        <v>0</v>
      </c>
      <c r="K280" s="1">
        <f t="shared" si="115"/>
        <v>0</v>
      </c>
      <c r="L280" s="1">
        <f t="shared" si="115"/>
        <v>0</v>
      </c>
      <c r="M280" s="1">
        <f t="shared" si="115"/>
        <v>0</v>
      </c>
      <c r="N280" s="1">
        <f t="shared" si="115"/>
        <v>0</v>
      </c>
      <c r="O280" s="1">
        <f t="shared" si="115"/>
        <v>0</v>
      </c>
      <c r="P280" s="1">
        <f t="shared" si="115"/>
        <v>0</v>
      </c>
      <c r="Q280" s="1">
        <f t="shared" ref="Q280" si="116">Q222+Q275</f>
        <v>0</v>
      </c>
      <c r="R280" s="98"/>
      <c r="S280" s="98"/>
    </row>
    <row r="281" spans="1:19" x14ac:dyDescent="0.25">
      <c r="A281" s="73"/>
      <c r="B281" s="26" t="s">
        <v>22</v>
      </c>
      <c r="C281" s="29"/>
      <c r="D281" s="29"/>
      <c r="E281" s="29"/>
      <c r="F281" s="29"/>
      <c r="G281" s="29"/>
      <c r="H281" s="1">
        <f t="shared" si="114"/>
        <v>187924.5</v>
      </c>
      <c r="I281" s="1">
        <f t="shared" si="115"/>
        <v>2000</v>
      </c>
      <c r="J281" s="1">
        <f t="shared" si="115"/>
        <v>47010</v>
      </c>
      <c r="K281" s="1">
        <f t="shared" si="115"/>
        <v>131914.5</v>
      </c>
      <c r="L281" s="1">
        <f t="shared" si="115"/>
        <v>7000</v>
      </c>
      <c r="M281" s="1">
        <f t="shared" si="115"/>
        <v>150524.5</v>
      </c>
      <c r="N281" s="1">
        <f t="shared" si="115"/>
        <v>150524.5</v>
      </c>
      <c r="O281" s="1">
        <f t="shared" si="115"/>
        <v>150524.5</v>
      </c>
      <c r="P281" s="1">
        <f t="shared" si="115"/>
        <v>150524.5</v>
      </c>
      <c r="Q281" s="1">
        <f t="shared" ref="Q281" si="117">Q223+Q276</f>
        <v>150524.5</v>
      </c>
      <c r="R281" s="98"/>
      <c r="S281" s="98"/>
    </row>
    <row r="282" spans="1:19" ht="20.399999999999999" x14ac:dyDescent="0.25">
      <c r="A282" s="73"/>
      <c r="B282" s="26" t="s">
        <v>23</v>
      </c>
      <c r="C282" s="29"/>
      <c r="D282" s="29"/>
      <c r="E282" s="29"/>
      <c r="F282" s="29"/>
      <c r="G282" s="29"/>
      <c r="H282" s="1">
        <f>I282+J282+K282+L282</f>
        <v>7950.8</v>
      </c>
      <c r="I282" s="1">
        <f t="shared" si="115"/>
        <v>0</v>
      </c>
      <c r="J282" s="1">
        <f t="shared" si="115"/>
        <v>987.7</v>
      </c>
      <c r="K282" s="1">
        <f t="shared" si="115"/>
        <v>6963.1</v>
      </c>
      <c r="L282" s="1">
        <f t="shared" si="115"/>
        <v>0</v>
      </c>
      <c r="M282" s="1">
        <f t="shared" si="115"/>
        <v>4148.3</v>
      </c>
      <c r="N282" s="1">
        <f t="shared" si="115"/>
        <v>4231.3</v>
      </c>
      <c r="O282" s="1">
        <f t="shared" si="115"/>
        <v>4315.8999999999996</v>
      </c>
      <c r="P282" s="1">
        <f t="shared" si="115"/>
        <v>4402.2</v>
      </c>
      <c r="Q282" s="1">
        <f t="shared" ref="Q282" si="118">Q224+Q277</f>
        <v>4490.3</v>
      </c>
      <c r="R282" s="98"/>
      <c r="S282" s="98"/>
    </row>
    <row r="284" spans="1:19" ht="67.2" customHeight="1" x14ac:dyDescent="0.25">
      <c r="A284" s="100" t="s">
        <v>89</v>
      </c>
      <c r="B284" s="100"/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</row>
    <row r="285" spans="1:19" ht="18" customHeight="1" x14ac:dyDescent="0.25">
      <c r="A285" s="100"/>
      <c r="B285" s="100"/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</row>
    <row r="286" spans="1:19" ht="18" customHeight="1" x14ac:dyDescent="0.25">
      <c r="A286" s="100"/>
      <c r="B286" s="100"/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</row>
    <row r="287" spans="1:19" ht="18" customHeight="1" x14ac:dyDescent="0.25">
      <c r="A287" s="100"/>
      <c r="B287" s="100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</row>
    <row r="288" spans="1:19" ht="18" customHeight="1" x14ac:dyDescent="0.25">
      <c r="A288" s="100"/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</row>
    <row r="289" spans="1:19" ht="18" customHeight="1" x14ac:dyDescent="0.25">
      <c r="A289" s="100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</row>
    <row r="290" spans="1:19" ht="18" customHeight="1" x14ac:dyDescent="0.25">
      <c r="A290" s="100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</row>
    <row r="291" spans="1:19" ht="18" customHeight="1" x14ac:dyDescent="0.25">
      <c r="A291" s="100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</row>
    <row r="292" spans="1:19" ht="18" customHeight="1" x14ac:dyDescent="0.25">
      <c r="A292" s="100"/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</row>
    <row r="293" spans="1:19" ht="18" customHeight="1" x14ac:dyDescent="0.25">
      <c r="A293" s="100"/>
      <c r="B293" s="100"/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</row>
    <row r="294" spans="1:19" ht="18" customHeight="1" x14ac:dyDescent="0.25">
      <c r="A294" s="100"/>
      <c r="B294" s="100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</row>
    <row r="295" spans="1:19" ht="18" customHeight="1" x14ac:dyDescent="0.25">
      <c r="A295" s="100"/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</row>
    <row r="296" spans="1:19" ht="18" customHeight="1" x14ac:dyDescent="0.25">
      <c r="A296" s="100"/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</row>
    <row r="297" spans="1:19" ht="18" customHeight="1" x14ac:dyDescent="0.25">
      <c r="A297" s="100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</row>
    <row r="298" spans="1:19" ht="18" customHeight="1" x14ac:dyDescent="0.25">
      <c r="A298" s="100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</row>
    <row r="299" spans="1:19" x14ac:dyDescent="0.25">
      <c r="A299" s="100"/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</row>
    <row r="300" spans="1:19" s="15" customFormat="1" ht="18" x14ac:dyDescent="0.35">
      <c r="A300" s="22"/>
      <c r="F300" s="17"/>
      <c r="G300" s="17"/>
      <c r="H300" s="20">
        <v>2019</v>
      </c>
      <c r="I300" s="17" t="s">
        <v>157</v>
      </c>
      <c r="J300" s="17" t="s">
        <v>158</v>
      </c>
      <c r="K300" s="17" t="s">
        <v>159</v>
      </c>
      <c r="L300" s="17" t="s">
        <v>160</v>
      </c>
      <c r="M300" s="20">
        <v>2020</v>
      </c>
      <c r="N300" s="20">
        <v>2021</v>
      </c>
      <c r="O300" s="20">
        <v>2022</v>
      </c>
      <c r="P300" s="20">
        <v>2023</v>
      </c>
      <c r="Q300" s="20">
        <v>2024</v>
      </c>
    </row>
    <row r="301" spans="1:19" ht="15.6" customHeight="1" x14ac:dyDescent="0.35">
      <c r="A301" s="14"/>
      <c r="E301" s="5" t="s">
        <v>155</v>
      </c>
      <c r="F301" s="18" t="s">
        <v>69</v>
      </c>
      <c r="G301" s="19">
        <v>244</v>
      </c>
      <c r="H301" s="21">
        <f>H20+H27</f>
        <v>3355.25</v>
      </c>
      <c r="I301" s="21">
        <f t="shared" ref="I301:Q301" si="119">I20+I27</f>
        <v>0</v>
      </c>
      <c r="J301" s="21">
        <f t="shared" si="119"/>
        <v>700</v>
      </c>
      <c r="K301" s="21">
        <f t="shared" si="119"/>
        <v>1355.25</v>
      </c>
      <c r="L301" s="21">
        <f t="shared" si="119"/>
        <v>1300</v>
      </c>
      <c r="M301" s="21">
        <f t="shared" si="119"/>
        <v>4000</v>
      </c>
      <c r="N301" s="21">
        <f t="shared" si="119"/>
        <v>4000</v>
      </c>
      <c r="O301" s="21">
        <f t="shared" si="119"/>
        <v>4000</v>
      </c>
      <c r="P301" s="21">
        <f t="shared" si="119"/>
        <v>4000</v>
      </c>
      <c r="Q301" s="21">
        <f t="shared" si="119"/>
        <v>4000</v>
      </c>
    </row>
    <row r="302" spans="1:19" x14ac:dyDescent="0.25">
      <c r="F302" s="18" t="s">
        <v>70</v>
      </c>
      <c r="G302" s="19">
        <v>243</v>
      </c>
      <c r="H302" s="21">
        <f>H98+H125+H134+H171+H197</f>
        <v>357598.63</v>
      </c>
      <c r="I302" s="21">
        <f t="shared" ref="I302:Q302" si="120">I98+I125+I134+I171+I197</f>
        <v>0</v>
      </c>
      <c r="J302" s="21">
        <f t="shared" si="120"/>
        <v>0</v>
      </c>
      <c r="K302" s="21">
        <f t="shared" si="120"/>
        <v>206504.63</v>
      </c>
      <c r="L302" s="21">
        <f t="shared" si="120"/>
        <v>151094</v>
      </c>
      <c r="M302" s="21">
        <f t="shared" si="120"/>
        <v>257487.6</v>
      </c>
      <c r="N302" s="21">
        <f>N98+N125+N134+N171+N197+N89</f>
        <v>197465.3</v>
      </c>
      <c r="O302" s="21">
        <f>O98+O125+O134+O171+O197</f>
        <v>318061.8</v>
      </c>
      <c r="P302" s="21">
        <f t="shared" si="120"/>
        <v>244448.9</v>
      </c>
      <c r="Q302" s="21">
        <f t="shared" si="120"/>
        <v>276978.3</v>
      </c>
    </row>
    <row r="303" spans="1:19" x14ac:dyDescent="0.25">
      <c r="F303" s="19"/>
      <c r="G303" s="19">
        <v>244</v>
      </c>
      <c r="H303" s="21">
        <f t="shared" ref="H303:Q303" si="121">H34+H99+H126+H135+H143+H151+H164+H172+H180+H190+H198</f>
        <v>341802.10000000003</v>
      </c>
      <c r="I303" s="21">
        <f t="shared" si="121"/>
        <v>0</v>
      </c>
      <c r="J303" s="21">
        <f t="shared" si="121"/>
        <v>130500</v>
      </c>
      <c r="K303" s="21">
        <f t="shared" si="121"/>
        <v>191209.5</v>
      </c>
      <c r="L303" s="21">
        <f t="shared" si="121"/>
        <v>20092.599999999999</v>
      </c>
      <c r="M303" s="21">
        <f t="shared" si="121"/>
        <v>269856.3</v>
      </c>
      <c r="N303" s="21">
        <f t="shared" si="121"/>
        <v>343247.5</v>
      </c>
      <c r="O303" s="21">
        <f t="shared" si="121"/>
        <v>370911.6</v>
      </c>
      <c r="P303" s="21">
        <f t="shared" si="121"/>
        <v>371814.6</v>
      </c>
      <c r="Q303" s="21">
        <f t="shared" si="121"/>
        <v>361800</v>
      </c>
    </row>
    <row r="304" spans="1:19" x14ac:dyDescent="0.25">
      <c r="F304" s="19"/>
      <c r="G304" s="19">
        <v>414</v>
      </c>
      <c r="H304" s="21">
        <f>H90+H100+H127+H136+H144+H173</f>
        <v>80670.240000000005</v>
      </c>
      <c r="I304" s="21">
        <f t="shared" ref="I304:Q304" si="122">I90+I100+I127+I136+I144+I173</f>
        <v>0</v>
      </c>
      <c r="J304" s="21">
        <f t="shared" si="122"/>
        <v>0</v>
      </c>
      <c r="K304" s="21">
        <f t="shared" si="122"/>
        <v>26621.940000000002</v>
      </c>
      <c r="L304" s="21">
        <f t="shared" si="122"/>
        <v>54048.3</v>
      </c>
      <c r="M304" s="21">
        <f t="shared" si="122"/>
        <v>104465.9</v>
      </c>
      <c r="N304" s="21">
        <f t="shared" si="122"/>
        <v>72150.8</v>
      </c>
      <c r="O304" s="21">
        <f t="shared" si="122"/>
        <v>232200</v>
      </c>
      <c r="P304" s="21">
        <f t="shared" si="122"/>
        <v>280133.3</v>
      </c>
      <c r="Q304" s="21">
        <f t="shared" si="122"/>
        <v>258100</v>
      </c>
    </row>
    <row r="305" spans="6:17" x14ac:dyDescent="0.25">
      <c r="F305" s="16"/>
      <c r="G305" s="16" t="s">
        <v>156</v>
      </c>
      <c r="H305" s="21">
        <f>SUM(H301:H304)</f>
        <v>783426.22</v>
      </c>
      <c r="I305" s="21">
        <f t="shared" ref="I305:Q305" si="123">SUM(I301:I304)</f>
        <v>0</v>
      </c>
      <c r="J305" s="21">
        <f t="shared" si="123"/>
        <v>131200</v>
      </c>
      <c r="K305" s="21">
        <f t="shared" si="123"/>
        <v>425691.32</v>
      </c>
      <c r="L305" s="21">
        <f t="shared" si="123"/>
        <v>226534.90000000002</v>
      </c>
      <c r="M305" s="21">
        <f t="shared" si="123"/>
        <v>635809.80000000005</v>
      </c>
      <c r="N305" s="21">
        <f>SUM(N301:N304)</f>
        <v>616863.60000000009</v>
      </c>
      <c r="O305" s="21">
        <f t="shared" si="123"/>
        <v>925173.39999999991</v>
      </c>
      <c r="P305" s="21">
        <f t="shared" si="123"/>
        <v>900396.8</v>
      </c>
      <c r="Q305" s="21">
        <f t="shared" si="123"/>
        <v>900878.3</v>
      </c>
    </row>
  </sheetData>
  <autoFilter ref="A7:S282"/>
  <mergeCells count="153">
    <mergeCell ref="S59:S65"/>
    <mergeCell ref="A52:A58"/>
    <mergeCell ref="Q4:Q6"/>
    <mergeCell ref="O4:O6"/>
    <mergeCell ref="P4:P6"/>
    <mergeCell ref="A253:S253"/>
    <mergeCell ref="A8:S8"/>
    <mergeCell ref="A9:S9"/>
    <mergeCell ref="H4:H6"/>
    <mergeCell ref="M4:M6"/>
    <mergeCell ref="N4:N6"/>
    <mergeCell ref="I4:L5"/>
    <mergeCell ref="R52:R58"/>
    <mergeCell ref="S52:S58"/>
    <mergeCell ref="A45:A51"/>
    <mergeCell ref="R45:R51"/>
    <mergeCell ref="S45:S51"/>
    <mergeCell ref="A79:A85"/>
    <mergeCell ref="R79:R85"/>
    <mergeCell ref="S73:S77"/>
    <mergeCell ref="A73:A77"/>
    <mergeCell ref="R73:R77"/>
    <mergeCell ref="S86:S94"/>
    <mergeCell ref="B89:B90"/>
    <mergeCell ref="A284:S299"/>
    <mergeCell ref="A10:A16"/>
    <mergeCell ref="R10:R16"/>
    <mergeCell ref="S10:S16"/>
    <mergeCell ref="S4:S6"/>
    <mergeCell ref="C5:C6"/>
    <mergeCell ref="D5:D6"/>
    <mergeCell ref="F5:F6"/>
    <mergeCell ref="G5:G6"/>
    <mergeCell ref="E5:E6"/>
    <mergeCell ref="A4:A6"/>
    <mergeCell ref="B4:B6"/>
    <mergeCell ref="C4:G4"/>
    <mergeCell ref="R4:R6"/>
    <mergeCell ref="A38:A44"/>
    <mergeCell ref="R38:R44"/>
    <mergeCell ref="S38:S44"/>
    <mergeCell ref="A17:A23"/>
    <mergeCell ref="R17:R23"/>
    <mergeCell ref="S17:S23"/>
    <mergeCell ref="A24:A30"/>
    <mergeCell ref="A66:A72"/>
    <mergeCell ref="A215:A219"/>
    <mergeCell ref="S254:S260"/>
    <mergeCell ref="A248:A252"/>
    <mergeCell ref="R248:R252"/>
    <mergeCell ref="A131:A139"/>
    <mergeCell ref="R131:R139"/>
    <mergeCell ref="S131:S139"/>
    <mergeCell ref="R154:R160"/>
    <mergeCell ref="S154:S160"/>
    <mergeCell ref="A187:A193"/>
    <mergeCell ref="R187:R193"/>
    <mergeCell ref="S187:S193"/>
    <mergeCell ref="B134:B136"/>
    <mergeCell ref="S248:S252"/>
    <mergeCell ref="A241:A247"/>
    <mergeCell ref="R241:R247"/>
    <mergeCell ref="S241:S247"/>
    <mergeCell ref="R227:R233"/>
    <mergeCell ref="S227:S233"/>
    <mergeCell ref="R220:R224"/>
    <mergeCell ref="S220:S224"/>
    <mergeCell ref="A220:A224"/>
    <mergeCell ref="R140:R147"/>
    <mergeCell ref="S140:S147"/>
    <mergeCell ref="B143:B144"/>
    <mergeCell ref="A140:A147"/>
    <mergeCell ref="A278:A282"/>
    <mergeCell ref="R278:R282"/>
    <mergeCell ref="S278:S282"/>
    <mergeCell ref="R273:R277"/>
    <mergeCell ref="S273:S277"/>
    <mergeCell ref="A273:A277"/>
    <mergeCell ref="A268:A272"/>
    <mergeCell ref="R268:R272"/>
    <mergeCell ref="S268:S272"/>
    <mergeCell ref="R261:R267"/>
    <mergeCell ref="A261:A267"/>
    <mergeCell ref="S261:S267"/>
    <mergeCell ref="A254:A260"/>
    <mergeCell ref="R254:R260"/>
    <mergeCell ref="A234:A240"/>
    <mergeCell ref="R234:R240"/>
    <mergeCell ref="S234:S240"/>
    <mergeCell ref="S194:S201"/>
    <mergeCell ref="B197:B198"/>
    <mergeCell ref="A202:A206"/>
    <mergeCell ref="R202:R206"/>
    <mergeCell ref="S202:S206"/>
    <mergeCell ref="A194:A201"/>
    <mergeCell ref="R194:R201"/>
    <mergeCell ref="A207:S207"/>
    <mergeCell ref="A225:S225"/>
    <mergeCell ref="A226:S226"/>
    <mergeCell ref="R215:R219"/>
    <mergeCell ref="S215:S219"/>
    <mergeCell ref="A208:A214"/>
    <mergeCell ref="R208:R214"/>
    <mergeCell ref="S208:S214"/>
    <mergeCell ref="A227:A233"/>
    <mergeCell ref="A113:A121"/>
    <mergeCell ref="A122:A130"/>
    <mergeCell ref="R122:R130"/>
    <mergeCell ref="S122:S130"/>
    <mergeCell ref="B125:B127"/>
    <mergeCell ref="R113:R121"/>
    <mergeCell ref="S113:S121"/>
    <mergeCell ref="B116:B117"/>
    <mergeCell ref="B119:B120"/>
    <mergeCell ref="B182:B185"/>
    <mergeCell ref="S177:S186"/>
    <mergeCell ref="A177:A186"/>
    <mergeCell ref="R177:R186"/>
    <mergeCell ref="R168:R176"/>
    <mergeCell ref="S168:S176"/>
    <mergeCell ref="B171:B173"/>
    <mergeCell ref="A168:A176"/>
    <mergeCell ref="A148:A153"/>
    <mergeCell ref="R148:R153"/>
    <mergeCell ref="S148:S153"/>
    <mergeCell ref="S161:S167"/>
    <mergeCell ref="A161:A167"/>
    <mergeCell ref="R161:R167"/>
    <mergeCell ref="A154:A160"/>
    <mergeCell ref="A105:A112"/>
    <mergeCell ref="R105:R112"/>
    <mergeCell ref="S105:S112"/>
    <mergeCell ref="B108:B109"/>
    <mergeCell ref="A2:S2"/>
    <mergeCell ref="S79:S85"/>
    <mergeCell ref="R95:R104"/>
    <mergeCell ref="S95:S104"/>
    <mergeCell ref="R66:R72"/>
    <mergeCell ref="S66:S72"/>
    <mergeCell ref="A31:A37"/>
    <mergeCell ref="R31:R37"/>
    <mergeCell ref="S31:S37"/>
    <mergeCell ref="A78:S78"/>
    <mergeCell ref="B102:B103"/>
    <mergeCell ref="A95:A104"/>
    <mergeCell ref="B98:B100"/>
    <mergeCell ref="B92:B93"/>
    <mergeCell ref="A86:A94"/>
    <mergeCell ref="R86:R94"/>
    <mergeCell ref="A59:A65"/>
    <mergeCell ref="R59:R65"/>
    <mergeCell ref="R24:R30"/>
    <mergeCell ref="S24:S30"/>
  </mergeCells>
  <pageMargins left="0.25" right="0.25" top="0.75" bottom="0.75" header="0.3" footer="0.3"/>
  <pageSetup paperSize="9" scale="68" fitToHeight="0" orientation="landscape" r:id="rId1"/>
  <rowBreaks count="9" manualBreakCount="9">
    <brk id="23" max="15" man="1"/>
    <brk id="51" max="16383" man="1"/>
    <brk id="77" max="16383" man="1"/>
    <brk id="112" max="18" man="1"/>
    <brk id="147" max="18" man="1"/>
    <brk id="186" max="15" man="1"/>
    <brk id="215" max="15" man="1"/>
    <brk id="240" max="16383" man="1"/>
    <brk id="267" max="16383" man="1"/>
  </rowBreaks>
  <ignoredErrors>
    <ignoredError sqref="N30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</vt:lpstr>
      <vt:lpstr>Таблица3!Область_печати</vt:lpstr>
    </vt:vector>
  </TitlesOfParts>
  <Company>PNO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Неустроева Екатерина Александровна</dc:creator>
  <cp:lastModifiedBy>Неустроева Екатерина Александровна</cp:lastModifiedBy>
  <cp:lastPrinted>2019-03-19T09:37:59Z</cp:lastPrinted>
  <dcterms:created xsi:type="dcterms:W3CDTF">2019-01-23T06:56:37Z</dcterms:created>
  <dcterms:modified xsi:type="dcterms:W3CDTF">2019-06-13T07:27:12Z</dcterms:modified>
</cp:coreProperties>
</file>