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Мои документы\ГОСПРОГРАММЫ\ГП РАД 2020-2022\2 вариант\"/>
    </mc:Choice>
  </mc:AlternateContent>
  <bookViews>
    <workbookView xWindow="0" yWindow="0" windowWidth="28800" windowHeight="11400"/>
  </bookViews>
  <sheets>
    <sheet name="Индикаторы " sheetId="16" r:id="rId1"/>
    <sheet name="Мероприятия" sheetId="6" r:id="rId2"/>
    <sheet name="Подробный перечень(БКАД)" sheetId="5" r:id="rId3"/>
    <sheet name="Подробный перечень (ОБ)" sheetId="18" r:id="rId4"/>
    <sheet name="прил. 1  (3)" sheetId="14" state="hidden" r:id="rId5"/>
    <sheet name="прил .6 с мостом (2)" sheetId="15" state="hidden" r:id="rId6"/>
    <sheet name="для вставки в ворд" sheetId="13" state="hidden" r:id="rId7"/>
    <sheet name="Лист3" sheetId="10" r:id="rId8"/>
  </sheets>
  <externalReferences>
    <externalReference r:id="rId9"/>
    <externalReference r:id="rId10"/>
    <externalReference r:id="rId11"/>
  </externalReferences>
  <definedNames>
    <definedName name="_xlnm.Print_Titles" localSheetId="6">'для вставки в ворд'!$1:$3</definedName>
    <definedName name="_xlnm.Print_Titles" localSheetId="0">'Индикаторы '!$11:$14</definedName>
    <definedName name="_xlnm.Print_Titles" localSheetId="1">Мероприятия!$8:$11</definedName>
    <definedName name="_xlnm.Print_Titles" localSheetId="3">'Подробный перечень (ОБ)'!$5:$8</definedName>
    <definedName name="_xlnm.Print_Titles" localSheetId="2">'Подробный перечень(БКАД)'!$6:$9</definedName>
    <definedName name="_xlnm.Print_Titles" localSheetId="5">'прил .6 с мостом (2)'!$1:$3</definedName>
    <definedName name="_xlnm.Print_Titles" localSheetId="4">'прил. 1  (3)'!$11:$12</definedName>
    <definedName name="_xlnm.Print_Area" localSheetId="0">'Индикаторы '!$A$1:$R$71</definedName>
    <definedName name="_xlnm.Print_Area" localSheetId="3">'Подробный перечень (ОБ)'!$A$525:$O$531</definedName>
    <definedName name="_xlnm.Print_Area" localSheetId="2">'Подробный перечень(БКАД)'!$A$1:$O$1193</definedName>
    <definedName name="_xlnm.Print_Area" localSheetId="5">'прил .6 с мостом (2)'!$A$1:$M$68</definedName>
    <definedName name="_xlnm.Print_Area" localSheetId="4">'прил. 1  (3)'!$B$31:$S$55</definedName>
  </definedNames>
  <calcPr calcId="162913"/>
</workbook>
</file>

<file path=xl/calcChain.xml><?xml version="1.0" encoding="utf-8"?>
<calcChain xmlns="http://schemas.openxmlformats.org/spreadsheetml/2006/main">
  <c r="Q37" i="16" l="1"/>
  <c r="N41" i="14" l="1"/>
  <c r="V44" i="14"/>
  <c r="T16" i="14"/>
  <c r="V16" i="14"/>
  <c r="N49" i="14"/>
  <c r="L722" i="18" l="1"/>
  <c r="W249" i="6"/>
  <c r="W276" i="6"/>
  <c r="W262" i="6"/>
  <c r="L724" i="18"/>
  <c r="G742" i="18"/>
  <c r="L1307" i="18"/>
  <c r="L1253" i="18"/>
  <c r="L1087" i="18"/>
  <c r="L1071" i="18"/>
  <c r="L1039" i="18"/>
  <c r="L988" i="18"/>
  <c r="L969" i="18"/>
  <c r="L918" i="18"/>
  <c r="N35" i="14" l="1"/>
  <c r="Q61" i="16" l="1"/>
  <c r="P61" i="16"/>
  <c r="K61" i="16"/>
  <c r="Q60" i="16"/>
  <c r="P60" i="16"/>
  <c r="K60" i="16"/>
  <c r="Q59" i="16"/>
  <c r="P59" i="16"/>
  <c r="K59" i="16"/>
  <c r="Q58" i="16"/>
  <c r="P58" i="16"/>
  <c r="K58" i="16"/>
  <c r="Q57" i="16"/>
  <c r="P57" i="16"/>
  <c r="K57" i="16"/>
  <c r="Q56" i="16"/>
  <c r="P56" i="16"/>
  <c r="K56" i="16"/>
  <c r="K55" i="16"/>
  <c r="Q53" i="16"/>
  <c r="P53" i="16"/>
  <c r="K53" i="16"/>
  <c r="Q52" i="16"/>
  <c r="P52" i="16"/>
  <c r="K52" i="16"/>
  <c r="Q49" i="16"/>
  <c r="P49" i="16"/>
  <c r="K49" i="16"/>
  <c r="Q46" i="16"/>
  <c r="P46" i="16"/>
  <c r="K46" i="16"/>
  <c r="Q42" i="16"/>
  <c r="P42" i="16"/>
  <c r="K42" i="16"/>
  <c r="Q41" i="16"/>
  <c r="P41" i="16"/>
  <c r="K41" i="16"/>
  <c r="Q40" i="16"/>
  <c r="P40" i="16"/>
  <c r="Q38" i="16"/>
  <c r="P38" i="16"/>
  <c r="K38" i="16"/>
  <c r="Q35" i="16"/>
  <c r="P35" i="16"/>
  <c r="K35" i="16"/>
  <c r="Q32" i="16"/>
  <c r="P32" i="16"/>
  <c r="K32" i="16"/>
  <c r="Q31" i="16"/>
  <c r="P31" i="16"/>
  <c r="K31" i="16"/>
  <c r="Q29" i="16"/>
  <c r="P29" i="16"/>
  <c r="K29" i="16"/>
  <c r="Q26" i="16"/>
  <c r="P26" i="16"/>
  <c r="K26" i="16"/>
  <c r="Q25" i="16"/>
  <c r="P25" i="16"/>
  <c r="K25" i="16"/>
  <c r="Q24" i="16"/>
  <c r="P24" i="16"/>
  <c r="K24" i="16"/>
  <c r="Q23" i="16"/>
  <c r="P23" i="16"/>
  <c r="K23" i="16"/>
  <c r="Q22" i="16"/>
  <c r="P17" i="14"/>
  <c r="O17" i="14"/>
  <c r="P19" i="14"/>
  <c r="X188" i="6" l="1"/>
  <c r="W188" i="6"/>
  <c r="P22" i="16" l="1"/>
  <c r="K22" i="16"/>
  <c r="Q21" i="16"/>
  <c r="P21" i="16"/>
  <c r="K21" i="16"/>
  <c r="Q20" i="16"/>
  <c r="P20" i="16"/>
  <c r="K20" i="16"/>
  <c r="K19" i="16"/>
  <c r="K18" i="16"/>
  <c r="K17" i="16"/>
  <c r="R198" i="6"/>
  <c r="R206" i="6"/>
  <c r="V461" i="6" l="1"/>
  <c r="U241" i="6"/>
  <c r="U248" i="6"/>
  <c r="U249" i="6"/>
  <c r="H43" i="15" l="1"/>
  <c r="H379" i="5" l="1"/>
  <c r="I379" i="5"/>
  <c r="J379" i="5"/>
  <c r="K379" i="5"/>
  <c r="F55" i="14" l="1"/>
  <c r="P35" i="14"/>
  <c r="O35" i="14"/>
  <c r="N28" i="14"/>
  <c r="P20" i="14"/>
  <c r="O20" i="14"/>
  <c r="N20" i="14"/>
  <c r="N17" i="14"/>
  <c r="R14" i="5"/>
  <c r="Y13" i="18"/>
  <c r="V13" i="18"/>
  <c r="U12" i="18"/>
  <c r="S13" i="18"/>
  <c r="R12" i="18"/>
  <c r="X14" i="5"/>
  <c r="Y14" i="5"/>
  <c r="X13" i="5"/>
  <c r="Y13" i="5"/>
  <c r="U14" i="5"/>
  <c r="V14" i="5"/>
  <c r="L45" i="5"/>
  <c r="R13" i="5"/>
  <c r="S14" i="5"/>
  <c r="S13" i="5"/>
  <c r="H76" i="14"/>
  <c r="N15" i="14"/>
  <c r="N14" i="14"/>
  <c r="N16" i="14"/>
  <c r="E76" i="14"/>
  <c r="M18" i="15" l="1"/>
  <c r="L18" i="15"/>
  <c r="K18" i="15"/>
  <c r="H25" i="15"/>
  <c r="H13" i="15"/>
  <c r="K792" i="5"/>
  <c r="K372" i="5"/>
  <c r="L879" i="18" l="1"/>
  <c r="C80" i="15" l="1"/>
  <c r="D80" i="15"/>
  <c r="E80" i="15"/>
  <c r="F80" i="15"/>
  <c r="G80" i="15"/>
  <c r="H80" i="15"/>
  <c r="I80" i="15"/>
  <c r="J80" i="15"/>
  <c r="K80" i="15"/>
  <c r="L80" i="15"/>
  <c r="B80" i="15"/>
  <c r="C83" i="15"/>
  <c r="D83" i="15"/>
  <c r="E83" i="15"/>
  <c r="F83" i="15"/>
  <c r="G83" i="15"/>
  <c r="H83" i="15"/>
  <c r="I83" i="15"/>
  <c r="J83" i="15"/>
  <c r="K83" i="15"/>
  <c r="L83" i="15"/>
  <c r="M83" i="15"/>
  <c r="B83" i="15"/>
  <c r="C81" i="15"/>
  <c r="D81" i="15"/>
  <c r="E81" i="15"/>
  <c r="F81" i="15"/>
  <c r="G81" i="15"/>
  <c r="H81" i="15"/>
  <c r="I81" i="15"/>
  <c r="J81" i="15"/>
  <c r="K81" i="15"/>
  <c r="L81" i="15"/>
  <c r="M81" i="15"/>
  <c r="B82" i="15"/>
  <c r="B81" i="15" s="1"/>
  <c r="F69" i="15"/>
  <c r="C69" i="15"/>
  <c r="D69" i="15"/>
  <c r="E69" i="15"/>
  <c r="H69" i="15"/>
  <c r="I69" i="15"/>
  <c r="J69" i="15"/>
  <c r="K69" i="15"/>
  <c r="L69" i="15"/>
  <c r="M69" i="15"/>
  <c r="B78" i="15"/>
  <c r="B73" i="15" l="1"/>
  <c r="B85" i="15"/>
  <c r="B84" i="15"/>
  <c r="C27" i="15" l="1"/>
  <c r="D27" i="15"/>
  <c r="E27" i="15"/>
  <c r="F27" i="15"/>
  <c r="G27" i="15"/>
  <c r="H27" i="15"/>
  <c r="I27" i="15"/>
  <c r="J27" i="15"/>
  <c r="M22" i="15"/>
  <c r="L22" i="15"/>
  <c r="K22" i="15"/>
  <c r="J22" i="15"/>
  <c r="I22" i="15"/>
  <c r="H22" i="15"/>
  <c r="G22" i="15"/>
  <c r="F22" i="15"/>
  <c r="E22" i="15"/>
  <c r="D22" i="15"/>
  <c r="C22" i="15"/>
  <c r="J59" i="15" l="1"/>
  <c r="J26" i="15"/>
  <c r="I26" i="15"/>
  <c r="H26" i="15"/>
  <c r="X592" i="6" l="1"/>
  <c r="X608" i="6"/>
  <c r="W608" i="6"/>
  <c r="X604" i="6"/>
  <c r="W604" i="6"/>
  <c r="T537" i="6"/>
  <c r="U537" i="6"/>
  <c r="R621" i="6"/>
  <c r="L1293" i="18" l="1"/>
  <c r="L1184" i="18"/>
  <c r="L945" i="18"/>
  <c r="L900" i="18"/>
  <c r="L895" i="18"/>
  <c r="M1184" i="5" l="1"/>
  <c r="L1184" i="5"/>
  <c r="K1184" i="5"/>
  <c r="G1184" i="5" s="1"/>
  <c r="K1163" i="5"/>
  <c r="G1185" i="5"/>
  <c r="G1186" i="5"/>
  <c r="V547" i="6"/>
  <c r="K867" i="18" l="1"/>
  <c r="K1287" i="18"/>
  <c r="V522" i="6" l="1"/>
  <c r="V521" i="6"/>
  <c r="V520" i="6"/>
  <c r="V519" i="6"/>
  <c r="V518" i="6"/>
  <c r="V517" i="6"/>
  <c r="V516" i="6"/>
  <c r="V515" i="6"/>
  <c r="V514" i="6"/>
  <c r="V513" i="6"/>
  <c r="V512" i="6"/>
  <c r="V511" i="6"/>
  <c r="V510" i="6"/>
  <c r="V509" i="6"/>
  <c r="V508" i="6"/>
  <c r="V507" i="6"/>
  <c r="V506" i="6"/>
  <c r="V505" i="6"/>
  <c r="V504" i="6"/>
  <c r="V503" i="6"/>
  <c r="V502" i="6"/>
  <c r="V501" i="6"/>
  <c r="V500" i="6"/>
  <c r="V499" i="6"/>
  <c r="V498" i="6"/>
  <c r="V497" i="6"/>
  <c r="V496" i="6"/>
  <c r="V495" i="6"/>
  <c r="V494" i="6"/>
  <c r="R461" i="6"/>
  <c r="S363" i="6"/>
  <c r="T363" i="6"/>
  <c r="U363" i="6"/>
  <c r="V402" i="6"/>
  <c r="AG375" i="6" s="1"/>
  <c r="AG373" i="6"/>
  <c r="AG372" i="6"/>
  <c r="AG371" i="6"/>
  <c r="K1179" i="5" l="1"/>
  <c r="K1171" i="5"/>
  <c r="G1171" i="5" s="1"/>
  <c r="L1171" i="5"/>
  <c r="H1171" i="5"/>
  <c r="I1171" i="5"/>
  <c r="J1171" i="5"/>
  <c r="M1171" i="5"/>
  <c r="Q362" i="6"/>
  <c r="P362" i="6"/>
  <c r="O362" i="6"/>
  <c r="N362" i="6"/>
  <c r="M362" i="6"/>
  <c r="L362" i="6"/>
  <c r="K362" i="6"/>
  <c r="J362" i="6"/>
  <c r="I362" i="6"/>
  <c r="H362" i="6"/>
  <c r="G362" i="6"/>
  <c r="F362" i="6"/>
  <c r="E362" i="6"/>
  <c r="D362" i="6"/>
  <c r="C362" i="6"/>
  <c r="W73" i="6" l="1"/>
  <c r="X73" i="6"/>
  <c r="V73" i="6"/>
  <c r="R87" i="6"/>
  <c r="R81" i="6"/>
  <c r="S190" i="6" l="1"/>
  <c r="T190" i="6"/>
  <c r="U190" i="6"/>
  <c r="V190" i="6"/>
  <c r="W190" i="6"/>
  <c r="X190" i="6"/>
  <c r="W205" i="6"/>
  <c r="V165" i="6" l="1"/>
  <c r="R169" i="6"/>
  <c r="S303" i="6"/>
  <c r="T303" i="6"/>
  <c r="T295" i="6" s="1"/>
  <c r="U303" i="6"/>
  <c r="U295" i="6" s="1"/>
  <c r="G1312" i="18"/>
  <c r="G1314" i="18"/>
  <c r="R348" i="6" s="1"/>
  <c r="R346" i="6"/>
  <c r="R341" i="6"/>
  <c r="V341" i="6"/>
  <c r="R339" i="6"/>
  <c r="V339" i="6"/>
  <c r="R338" i="6"/>
  <c r="V338" i="6"/>
  <c r="R336" i="6"/>
  <c r="V336" i="6"/>
  <c r="R332" i="6"/>
  <c r="V332" i="6"/>
  <c r="R331" i="6"/>
  <c r="V331" i="6"/>
  <c r="R325" i="6"/>
  <c r="V325" i="6"/>
  <c r="X324" i="6"/>
  <c r="R324" i="6"/>
  <c r="V324" i="6"/>
  <c r="X323" i="6"/>
  <c r="R323" i="6"/>
  <c r="V323" i="6"/>
  <c r="V322" i="6"/>
  <c r="X321" i="6"/>
  <c r="R321" i="6"/>
  <c r="V321" i="6"/>
  <c r="R319" i="6"/>
  <c r="V319" i="6"/>
  <c r="R315" i="6"/>
  <c r="V315" i="6"/>
  <c r="X313" i="6"/>
  <c r="R313" i="6"/>
  <c r="V313" i="6"/>
  <c r="X312" i="6"/>
  <c r="R312" i="6"/>
  <c r="V312" i="6"/>
  <c r="X311" i="6"/>
  <c r="R311" i="6"/>
  <c r="V311" i="6"/>
  <c r="X310" i="6"/>
  <c r="R310" i="6"/>
  <c r="V310" i="6"/>
  <c r="X309" i="6"/>
  <c r="R309" i="6"/>
  <c r="V309" i="6"/>
  <c r="X308" i="6"/>
  <c r="R308" i="6"/>
  <c r="V308" i="6"/>
  <c r="X307" i="6"/>
  <c r="R307" i="6"/>
  <c r="V307" i="6"/>
  <c r="S348" i="6"/>
  <c r="X343" i="6"/>
  <c r="W343" i="6"/>
  <c r="R343" i="6"/>
  <c r="V343" i="6"/>
  <c r="L772" i="5"/>
  <c r="M772" i="5"/>
  <c r="M947" i="18"/>
  <c r="H882" i="18"/>
  <c r="H875" i="18" s="1"/>
  <c r="I882" i="18"/>
  <c r="I875" i="18" s="1"/>
  <c r="J882" i="18"/>
  <c r="K882" i="18"/>
  <c r="K875" i="18" s="1"/>
  <c r="M882" i="18"/>
  <c r="M875" i="18" s="1"/>
  <c r="G882" i="18"/>
  <c r="J875" i="18"/>
  <c r="H1277" i="18"/>
  <c r="I1277" i="18"/>
  <c r="J1277" i="18"/>
  <c r="K1277" i="18"/>
  <c r="L1277" i="18"/>
  <c r="M1277" i="18"/>
  <c r="G1277" i="18"/>
  <c r="H1247" i="18"/>
  <c r="I1247" i="18"/>
  <c r="J1247" i="18"/>
  <c r="K1247" i="18"/>
  <c r="L1247" i="18"/>
  <c r="M1247" i="18"/>
  <c r="G1247" i="18"/>
  <c r="H1056" i="18"/>
  <c r="I1056" i="18"/>
  <c r="J1056" i="18"/>
  <c r="K1056" i="18"/>
  <c r="L1056" i="18"/>
  <c r="M1056" i="18"/>
  <c r="G1056" i="18"/>
  <c r="H1054" i="18"/>
  <c r="I1054" i="18"/>
  <c r="J1054" i="18"/>
  <c r="K1054" i="18"/>
  <c r="L1054" i="18"/>
  <c r="M1054" i="18"/>
  <c r="G1054" i="18"/>
  <c r="H1042" i="18"/>
  <c r="I1042" i="18"/>
  <c r="J1042" i="18"/>
  <c r="K1042" i="18"/>
  <c r="L1042" i="18"/>
  <c r="M1042" i="18"/>
  <c r="G1042" i="18"/>
  <c r="H1040" i="18"/>
  <c r="I1040" i="18"/>
  <c r="J1040" i="18"/>
  <c r="K1040" i="18"/>
  <c r="L1040" i="18"/>
  <c r="M1040" i="18"/>
  <c r="G1040" i="18"/>
  <c r="G1046" i="18"/>
  <c r="G1045" i="18"/>
  <c r="G1044" i="18"/>
  <c r="G1309" i="18"/>
  <c r="H1296" i="18"/>
  <c r="I1296" i="18"/>
  <c r="J1296" i="18"/>
  <c r="M1296" i="18"/>
  <c r="L1296" i="18"/>
  <c r="G1306" i="18"/>
  <c r="K1307" i="18"/>
  <c r="K1296" i="18" s="1"/>
  <c r="G1305" i="18"/>
  <c r="G1304" i="18"/>
  <c r="H1285" i="18"/>
  <c r="I1285" i="18"/>
  <c r="J1285" i="18"/>
  <c r="K1285" i="18"/>
  <c r="V340" i="6" s="1"/>
  <c r="L1285" i="18"/>
  <c r="M1285" i="18"/>
  <c r="H1284" i="18"/>
  <c r="I1284" i="18"/>
  <c r="J1284" i="18"/>
  <c r="K1284" i="18"/>
  <c r="L1284" i="18"/>
  <c r="M1284" i="18"/>
  <c r="G1284" i="18"/>
  <c r="G1293" i="18"/>
  <c r="G1292" i="18"/>
  <c r="G1287" i="18"/>
  <c r="G1285" i="18" s="1"/>
  <c r="R340" i="6" s="1"/>
  <c r="G1286" i="18"/>
  <c r="G1283" i="18"/>
  <c r="G1282" i="18"/>
  <c r="G1279" i="18"/>
  <c r="G1278" i="18"/>
  <c r="G1281" i="18"/>
  <c r="G1280" i="18"/>
  <c r="M1263" i="18"/>
  <c r="G1263" i="18"/>
  <c r="G1262" i="18"/>
  <c r="G1253" i="18"/>
  <c r="G1252" i="18"/>
  <c r="G1251" i="18"/>
  <c r="G1250" i="18"/>
  <c r="G1249" i="18"/>
  <c r="G1248" i="18"/>
  <c r="G1245" i="18"/>
  <c r="G1244" i="18"/>
  <c r="G1243" i="18"/>
  <c r="G1242" i="18"/>
  <c r="G1229" i="18"/>
  <c r="G1228" i="18"/>
  <c r="G1223" i="18"/>
  <c r="G1222" i="18"/>
  <c r="M1217" i="18"/>
  <c r="G1215" i="18"/>
  <c r="G1214" i="18"/>
  <c r="G1211" i="18"/>
  <c r="G1210" i="18"/>
  <c r="H1146" i="18"/>
  <c r="I1146" i="18"/>
  <c r="J1146" i="18"/>
  <c r="K1146" i="18"/>
  <c r="L1146" i="18"/>
  <c r="M1146" i="18"/>
  <c r="M1184" i="18"/>
  <c r="K1184" i="18"/>
  <c r="S295" i="6" l="1"/>
  <c r="G1307" i="18"/>
  <c r="M1128" i="18" l="1"/>
  <c r="G1131" i="18"/>
  <c r="H1126" i="18"/>
  <c r="I1126" i="18"/>
  <c r="J1126" i="18"/>
  <c r="K1126" i="18"/>
  <c r="L1126" i="18"/>
  <c r="M1126" i="18"/>
  <c r="H1128" i="18"/>
  <c r="I1128" i="18"/>
  <c r="J1128" i="18"/>
  <c r="K1128" i="18"/>
  <c r="L1128" i="18"/>
  <c r="G1145" i="18"/>
  <c r="G1144" i="18"/>
  <c r="L1139" i="18"/>
  <c r="M1139" i="18"/>
  <c r="G1133" i="18"/>
  <c r="M1114" i="18"/>
  <c r="M1125" i="18"/>
  <c r="L1114" i="18"/>
  <c r="W324" i="6" s="1"/>
  <c r="G1117" i="18"/>
  <c r="G1116" i="18"/>
  <c r="H1105" i="18"/>
  <c r="I1105" i="18"/>
  <c r="J1105" i="18"/>
  <c r="K1105" i="18"/>
  <c r="M1105" i="18"/>
  <c r="L1105" i="18"/>
  <c r="W323" i="6" s="1"/>
  <c r="G1110" i="18"/>
  <c r="K1111" i="18"/>
  <c r="G1111" i="18" s="1"/>
  <c r="G1109" i="18"/>
  <c r="H1092" i="18"/>
  <c r="I1092" i="18"/>
  <c r="J1092" i="18"/>
  <c r="K1092" i="18"/>
  <c r="M1092" i="18"/>
  <c r="H1090" i="18"/>
  <c r="I1090" i="18"/>
  <c r="J1090" i="18"/>
  <c r="K1090" i="18"/>
  <c r="L1090" i="18"/>
  <c r="M1090" i="18"/>
  <c r="L1092" i="18"/>
  <c r="G1103" i="18"/>
  <c r="G1102" i="18"/>
  <c r="K1099" i="18"/>
  <c r="K1096" i="18"/>
  <c r="K1095" i="18" s="1"/>
  <c r="G1095" i="18" s="1"/>
  <c r="G1097" i="18"/>
  <c r="M1095" i="18"/>
  <c r="L1095" i="18"/>
  <c r="G1094" i="18"/>
  <c r="M1087" i="18"/>
  <c r="K1087" i="18"/>
  <c r="G1071" i="18"/>
  <c r="G1070" i="18"/>
  <c r="G1065" i="18"/>
  <c r="G1064" i="18"/>
  <c r="M1063" i="18"/>
  <c r="L1063" i="18"/>
  <c r="K1063" i="18"/>
  <c r="G1063" i="18" s="1"/>
  <c r="G1062" i="18"/>
  <c r="K1059" i="18"/>
  <c r="M1023" i="18"/>
  <c r="M1039" i="18"/>
  <c r="G1039" i="18"/>
  <c r="G1038" i="18"/>
  <c r="K1039" i="18"/>
  <c r="M1003" i="18"/>
  <c r="G1017" i="18"/>
  <c r="K1019" i="18"/>
  <c r="G1019" i="18" s="1"/>
  <c r="G1012" i="18"/>
  <c r="G1011" i="18"/>
  <c r="M1010" i="18"/>
  <c r="L1010" i="18"/>
  <c r="K1010" i="18"/>
  <c r="G1010" i="18"/>
  <c r="G1009" i="18"/>
  <c r="G999" i="18"/>
  <c r="G1000" i="18"/>
  <c r="H990" i="18"/>
  <c r="I990" i="18"/>
  <c r="J990" i="18"/>
  <c r="K990" i="18"/>
  <c r="L990" i="18"/>
  <c r="M990" i="18"/>
  <c r="G997" i="18"/>
  <c r="G998" i="18"/>
  <c r="G996" i="18"/>
  <c r="G987" i="18"/>
  <c r="G988" i="18"/>
  <c r="M982" i="18"/>
  <c r="K971" i="18"/>
  <c r="G973" i="18"/>
  <c r="G974" i="18"/>
  <c r="G975" i="18"/>
  <c r="G976" i="18"/>
  <c r="G977" i="18"/>
  <c r="G978" i="18"/>
  <c r="G979" i="18"/>
  <c r="G980" i="18"/>
  <c r="G981" i="18"/>
  <c r="G971" i="18"/>
  <c r="K982" i="18"/>
  <c r="G982" i="18" s="1"/>
  <c r="M956" i="18"/>
  <c r="M949" i="18"/>
  <c r="M960" i="18"/>
  <c r="H949" i="18"/>
  <c r="I949" i="18"/>
  <c r="J949" i="18"/>
  <c r="G961" i="18"/>
  <c r="G960" i="18" s="1"/>
  <c r="L960" i="18"/>
  <c r="K960" i="18"/>
  <c r="J960" i="18"/>
  <c r="I960" i="18"/>
  <c r="H960" i="18"/>
  <c r="G959" i="18"/>
  <c r="L949" i="18"/>
  <c r="W312" i="6" s="1"/>
  <c r="K969" i="18"/>
  <c r="K949" i="18" s="1"/>
  <c r="H964" i="18"/>
  <c r="I964" i="18"/>
  <c r="J964" i="18"/>
  <c r="K964" i="18"/>
  <c r="G957" i="18"/>
  <c r="L956" i="18"/>
  <c r="G956" i="18"/>
  <c r="G955" i="18"/>
  <c r="G963" i="18"/>
  <c r="L964" i="18"/>
  <c r="G965" i="18"/>
  <c r="G964" i="18" s="1"/>
  <c r="H933" i="18"/>
  <c r="I933" i="18"/>
  <c r="J933" i="18"/>
  <c r="K933" i="18"/>
  <c r="L933" i="18"/>
  <c r="W311" i="6" s="1"/>
  <c r="M933" i="18"/>
  <c r="G945" i="18"/>
  <c r="G938" i="18"/>
  <c r="G937" i="18"/>
  <c r="M936" i="18"/>
  <c r="L936" i="18"/>
  <c r="K936" i="18"/>
  <c r="G936" i="18" s="1"/>
  <c r="G935" i="18"/>
  <c r="H931" i="18"/>
  <c r="I931" i="18"/>
  <c r="J931" i="18"/>
  <c r="K931" i="18"/>
  <c r="L931" i="18"/>
  <c r="M931" i="18"/>
  <c r="G929" i="18"/>
  <c r="G930" i="18"/>
  <c r="G928" i="18"/>
  <c r="M907" i="18"/>
  <c r="M879" i="18" s="1"/>
  <c r="L909" i="18"/>
  <c r="W309" i="6" s="1"/>
  <c r="M909" i="18"/>
  <c r="H909" i="18"/>
  <c r="I909" i="18"/>
  <c r="J909" i="18"/>
  <c r="K909" i="18"/>
  <c r="G916" i="18"/>
  <c r="G915" i="18"/>
  <c r="G899" i="18"/>
  <c r="G900" i="18"/>
  <c r="K894" i="18"/>
  <c r="G894" i="18" s="1"/>
  <c r="K892" i="18"/>
  <c r="K888" i="18" s="1"/>
  <c r="K887" i="18" s="1"/>
  <c r="H886" i="18"/>
  <c r="I886" i="18"/>
  <c r="J886" i="18"/>
  <c r="K886" i="18"/>
  <c r="M886" i="18"/>
  <c r="I887" i="18"/>
  <c r="J887" i="18"/>
  <c r="H888" i="18"/>
  <c r="H887" i="18" s="1"/>
  <c r="I888" i="18"/>
  <c r="J888" i="18"/>
  <c r="L888" i="18"/>
  <c r="M888" i="18"/>
  <c r="G893" i="18"/>
  <c r="G895" i="18"/>
  <c r="G890" i="18"/>
  <c r="M891" i="18"/>
  <c r="G896" i="18"/>
  <c r="M773" i="5"/>
  <c r="L773" i="5"/>
  <c r="G1153" i="5"/>
  <c r="G1154" i="5"/>
  <c r="L1149" i="5"/>
  <c r="H1136" i="5"/>
  <c r="I1136" i="5"/>
  <c r="J1136" i="5"/>
  <c r="K1136" i="5"/>
  <c r="L1136" i="5"/>
  <c r="M1136" i="5"/>
  <c r="G1136" i="5"/>
  <c r="H1135" i="5"/>
  <c r="I1135" i="5"/>
  <c r="J1135" i="5"/>
  <c r="K1135" i="5"/>
  <c r="L1135" i="5"/>
  <c r="M1135" i="5"/>
  <c r="G1135" i="5"/>
  <c r="G1131" i="5"/>
  <c r="G1132" i="5"/>
  <c r="G1107" i="5"/>
  <c r="G1108" i="5"/>
  <c r="G1105" i="5"/>
  <c r="G1106" i="5"/>
  <c r="G1079" i="5"/>
  <c r="G1080" i="5"/>
  <c r="K1082" i="5"/>
  <c r="G1071" i="5"/>
  <c r="G1072" i="5"/>
  <c r="L1054" i="5"/>
  <c r="L971" i="5"/>
  <c r="L910" i="5"/>
  <c r="G914" i="5"/>
  <c r="G915" i="5"/>
  <c r="G871" i="5"/>
  <c r="G872" i="5"/>
  <c r="G863" i="5"/>
  <c r="G864" i="5"/>
  <c r="S290" i="6"/>
  <c r="W307" i="6" l="1"/>
  <c r="G1105" i="18"/>
  <c r="K1018" i="18"/>
  <c r="G1018" i="18" s="1"/>
  <c r="G886" i="18"/>
  <c r="G1096" i="18"/>
  <c r="K891" i="18"/>
  <c r="G891" i="18" s="1"/>
  <c r="G892" i="18"/>
  <c r="G888" i="18" s="1"/>
  <c r="M444" i="5" l="1"/>
  <c r="L444" i="5"/>
  <c r="W47" i="6" s="1"/>
  <c r="V47" i="6"/>
  <c r="W54" i="6"/>
  <c r="X56" i="6"/>
  <c r="W56" i="6"/>
  <c r="V56" i="6"/>
  <c r="X58" i="6"/>
  <c r="W58" i="6"/>
  <c r="X57" i="6"/>
  <c r="W57" i="6"/>
  <c r="S56" i="6"/>
  <c r="S57" i="6"/>
  <c r="S58" i="6"/>
  <c r="R56" i="6"/>
  <c r="R57" i="6"/>
  <c r="R58" i="6"/>
  <c r="H444" i="5"/>
  <c r="I444" i="5"/>
  <c r="J444" i="5"/>
  <c r="K444" i="5"/>
  <c r="T446" i="5"/>
  <c r="S446" i="5"/>
  <c r="R446" i="5"/>
  <c r="M440" i="5"/>
  <c r="X47" i="6"/>
  <c r="U47" i="6"/>
  <c r="X54" i="6"/>
  <c r="V54" i="6"/>
  <c r="U54" i="6"/>
  <c r="S53" i="6"/>
  <c r="H869" i="18" l="1"/>
  <c r="S289" i="6" s="1"/>
  <c r="I869" i="18"/>
  <c r="J869" i="18"/>
  <c r="K869" i="18"/>
  <c r="G870" i="18"/>
  <c r="R290" i="6" s="1"/>
  <c r="K850" i="18"/>
  <c r="H745" i="18"/>
  <c r="I745" i="18"/>
  <c r="J745" i="18"/>
  <c r="K745" i="18"/>
  <c r="H746" i="18"/>
  <c r="I746" i="18"/>
  <c r="J746" i="18"/>
  <c r="K746" i="18"/>
  <c r="G869" i="18" l="1"/>
  <c r="R289" i="6" s="1"/>
  <c r="G758" i="18"/>
  <c r="G757" i="18"/>
  <c r="G756" i="18"/>
  <c r="G755" i="18"/>
  <c r="G754" i="18"/>
  <c r="G753" i="18"/>
  <c r="G752" i="18"/>
  <c r="G751" i="18"/>
  <c r="G750" i="18"/>
  <c r="G749" i="18"/>
  <c r="G606" i="18"/>
  <c r="G602" i="18" s="1"/>
  <c r="H602" i="18"/>
  <c r="I602" i="18"/>
  <c r="J602" i="18"/>
  <c r="K602" i="18"/>
  <c r="H604" i="18"/>
  <c r="H603" i="18" s="1"/>
  <c r="I604" i="18"/>
  <c r="I603" i="18" s="1"/>
  <c r="J604" i="18"/>
  <c r="J603" i="18" s="1"/>
  <c r="K604" i="18"/>
  <c r="G608" i="18"/>
  <c r="G607" i="18" s="1"/>
  <c r="K603" i="18" l="1"/>
  <c r="V262" i="6"/>
  <c r="G770" i="5"/>
  <c r="G769" i="5" s="1"/>
  <c r="H769" i="5"/>
  <c r="S100" i="6" l="1"/>
  <c r="T100" i="6"/>
  <c r="H162" i="18"/>
  <c r="I162" i="18"/>
  <c r="J162" i="18"/>
  <c r="K162" i="18"/>
  <c r="H264" i="18" l="1"/>
  <c r="I264" i="18"/>
  <c r="J264" i="18"/>
  <c r="K264" i="18"/>
  <c r="L264" i="18"/>
  <c r="M264" i="18"/>
  <c r="G324" i="18"/>
  <c r="M323" i="18"/>
  <c r="L323" i="18"/>
  <c r="K323" i="18"/>
  <c r="G323" i="18" s="1"/>
  <c r="G322" i="18"/>
  <c r="G320" i="18"/>
  <c r="M319" i="18"/>
  <c r="L319" i="18"/>
  <c r="K319" i="18"/>
  <c r="G319" i="18" s="1"/>
  <c r="G318" i="18"/>
  <c r="M145" i="18" l="1"/>
  <c r="M144" i="18" s="1"/>
  <c r="G149" i="18"/>
  <c r="G438" i="5" l="1"/>
  <c r="U302" i="6" l="1"/>
  <c r="T302" i="6"/>
  <c r="G301" i="6"/>
  <c r="F301" i="6"/>
  <c r="E301" i="6"/>
  <c r="D301" i="6"/>
  <c r="C301" i="6"/>
  <c r="M300" i="6"/>
  <c r="L300" i="6"/>
  <c r="H300" i="6" s="1"/>
  <c r="R356" i="6"/>
  <c r="R354" i="6" s="1"/>
  <c r="S346" i="6"/>
  <c r="S302" i="6" s="1"/>
  <c r="S354" i="6" l="1"/>
  <c r="K1012" i="5"/>
  <c r="M996" i="5"/>
  <c r="G989" i="5"/>
  <c r="G990" i="5"/>
  <c r="L973" i="5"/>
  <c r="G982" i="5"/>
  <c r="G981" i="5"/>
  <c r="L963" i="5"/>
  <c r="L964" i="5"/>
  <c r="G968" i="5"/>
  <c r="K967" i="5"/>
  <c r="G967" i="5" s="1"/>
  <c r="H956" i="5"/>
  <c r="I956" i="5"/>
  <c r="J956" i="5"/>
  <c r="K956" i="5"/>
  <c r="L956" i="5"/>
  <c r="M956" i="5"/>
  <c r="H958" i="5"/>
  <c r="I958" i="5"/>
  <c r="J958" i="5"/>
  <c r="K958" i="5"/>
  <c r="L958" i="5"/>
  <c r="M958" i="5"/>
  <c r="G962" i="5"/>
  <c r="G961" i="5" s="1"/>
  <c r="G957" i="5" s="1"/>
  <c r="M961" i="5"/>
  <c r="M957" i="5" s="1"/>
  <c r="L961" i="5"/>
  <c r="L957" i="5" s="1"/>
  <c r="K961" i="5"/>
  <c r="K957" i="5" s="1"/>
  <c r="J961" i="5"/>
  <c r="J957" i="5" s="1"/>
  <c r="I961" i="5"/>
  <c r="I957" i="5" s="1"/>
  <c r="H961" i="5"/>
  <c r="H957" i="5" s="1"/>
  <c r="G960" i="5"/>
  <c r="G956" i="5" s="1"/>
  <c r="G949" i="5"/>
  <c r="G931" i="5"/>
  <c r="L912" i="5"/>
  <c r="M921" i="5"/>
  <c r="G916" i="5"/>
  <c r="L898" i="5"/>
  <c r="L890" i="5"/>
  <c r="G958" i="5" l="1"/>
  <c r="H833" i="5"/>
  <c r="I833" i="5"/>
  <c r="J833" i="5"/>
  <c r="K833" i="5"/>
  <c r="L833" i="5"/>
  <c r="M833" i="5"/>
  <c r="H832" i="5"/>
  <c r="I832" i="5"/>
  <c r="J832" i="5"/>
  <c r="H831" i="5"/>
  <c r="I831" i="5"/>
  <c r="J831" i="5"/>
  <c r="K831" i="5"/>
  <c r="L831" i="5"/>
  <c r="M831" i="5"/>
  <c r="M844" i="5"/>
  <c r="G842" i="5" l="1"/>
  <c r="G841" i="5"/>
  <c r="L840" i="5"/>
  <c r="K840" i="5"/>
  <c r="G840" i="5" s="1"/>
  <c r="G839" i="5"/>
  <c r="M821" i="5"/>
  <c r="M828" i="5"/>
  <c r="G816" i="5"/>
  <c r="H779" i="5" l="1"/>
  <c r="I779" i="5"/>
  <c r="J779" i="5"/>
  <c r="K779" i="5"/>
  <c r="H781" i="5"/>
  <c r="H780" i="5" s="1"/>
  <c r="I781" i="5"/>
  <c r="I780" i="5" s="1"/>
  <c r="J781" i="5"/>
  <c r="J780" i="5" s="1"/>
  <c r="G785" i="5"/>
  <c r="G783" i="5"/>
  <c r="K784" i="5"/>
  <c r="K781" i="5" s="1"/>
  <c r="K780" i="5" s="1"/>
  <c r="G784" i="5" l="1"/>
  <c r="G781" i="5" s="1"/>
  <c r="X288" i="6"/>
  <c r="R257" i="6"/>
  <c r="R258" i="6"/>
  <c r="R259" i="6"/>
  <c r="R265" i="6"/>
  <c r="R267" i="6"/>
  <c r="R268" i="6"/>
  <c r="R269" i="6"/>
  <c r="R277" i="6"/>
  <c r="R279" i="6"/>
  <c r="R281" i="6"/>
  <c r="R283" i="6"/>
  <c r="R286" i="6"/>
  <c r="R287" i="6"/>
  <c r="M588" i="18" l="1"/>
  <c r="H616" i="18"/>
  <c r="I616" i="18"/>
  <c r="J616" i="18"/>
  <c r="K616" i="18"/>
  <c r="H617" i="18"/>
  <c r="I617" i="18"/>
  <c r="G847" i="18"/>
  <c r="G848" i="18"/>
  <c r="G849" i="18"/>
  <c r="G850" i="18"/>
  <c r="G851" i="18"/>
  <c r="G852" i="18"/>
  <c r="M845" i="18"/>
  <c r="M846" i="18"/>
  <c r="H837" i="18"/>
  <c r="I837" i="18"/>
  <c r="J837" i="18"/>
  <c r="K837" i="18"/>
  <c r="G841" i="18"/>
  <c r="H838" i="18"/>
  <c r="I838" i="18"/>
  <c r="J838" i="18"/>
  <c r="K838" i="18"/>
  <c r="G842" i="18"/>
  <c r="X285" i="6" l="1"/>
  <c r="X261" i="6"/>
  <c r="G747" i="18"/>
  <c r="G748" i="18"/>
  <c r="G759" i="18"/>
  <c r="G745" i="18" s="1"/>
  <c r="G760" i="18"/>
  <c r="G746" i="18" s="1"/>
  <c r="H724" i="18" l="1"/>
  <c r="I724" i="18"/>
  <c r="J724" i="18"/>
  <c r="K724" i="18"/>
  <c r="M724" i="18"/>
  <c r="X274" i="6" s="1"/>
  <c r="X273" i="6" s="1"/>
  <c r="H722" i="18"/>
  <c r="I722" i="18"/>
  <c r="J722" i="18"/>
  <c r="K722" i="18"/>
  <c r="M722" i="18"/>
  <c r="G722" i="18"/>
  <c r="G740" i="18"/>
  <c r="G737" i="18"/>
  <c r="H712" i="18"/>
  <c r="I712" i="18"/>
  <c r="J712" i="18"/>
  <c r="K712" i="18"/>
  <c r="L712" i="18"/>
  <c r="H714" i="18"/>
  <c r="I714" i="18"/>
  <c r="J714" i="18"/>
  <c r="K714" i="18"/>
  <c r="V272" i="6" s="1"/>
  <c r="R272" i="6" s="1"/>
  <c r="L714" i="18"/>
  <c r="M714" i="18"/>
  <c r="X272" i="6" s="1"/>
  <c r="X249" i="6" s="1"/>
  <c r="X241" i="6" s="1"/>
  <c r="G718" i="18"/>
  <c r="G720" i="18"/>
  <c r="G721" i="18"/>
  <c r="G714" i="18" s="1"/>
  <c r="G716" i="18"/>
  <c r="G658" i="18"/>
  <c r="G659" i="18"/>
  <c r="G656" i="18"/>
  <c r="K618" i="18"/>
  <c r="K623" i="18"/>
  <c r="G623" i="18" s="1"/>
  <c r="G624" i="18"/>
  <c r="G625" i="18"/>
  <c r="G626" i="18"/>
  <c r="G627" i="18"/>
  <c r="G622" i="18"/>
  <c r="H588" i="18"/>
  <c r="I588" i="18"/>
  <c r="J588" i="18"/>
  <c r="K588" i="18"/>
  <c r="H586" i="18"/>
  <c r="I586" i="18"/>
  <c r="J586" i="18"/>
  <c r="K586" i="18"/>
  <c r="G590" i="18"/>
  <c r="G592" i="18"/>
  <c r="G593" i="18"/>
  <c r="G594" i="18"/>
  <c r="G596" i="18"/>
  <c r="G591" i="18"/>
  <c r="H540" i="18"/>
  <c r="I540" i="18"/>
  <c r="J540" i="18"/>
  <c r="K540" i="18"/>
  <c r="G542" i="18"/>
  <c r="H541" i="18"/>
  <c r="I541" i="18"/>
  <c r="J541" i="18"/>
  <c r="K541" i="18"/>
  <c r="V256" i="6" s="1"/>
  <c r="G543" i="18"/>
  <c r="R256" i="6" l="1"/>
  <c r="M713" i="18"/>
  <c r="G616" i="18"/>
  <c r="G618" i="18"/>
  <c r="G617" i="18" s="1"/>
  <c r="V263" i="6"/>
  <c r="R263" i="6" s="1"/>
  <c r="K617" i="18"/>
  <c r="G586" i="18"/>
  <c r="G588" i="18"/>
  <c r="L647" i="5" l="1"/>
  <c r="K647" i="5"/>
  <c r="G747" i="5"/>
  <c r="G748" i="5"/>
  <c r="G749" i="5"/>
  <c r="G750" i="5"/>
  <c r="G659" i="5"/>
  <c r="G660" i="5"/>
  <c r="G657" i="5"/>
  <c r="K653" i="5"/>
  <c r="G653" i="5" s="1"/>
  <c r="W95" i="6" l="1"/>
  <c r="X150" i="6"/>
  <c r="X125" i="6"/>
  <c r="X101" i="6" s="1"/>
  <c r="X124" i="6"/>
  <c r="X99" i="6" s="1"/>
  <c r="W131" i="6" l="1"/>
  <c r="W132" i="6"/>
  <c r="W101" i="6" s="1"/>
  <c r="S101" i="6"/>
  <c r="T101" i="6"/>
  <c r="U101" i="6"/>
  <c r="S99" i="6"/>
  <c r="T99" i="6"/>
  <c r="U99" i="6"/>
  <c r="R151" i="6"/>
  <c r="V150" i="6"/>
  <c r="R150" i="6" s="1"/>
  <c r="R140" i="6"/>
  <c r="R136" i="6"/>
  <c r="S129" i="6"/>
  <c r="T129" i="6"/>
  <c r="U129" i="6"/>
  <c r="V118" i="6"/>
  <c r="V99" i="6" l="1"/>
  <c r="R118" i="6"/>
  <c r="R99" i="6" s="1"/>
  <c r="W99" i="6"/>
  <c r="L130" i="18"/>
  <c r="L164" i="18"/>
  <c r="M164" i="18"/>
  <c r="L175" i="18"/>
  <c r="M175" i="18"/>
  <c r="H392" i="18"/>
  <c r="I392" i="18"/>
  <c r="J392" i="18"/>
  <c r="K392" i="18"/>
  <c r="V148" i="6" s="1"/>
  <c r="R148" i="6" s="1"/>
  <c r="H164" i="18"/>
  <c r="I164" i="18"/>
  <c r="J164" i="18"/>
  <c r="K164" i="18"/>
  <c r="V135" i="6" s="1"/>
  <c r="R135" i="6" s="1"/>
  <c r="G176" i="18"/>
  <c r="K175" i="18"/>
  <c r="G175" i="18" s="1"/>
  <c r="M140" i="18"/>
  <c r="L51" i="18"/>
  <c r="H51" i="18"/>
  <c r="I51" i="18"/>
  <c r="J51" i="18"/>
  <c r="U120" i="6" s="1"/>
  <c r="U100" i="6" s="1"/>
  <c r="K51" i="18"/>
  <c r="V120" i="6" s="1"/>
  <c r="H104" i="18"/>
  <c r="I104" i="18"/>
  <c r="J104" i="18"/>
  <c r="K104" i="18"/>
  <c r="V127" i="6" s="1"/>
  <c r="V143" i="6"/>
  <c r="H256" i="18"/>
  <c r="H255" i="18" s="1"/>
  <c r="I256" i="18"/>
  <c r="I255" i="18" s="1"/>
  <c r="J256" i="18"/>
  <c r="J255" i="18" s="1"/>
  <c r="K256" i="18"/>
  <c r="V142" i="6" s="1"/>
  <c r="R142" i="6" s="1"/>
  <c r="H243" i="18"/>
  <c r="I243" i="18"/>
  <c r="J243" i="18"/>
  <c r="H244" i="18"/>
  <c r="I244" i="18"/>
  <c r="J244" i="18"/>
  <c r="K244" i="18"/>
  <c r="V141" i="6" s="1"/>
  <c r="R141" i="6" s="1"/>
  <c r="M200" i="18"/>
  <c r="X138" i="6" s="1"/>
  <c r="G204" i="18"/>
  <c r="G200" i="18" s="1"/>
  <c r="G205" i="18"/>
  <c r="G207" i="18"/>
  <c r="G208" i="18"/>
  <c r="K200" i="18"/>
  <c r="V138" i="6" s="1"/>
  <c r="R138" i="6" s="1"/>
  <c r="L132" i="18"/>
  <c r="W130" i="6" s="1"/>
  <c r="W129" i="6" s="1"/>
  <c r="H132" i="18"/>
  <c r="I132" i="18"/>
  <c r="J132" i="18"/>
  <c r="K132" i="18"/>
  <c r="V130" i="6" s="1"/>
  <c r="V129" i="6" s="1"/>
  <c r="L133" i="18"/>
  <c r="H131" i="18"/>
  <c r="I131" i="18"/>
  <c r="J131" i="18"/>
  <c r="M132" i="18"/>
  <c r="L416" i="18"/>
  <c r="W150" i="6" s="1"/>
  <c r="H428" i="18"/>
  <c r="I428" i="18"/>
  <c r="J428" i="18"/>
  <c r="K428" i="18"/>
  <c r="V152" i="6" s="1"/>
  <c r="R152" i="6" s="1"/>
  <c r="L428" i="18"/>
  <c r="W152" i="6" s="1"/>
  <c r="M428" i="18"/>
  <c r="H427" i="18"/>
  <c r="I427" i="18"/>
  <c r="J427" i="18"/>
  <c r="M427" i="18"/>
  <c r="G432" i="18"/>
  <c r="G428" i="18" s="1"/>
  <c r="K431" i="18"/>
  <c r="K427" i="18" s="1"/>
  <c r="L423" i="18"/>
  <c r="L415" i="18" s="1"/>
  <c r="G431" i="18" l="1"/>
  <c r="G427" i="18" s="1"/>
  <c r="R130" i="6"/>
  <c r="R129" i="6" s="1"/>
  <c r="R120" i="6"/>
  <c r="K255" i="18"/>
  <c r="M406" i="18"/>
  <c r="L411" i="18"/>
  <c r="L407" i="18" s="1"/>
  <c r="M411" i="18"/>
  <c r="M407" i="18" s="1"/>
  <c r="H407" i="18"/>
  <c r="I407" i="18"/>
  <c r="J407" i="18"/>
  <c r="H408" i="18"/>
  <c r="I408" i="18"/>
  <c r="J408" i="18"/>
  <c r="K408" i="18"/>
  <c r="L408" i="18"/>
  <c r="W149" i="6" s="1"/>
  <c r="M408" i="18"/>
  <c r="X149" i="6" s="1"/>
  <c r="G412" i="18"/>
  <c r="G408" i="18" s="1"/>
  <c r="K411" i="18"/>
  <c r="K407" i="18" s="1"/>
  <c r="V149" i="6" s="1"/>
  <c r="R149" i="6" s="1"/>
  <c r="H352" i="18"/>
  <c r="I352" i="18"/>
  <c r="J352" i="18"/>
  <c r="K352" i="18"/>
  <c r="V145" i="6" s="1"/>
  <c r="R145" i="6" s="1"/>
  <c r="L352" i="18"/>
  <c r="L355" i="18"/>
  <c r="G360" i="18"/>
  <c r="G359" i="18" s="1"/>
  <c r="G351" i="18" s="1"/>
  <c r="H359" i="18"/>
  <c r="H351" i="18" s="1"/>
  <c r="I359" i="18"/>
  <c r="I351" i="18" s="1"/>
  <c r="J359" i="18"/>
  <c r="J351" i="18" s="1"/>
  <c r="K359" i="18"/>
  <c r="K351" i="18" s="1"/>
  <c r="H332" i="18"/>
  <c r="H331" i="18" s="1"/>
  <c r="I332" i="18"/>
  <c r="I331" i="18" s="1"/>
  <c r="J332" i="18"/>
  <c r="J331" i="18" s="1"/>
  <c r="K332" i="18"/>
  <c r="G344" i="18"/>
  <c r="G332" i="18" s="1"/>
  <c r="K343" i="18"/>
  <c r="G343" i="18" s="1"/>
  <c r="G411" i="18" l="1"/>
  <c r="G407" i="18" s="1"/>
  <c r="K331" i="18"/>
  <c r="V144" i="6"/>
  <c r="R144" i="6" s="1"/>
  <c r="G352" i="18"/>
  <c r="K315" i="18"/>
  <c r="G312" i="18"/>
  <c r="K311" i="18"/>
  <c r="G311" i="18" s="1"/>
  <c r="G276" i="18"/>
  <c r="M282" i="18"/>
  <c r="G279" i="18"/>
  <c r="K278" i="18"/>
  <c r="G260" i="18"/>
  <c r="K259" i="18"/>
  <c r="G248" i="18"/>
  <c r="G244" i="18" s="1"/>
  <c r="K247" i="18"/>
  <c r="G217" i="18"/>
  <c r="P217" i="18"/>
  <c r="G247" i="18" l="1"/>
  <c r="G243" i="18" s="1"/>
  <c r="K243" i="18"/>
  <c r="G219" i="18"/>
  <c r="K218" i="18"/>
  <c r="H211" i="18"/>
  <c r="H210" i="18" s="1"/>
  <c r="I211" i="18"/>
  <c r="I210" i="18" s="1"/>
  <c r="J211" i="18"/>
  <c r="J210" i="18" s="1"/>
  <c r="K211" i="18"/>
  <c r="G215" i="18"/>
  <c r="K214" i="18"/>
  <c r="K203" i="18"/>
  <c r="G203" i="18" s="1"/>
  <c r="G197" i="18"/>
  <c r="K196" i="18"/>
  <c r="G196" i="18" s="1"/>
  <c r="H180" i="18"/>
  <c r="I180" i="18"/>
  <c r="J180" i="18"/>
  <c r="K180" i="18"/>
  <c r="V137" i="6" s="1"/>
  <c r="R137" i="6" s="1"/>
  <c r="G193" i="18"/>
  <c r="G168" i="18"/>
  <c r="K167" i="18"/>
  <c r="L140" i="18"/>
  <c r="G138" i="18"/>
  <c r="G137" i="18"/>
  <c r="G136" i="18"/>
  <c r="L135" i="18"/>
  <c r="K135" i="18"/>
  <c r="G135" i="18" s="1"/>
  <c r="G134" i="18"/>
  <c r="K140" i="18"/>
  <c r="G141" i="18"/>
  <c r="G108" i="18"/>
  <c r="K107" i="18"/>
  <c r="G107" i="18" s="1"/>
  <c r="M85" i="18"/>
  <c r="M88" i="18"/>
  <c r="M87" i="18"/>
  <c r="X123" i="6" s="1"/>
  <c r="X122" i="6" s="1"/>
  <c r="M94" i="18"/>
  <c r="G66" i="18"/>
  <c r="G80" i="18"/>
  <c r="G82" i="18"/>
  <c r="G83" i="18"/>
  <c r="G84" i="18"/>
  <c r="K81" i="18"/>
  <c r="J81" i="18"/>
  <c r="K131" i="18" l="1"/>
  <c r="K210" i="18"/>
  <c r="V139" i="6"/>
  <c r="R139" i="6" s="1"/>
  <c r="G132" i="18"/>
  <c r="L131" i="18"/>
  <c r="G180" i="18"/>
  <c r="G81" i="18"/>
  <c r="P65" i="18" l="1"/>
  <c r="L64" i="18" s="1"/>
  <c r="H21" i="5" l="1"/>
  <c r="I21" i="5"/>
  <c r="J21" i="5"/>
  <c r="K21" i="5"/>
  <c r="G21" i="5"/>
  <c r="R31" i="6" s="1"/>
  <c r="R23" i="6" s="1"/>
  <c r="M267" i="5"/>
  <c r="M265" i="5"/>
  <c r="L265" i="5"/>
  <c r="L267" i="5"/>
  <c r="L183" i="5"/>
  <c r="L167" i="5"/>
  <c r="K374" i="5"/>
  <c r="G374" i="5" s="1"/>
  <c r="G169" i="5"/>
  <c r="G171" i="5"/>
  <c r="L47" i="5"/>
  <c r="M203" i="5" l="1"/>
  <c r="L178" i="5"/>
  <c r="M45" i="5" l="1"/>
  <c r="K419" i="5"/>
  <c r="K170" i="5"/>
  <c r="G67" i="5"/>
  <c r="H87" i="15" l="1"/>
  <c r="G87" i="15"/>
  <c r="M17" i="14" l="1"/>
  <c r="G24" i="15" l="1"/>
  <c r="M35" i="14" l="1"/>
  <c r="K1208" i="18" l="1"/>
  <c r="H183" i="5" l="1"/>
  <c r="I183" i="5"/>
  <c r="J183" i="5"/>
  <c r="K183" i="5"/>
  <c r="G196" i="5"/>
  <c r="G183" i="5" s="1"/>
  <c r="H377" i="5"/>
  <c r="I377" i="5"/>
  <c r="J377" i="5"/>
  <c r="K377" i="5"/>
  <c r="M49" i="14" l="1"/>
  <c r="M44" i="14" l="1"/>
  <c r="U24" i="6" l="1"/>
  <c r="S35" i="14" l="1"/>
  <c r="R35" i="14"/>
  <c r="Q35" i="14"/>
  <c r="K423" i="5" l="1"/>
  <c r="L298" i="5" l="1"/>
  <c r="S18" i="6" l="1"/>
  <c r="T18" i="6"/>
  <c r="U18" i="6"/>
  <c r="W18" i="6"/>
  <c r="X18" i="6"/>
  <c r="C46" i="15" l="1"/>
  <c r="C47" i="15"/>
  <c r="C48" i="15"/>
  <c r="C49" i="15"/>
  <c r="C51" i="15"/>
  <c r="C57" i="15"/>
  <c r="C63" i="15"/>
  <c r="B67" i="15"/>
  <c r="Y225" i="6"/>
  <c r="W444" i="6"/>
  <c r="B61" i="15" l="1"/>
  <c r="B22" i="15" s="1"/>
  <c r="B60" i="15" l="1"/>
  <c r="B58" i="15" l="1"/>
  <c r="G77" i="15" l="1"/>
  <c r="G69" i="15" s="1"/>
  <c r="G64" i="15" l="1"/>
  <c r="G65" i="15"/>
  <c r="G32" i="15"/>
  <c r="G37" i="15"/>
  <c r="G425" i="5"/>
  <c r="H417" i="5"/>
  <c r="H415" i="5" s="1"/>
  <c r="I417" i="5"/>
  <c r="I415" i="5" s="1"/>
  <c r="J417" i="5"/>
  <c r="J415" i="5" s="1"/>
  <c r="K417" i="5"/>
  <c r="H419" i="5"/>
  <c r="I419" i="5"/>
  <c r="J419" i="5"/>
  <c r="G421" i="5"/>
  <c r="K415" i="5" l="1"/>
  <c r="K25" i="5"/>
  <c r="K17" i="5" l="1"/>
  <c r="V27" i="6" s="1"/>
  <c r="G25" i="5"/>
  <c r="V18" i="6" l="1"/>
  <c r="V35" i="6"/>
  <c r="G17" i="5"/>
  <c r="R27" i="6" s="1"/>
  <c r="R18" i="6" l="1"/>
  <c r="R35" i="6"/>
  <c r="G1166" i="5" l="1"/>
  <c r="G1169" i="5"/>
  <c r="G1170" i="5"/>
  <c r="G1173" i="5"/>
  <c r="G1174" i="5"/>
  <c r="G1177" i="5"/>
  <c r="G1178" i="5"/>
  <c r="G1181" i="5"/>
  <c r="G1182" i="5"/>
  <c r="R480" i="6" l="1"/>
  <c r="M36" i="14"/>
  <c r="E75" i="14" l="1"/>
  <c r="M28" i="14"/>
  <c r="M16" i="14"/>
  <c r="M20" i="14"/>
  <c r="X13" i="18" l="1"/>
  <c r="U13" i="18"/>
  <c r="R13" i="18"/>
  <c r="V13" i="5"/>
  <c r="V418" i="6" l="1"/>
  <c r="X342" i="6" l="1"/>
  <c r="M944" i="18"/>
  <c r="L944" i="18"/>
  <c r="H1254" i="18"/>
  <c r="I1254" i="18"/>
  <c r="J1254" i="18"/>
  <c r="K1254" i="18"/>
  <c r="L1254" i="18"/>
  <c r="M1254" i="18"/>
  <c r="H1256" i="18"/>
  <c r="I1256" i="18"/>
  <c r="J1256" i="18"/>
  <c r="K1256" i="18"/>
  <c r="V337" i="6" s="1"/>
  <c r="L1256" i="18"/>
  <c r="W337" i="6" s="1"/>
  <c r="M1256" i="18"/>
  <c r="X337" i="6" s="1"/>
  <c r="M1273" i="18"/>
  <c r="L1197" i="18"/>
  <c r="H1104" i="18" l="1"/>
  <c r="I1104" i="18"/>
  <c r="J1104" i="18"/>
  <c r="K1104" i="18"/>
  <c r="L1104" i="18"/>
  <c r="G1104" i="18"/>
  <c r="W322" i="6"/>
  <c r="X322" i="6"/>
  <c r="H1091" i="18"/>
  <c r="I1091" i="18"/>
  <c r="J1091" i="18"/>
  <c r="M1051" i="18"/>
  <c r="L1051" i="18"/>
  <c r="G1033" i="18"/>
  <c r="H1030" i="18"/>
  <c r="I1030" i="18"/>
  <c r="J1030" i="18"/>
  <c r="K1030" i="18"/>
  <c r="G1031" i="18"/>
  <c r="L1018" i="18"/>
  <c r="M968" i="18"/>
  <c r="M924" i="5" l="1"/>
  <c r="G903" i="5"/>
  <c r="G901" i="5"/>
  <c r="K902" i="5"/>
  <c r="G902" i="5" s="1"/>
  <c r="G904" i="5"/>
  <c r="G905" i="5"/>
  <c r="K298" i="5" l="1"/>
  <c r="L613" i="5" l="1"/>
  <c r="H653" i="5"/>
  <c r="I653" i="5"/>
  <c r="J653" i="5"/>
  <c r="G1176" i="5" l="1"/>
  <c r="M352" i="18" l="1"/>
  <c r="M355" i="18"/>
  <c r="G76" i="5"/>
  <c r="K376" i="5"/>
  <c r="G376" i="5" s="1"/>
  <c r="M470" i="18" l="1"/>
  <c r="X179" i="6" s="1"/>
  <c r="M490" i="18" l="1"/>
  <c r="M473" i="18" s="1"/>
  <c r="M501" i="18"/>
  <c r="M497" i="18"/>
  <c r="M493" i="18"/>
  <c r="L473" i="18"/>
  <c r="X145" i="6"/>
  <c r="X132" i="6"/>
  <c r="X130" i="6"/>
  <c r="M416" i="18"/>
  <c r="M423" i="18"/>
  <c r="M415" i="18" s="1"/>
  <c r="M399" i="18"/>
  <c r="M332" i="18"/>
  <c r="X144" i="6" s="1"/>
  <c r="M343" i="18"/>
  <c r="M298" i="18"/>
  <c r="M278" i="18"/>
  <c r="M218" i="18"/>
  <c r="M211" i="18"/>
  <c r="M210" i="18" s="1"/>
  <c r="M214" i="18"/>
  <c r="M104" i="18"/>
  <c r="X127" i="6" s="1"/>
  <c r="M107" i="18"/>
  <c r="H473" i="18"/>
  <c r="H472" i="18" s="1"/>
  <c r="I473" i="18"/>
  <c r="I472" i="18" s="1"/>
  <c r="J473" i="18"/>
  <c r="J472" i="18" s="1"/>
  <c r="K473" i="18"/>
  <c r="G514" i="18"/>
  <c r="G473" i="18" s="1"/>
  <c r="K513" i="18"/>
  <c r="G513" i="18" s="1"/>
  <c r="J517" i="18"/>
  <c r="L290" i="18"/>
  <c r="G469" i="18"/>
  <c r="X129" i="6" l="1"/>
  <c r="M489" i="18"/>
  <c r="M331" i="18"/>
  <c r="X139" i="6"/>
  <c r="G472" i="18"/>
  <c r="R182" i="6"/>
  <c r="M86" i="18"/>
  <c r="K472" i="18"/>
  <c r="V182" i="6"/>
  <c r="L472" i="18"/>
  <c r="W182" i="6"/>
  <c r="M472" i="18"/>
  <c r="X182" i="6"/>
  <c r="X181" i="6" s="1"/>
  <c r="W118" i="6"/>
  <c r="W145" i="6"/>
  <c r="L332" i="18"/>
  <c r="W144" i="6" s="1"/>
  <c r="L181" i="18"/>
  <c r="L180" i="18"/>
  <c r="W137" i="6" s="1"/>
  <c r="L343" i="18"/>
  <c r="L200" i="18"/>
  <c r="W138" i="6" s="1"/>
  <c r="L203" i="18"/>
  <c r="L104" i="18"/>
  <c r="W127" i="6" s="1"/>
  <c r="L94" i="18"/>
  <c r="S117" i="6"/>
  <c r="T117" i="6"/>
  <c r="U117" i="6"/>
  <c r="L81" i="18"/>
  <c r="L37" i="18"/>
  <c r="W114" i="6" s="1"/>
  <c r="L21" i="18"/>
  <c r="M21" i="18"/>
  <c r="L24" i="18"/>
  <c r="M24" i="18"/>
  <c r="U216" i="6"/>
  <c r="W143" i="6"/>
  <c r="X143" i="6"/>
  <c r="G468" i="18"/>
  <c r="R156" i="6" s="1"/>
  <c r="K467" i="18"/>
  <c r="V156" i="6" s="1"/>
  <c r="G426" i="18"/>
  <c r="L426" i="18"/>
  <c r="G429" i="18"/>
  <c r="L429" i="18"/>
  <c r="L431" i="18"/>
  <c r="L427" i="18" s="1"/>
  <c r="L435" i="18"/>
  <c r="G405" i="18"/>
  <c r="G287" i="18"/>
  <c r="G288" i="18"/>
  <c r="G285" i="18"/>
  <c r="K286" i="18"/>
  <c r="G286" i="18" s="1"/>
  <c r="G299" i="18"/>
  <c r="G300" i="18"/>
  <c r="G297" i="18"/>
  <c r="K298" i="18"/>
  <c r="G298" i="18" s="1"/>
  <c r="K87" i="18"/>
  <c r="G96" i="18"/>
  <c r="K94" i="18"/>
  <c r="K86" i="18" l="1"/>
  <c r="V123" i="6"/>
  <c r="R123" i="6" s="1"/>
  <c r="V122" i="6"/>
  <c r="L20" i="18"/>
  <c r="S216" i="6"/>
  <c r="S96" i="6"/>
  <c r="T216" i="6"/>
  <c r="T96" i="6"/>
  <c r="W111" i="6"/>
  <c r="W120" i="6"/>
  <c r="G467" i="18"/>
  <c r="W110" i="6" l="1"/>
  <c r="M379" i="5"/>
  <c r="M199" i="5" l="1"/>
  <c r="M245" i="5"/>
  <c r="M247" i="5"/>
  <c r="M246" i="5" s="1"/>
  <c r="M250" i="5"/>
  <c r="K401" i="5"/>
  <c r="G413" i="5"/>
  <c r="K270" i="5"/>
  <c r="G300" i="5"/>
  <c r="H731" i="18" l="1"/>
  <c r="I731" i="18"/>
  <c r="J731" i="18"/>
  <c r="K731" i="18"/>
  <c r="W250" i="6" l="1"/>
  <c r="W242" i="6" s="1"/>
  <c r="X250" i="6"/>
  <c r="X242" i="6" s="1"/>
  <c r="S250" i="6"/>
  <c r="S242" i="6" s="1"/>
  <c r="T250" i="6"/>
  <c r="T242" i="6" s="1"/>
  <c r="U250" i="6"/>
  <c r="S273" i="6"/>
  <c r="T273" i="6"/>
  <c r="U273" i="6"/>
  <c r="G734" i="18"/>
  <c r="U242" i="6" l="1"/>
  <c r="O28" i="14"/>
  <c r="G647" i="5" l="1"/>
  <c r="K637" i="5"/>
  <c r="L28" i="14" l="1"/>
  <c r="C45" i="15" l="1"/>
  <c r="J52" i="15" l="1"/>
  <c r="K52" i="15"/>
  <c r="L52" i="15"/>
  <c r="M52" i="15"/>
  <c r="J53" i="15"/>
  <c r="K53" i="15"/>
  <c r="L53" i="15"/>
  <c r="M53" i="15"/>
  <c r="P28" i="14" l="1"/>
  <c r="Q28" i="14" s="1"/>
  <c r="R28" i="14" s="1"/>
  <c r="S28" i="14" s="1"/>
  <c r="F28" i="14" s="1"/>
  <c r="H66" i="15"/>
  <c r="I66" i="15"/>
  <c r="G66" i="15"/>
  <c r="I65" i="15"/>
  <c r="H64" i="15"/>
  <c r="I64" i="15"/>
  <c r="H52" i="15"/>
  <c r="I52" i="15"/>
  <c r="G52" i="15"/>
  <c r="H65" i="15"/>
  <c r="J66" i="15"/>
  <c r="K66" i="15"/>
  <c r="L66" i="15"/>
  <c r="M66" i="15"/>
  <c r="J65" i="15"/>
  <c r="J47" i="15" s="1"/>
  <c r="K65" i="15"/>
  <c r="L65" i="15"/>
  <c r="M65" i="15"/>
  <c r="J64" i="15"/>
  <c r="J46" i="15" s="1"/>
  <c r="K64" i="15"/>
  <c r="K46" i="15" s="1"/>
  <c r="L64" i="15"/>
  <c r="L46" i="15" s="1"/>
  <c r="M64" i="15"/>
  <c r="M46" i="15" s="1"/>
  <c r="H59" i="15"/>
  <c r="I59" i="15"/>
  <c r="K59" i="15"/>
  <c r="K47" i="15" s="1"/>
  <c r="L59" i="15"/>
  <c r="M59" i="15"/>
  <c r="G59" i="15"/>
  <c r="H55" i="15"/>
  <c r="H49" i="15" s="1"/>
  <c r="I55" i="15"/>
  <c r="I49" i="15" s="1"/>
  <c r="J55" i="15"/>
  <c r="J49" i="15" s="1"/>
  <c r="L55" i="15"/>
  <c r="L49" i="15" s="1"/>
  <c r="M55" i="15"/>
  <c r="M49" i="15" s="1"/>
  <c r="G55" i="15"/>
  <c r="H54" i="15"/>
  <c r="I54" i="15"/>
  <c r="J54" i="15"/>
  <c r="K54" i="15"/>
  <c r="L54" i="15"/>
  <c r="M54" i="15"/>
  <c r="G54" i="15"/>
  <c r="H46" i="15" l="1"/>
  <c r="I46" i="15"/>
  <c r="B54" i="15"/>
  <c r="I48" i="15"/>
  <c r="L47" i="15"/>
  <c r="B64" i="15"/>
  <c r="H48" i="15"/>
  <c r="B59" i="15"/>
  <c r="G46" i="15"/>
  <c r="B52" i="15"/>
  <c r="G49" i="15"/>
  <c r="M47" i="15"/>
  <c r="G48" i="15"/>
  <c r="K55" i="15"/>
  <c r="K49" i="15" s="1"/>
  <c r="E15" i="15"/>
  <c r="D15" i="15"/>
  <c r="C15" i="15"/>
  <c r="F13" i="15"/>
  <c r="E13" i="15"/>
  <c r="F12" i="15"/>
  <c r="J21" i="15"/>
  <c r="I21" i="15"/>
  <c r="I9" i="15" s="1"/>
  <c r="H21" i="15"/>
  <c r="G21" i="15"/>
  <c r="G9" i="15" s="1"/>
  <c r="F21" i="15"/>
  <c r="F9" i="15" s="1"/>
  <c r="E21" i="15"/>
  <c r="D21" i="15"/>
  <c r="C21" i="15"/>
  <c r="J20" i="15"/>
  <c r="I20" i="15"/>
  <c r="H20" i="15"/>
  <c r="H8" i="15" s="1"/>
  <c r="G20" i="15"/>
  <c r="F20" i="15"/>
  <c r="E20" i="15"/>
  <c r="D20" i="15"/>
  <c r="D8" i="15" s="1"/>
  <c r="C20" i="15"/>
  <c r="C8" i="15" s="1"/>
  <c r="D19" i="15"/>
  <c r="C19" i="15"/>
  <c r="C7" i="15" s="1"/>
  <c r="J18" i="15"/>
  <c r="I18" i="15"/>
  <c r="I6" i="15" s="1"/>
  <c r="H18" i="15"/>
  <c r="H6" i="15" s="1"/>
  <c r="G18" i="15"/>
  <c r="G6" i="15" s="1"/>
  <c r="F18" i="15"/>
  <c r="E18" i="15"/>
  <c r="E6" i="15" s="1"/>
  <c r="D18" i="15"/>
  <c r="D6" i="15" s="1"/>
  <c r="C18" i="15"/>
  <c r="C6" i="15" s="1"/>
  <c r="J9" i="15"/>
  <c r="I8" i="15"/>
  <c r="F26" i="15"/>
  <c r="E26" i="15"/>
  <c r="F25" i="15"/>
  <c r="F23" i="15" s="1"/>
  <c r="E25" i="15"/>
  <c r="K6" i="15"/>
  <c r="L6" i="15"/>
  <c r="M6" i="15"/>
  <c r="D7" i="15"/>
  <c r="K7" i="15"/>
  <c r="L7" i="15"/>
  <c r="M7" i="15"/>
  <c r="J8" i="15"/>
  <c r="K8" i="15"/>
  <c r="L8" i="15"/>
  <c r="M8" i="15"/>
  <c r="K9" i="15"/>
  <c r="L9" i="15"/>
  <c r="M9" i="15"/>
  <c r="C11" i="15"/>
  <c r="D11" i="15"/>
  <c r="J11" i="15"/>
  <c r="K11" i="15"/>
  <c r="L11" i="15"/>
  <c r="M11" i="15"/>
  <c r="K17" i="15"/>
  <c r="L17" i="15"/>
  <c r="M17" i="15"/>
  <c r="C23" i="15"/>
  <c r="D23" i="15"/>
  <c r="G23" i="15"/>
  <c r="J23" i="15"/>
  <c r="K23" i="15"/>
  <c r="L23" i="15"/>
  <c r="M23" i="15"/>
  <c r="E7" i="15" l="1"/>
  <c r="F7" i="15"/>
  <c r="F8" i="15"/>
  <c r="G17" i="15"/>
  <c r="D17" i="15"/>
  <c r="H17" i="15"/>
  <c r="E17" i="15"/>
  <c r="E8" i="15"/>
  <c r="I17" i="15"/>
  <c r="C9" i="15"/>
  <c r="C5" i="15" s="1"/>
  <c r="F11" i="15"/>
  <c r="E9" i="15"/>
  <c r="E23" i="15"/>
  <c r="D9" i="15"/>
  <c r="H9" i="15"/>
  <c r="E11" i="15"/>
  <c r="B55" i="15"/>
  <c r="F6" i="15"/>
  <c r="F5" i="15" s="1"/>
  <c r="I23" i="15"/>
  <c r="J6" i="15"/>
  <c r="F17" i="15"/>
  <c r="C17" i="15"/>
  <c r="M5" i="15"/>
  <c r="L5" i="15"/>
  <c r="G8" i="15"/>
  <c r="K5" i="15"/>
  <c r="H23" i="15"/>
  <c r="E5" i="15"/>
  <c r="I33" i="15" l="1"/>
  <c r="G33" i="15"/>
  <c r="G31" i="15" l="1"/>
  <c r="M133" i="18"/>
  <c r="X620" i="6"/>
  <c r="X537" i="6" s="1"/>
  <c r="W620" i="6"/>
  <c r="W537" i="6" s="1"/>
  <c r="G53" i="15" l="1"/>
  <c r="G47" i="15" s="1"/>
  <c r="G7" i="15"/>
  <c r="G5" i="15" s="1"/>
  <c r="G11" i="15"/>
  <c r="M1179" i="18"/>
  <c r="G43" i="15" l="1"/>
  <c r="G45" i="15"/>
  <c r="M1175" i="18"/>
  <c r="W342" i="6"/>
  <c r="V342" i="6" l="1"/>
  <c r="G1308" i="18"/>
  <c r="G829" i="5" l="1"/>
  <c r="X197" i="6"/>
  <c r="X205" i="6"/>
  <c r="X248" i="6" l="1"/>
  <c r="V288" i="6" l="1"/>
  <c r="W288" i="6"/>
  <c r="G648" i="5" l="1"/>
  <c r="L649" i="5"/>
  <c r="G740" i="5"/>
  <c r="G23" i="18" l="1"/>
  <c r="K24" i="18"/>
  <c r="G24" i="18" s="1"/>
  <c r="G25" i="18"/>
  <c r="G26" i="18"/>
  <c r="G1335" i="18" l="1"/>
  <c r="G1334" i="18"/>
  <c r="L1333" i="18"/>
  <c r="J1333" i="18"/>
  <c r="I1333" i="18"/>
  <c r="H1333" i="18"/>
  <c r="G1331" i="18"/>
  <c r="J1329" i="18"/>
  <c r="I1329" i="18"/>
  <c r="H1329" i="18"/>
  <c r="G1327" i="18"/>
  <c r="J1325" i="18"/>
  <c r="I1325" i="18"/>
  <c r="H1325" i="18"/>
  <c r="G1323" i="18"/>
  <c r="G1322" i="18"/>
  <c r="M1321" i="18"/>
  <c r="L1321" i="18"/>
  <c r="K1321" i="18"/>
  <c r="J1321" i="18"/>
  <c r="I1321" i="18"/>
  <c r="H1321" i="18"/>
  <c r="G1319" i="18"/>
  <c r="G1318" i="18"/>
  <c r="M1317" i="18"/>
  <c r="L1317" i="18"/>
  <c r="K1317" i="18"/>
  <c r="J1317" i="18"/>
  <c r="I1317" i="18"/>
  <c r="H1317" i="18"/>
  <c r="M1315" i="18"/>
  <c r="L1315" i="18"/>
  <c r="K1315" i="18"/>
  <c r="G1315" i="18" s="1"/>
  <c r="J1315" i="18"/>
  <c r="J1340" i="18" s="1"/>
  <c r="I1315" i="18"/>
  <c r="I1340" i="18" s="1"/>
  <c r="H1315" i="18"/>
  <c r="M1314" i="18"/>
  <c r="L1314" i="18"/>
  <c r="J1314" i="18"/>
  <c r="I1314" i="18"/>
  <c r="M1313" i="18"/>
  <c r="L1313" i="18"/>
  <c r="J1313" i="18"/>
  <c r="I1313" i="18"/>
  <c r="H1313" i="18"/>
  <c r="G1302" i="18"/>
  <c r="G1296" i="18" s="1"/>
  <c r="L1301" i="18"/>
  <c r="K1294" i="18"/>
  <c r="M1297" i="18"/>
  <c r="L1297" i="18"/>
  <c r="J1297" i="18"/>
  <c r="I1297" i="18"/>
  <c r="H1297" i="18"/>
  <c r="X341" i="6"/>
  <c r="W341" i="6"/>
  <c r="M1294" i="18"/>
  <c r="L1294" i="18"/>
  <c r="J1294" i="18"/>
  <c r="I1294" i="18"/>
  <c r="H1294" i="18"/>
  <c r="X340" i="6"/>
  <c r="W340" i="6"/>
  <c r="X339" i="6"/>
  <c r="W339" i="6"/>
  <c r="M1276" i="18"/>
  <c r="L1276" i="18"/>
  <c r="K1276" i="18"/>
  <c r="J1276" i="18"/>
  <c r="I1276" i="18"/>
  <c r="H1276" i="18"/>
  <c r="G1276" i="18"/>
  <c r="G1275" i="18"/>
  <c r="G1274" i="18"/>
  <c r="L1273" i="18"/>
  <c r="K1273" i="18"/>
  <c r="G1273" i="18" s="1"/>
  <c r="G1272" i="18"/>
  <c r="G1271" i="18"/>
  <c r="G1270" i="18"/>
  <c r="M1269" i="18"/>
  <c r="L1269" i="18"/>
  <c r="K1269" i="18"/>
  <c r="G1269" i="18" s="1"/>
  <c r="G1268" i="18"/>
  <c r="M1267" i="18"/>
  <c r="L1267" i="18"/>
  <c r="K1267" i="18"/>
  <c r="J1267" i="18"/>
  <c r="I1267" i="18"/>
  <c r="H1267" i="18"/>
  <c r="M1266" i="18"/>
  <c r="X338" i="6" s="1"/>
  <c r="L1266" i="18"/>
  <c r="K1266" i="18"/>
  <c r="J1266" i="18"/>
  <c r="I1266" i="18"/>
  <c r="H1266" i="18"/>
  <c r="M1264" i="18"/>
  <c r="L1264" i="18"/>
  <c r="K1264" i="18"/>
  <c r="J1264" i="18"/>
  <c r="I1264" i="18"/>
  <c r="H1264" i="18"/>
  <c r="G1260" i="18"/>
  <c r="G1256" i="18" s="1"/>
  <c r="R337" i="6" s="1"/>
  <c r="M1259" i="18"/>
  <c r="L1259" i="18"/>
  <c r="G1258" i="18"/>
  <c r="G1254" i="18" s="1"/>
  <c r="M1257" i="18"/>
  <c r="L1257" i="18"/>
  <c r="J1257" i="18"/>
  <c r="I1257" i="18"/>
  <c r="H1257" i="18"/>
  <c r="X336" i="6"/>
  <c r="W336" i="6"/>
  <c r="M1246" i="18"/>
  <c r="L1246" i="18"/>
  <c r="K1246" i="18"/>
  <c r="J1246" i="18"/>
  <c r="I1246" i="18"/>
  <c r="H1246" i="18"/>
  <c r="G1246" i="18"/>
  <c r="G1241" i="18"/>
  <c r="L1239" i="18"/>
  <c r="G1240" i="18"/>
  <c r="M1239" i="18"/>
  <c r="K1239" i="18"/>
  <c r="G1239" i="18" s="1"/>
  <c r="G1238" i="18"/>
  <c r="K1233" i="18"/>
  <c r="G1236" i="18"/>
  <c r="M1235" i="18"/>
  <c r="K1235" i="18"/>
  <c r="G1235" i="18" s="1"/>
  <c r="G1234" i="18"/>
  <c r="M1233" i="18"/>
  <c r="L1233" i="18"/>
  <c r="J1233" i="18"/>
  <c r="I1233" i="18"/>
  <c r="H1233" i="18"/>
  <c r="M1232" i="18"/>
  <c r="X334" i="6" s="1"/>
  <c r="K1232" i="18"/>
  <c r="V334" i="6" s="1"/>
  <c r="J1232" i="18"/>
  <c r="I1232" i="18"/>
  <c r="H1232" i="18"/>
  <c r="M1230" i="18"/>
  <c r="L1230" i="18"/>
  <c r="K1230" i="18"/>
  <c r="K879" i="18" s="1"/>
  <c r="J1230" i="18"/>
  <c r="I1230" i="18"/>
  <c r="H1230" i="18"/>
  <c r="K1225" i="18"/>
  <c r="G1225" i="18" s="1"/>
  <c r="G1227" i="18"/>
  <c r="G1221" i="18" s="1"/>
  <c r="G1226" i="18"/>
  <c r="G1220" i="18" s="1"/>
  <c r="G1224" i="18"/>
  <c r="G1218" i="18" s="1"/>
  <c r="M1221" i="18"/>
  <c r="L1221" i="18"/>
  <c r="J1221" i="18"/>
  <c r="I1221" i="18"/>
  <c r="H1221" i="18"/>
  <c r="M1220" i="18"/>
  <c r="X332" i="6" s="1"/>
  <c r="L1220" i="18"/>
  <c r="W332" i="6" s="1"/>
  <c r="K1220" i="18"/>
  <c r="J1220" i="18"/>
  <c r="I1220" i="18"/>
  <c r="H1220" i="18"/>
  <c r="M1218" i="18"/>
  <c r="L1218" i="18"/>
  <c r="K1218" i="18"/>
  <c r="J1218" i="18"/>
  <c r="I1218" i="18"/>
  <c r="H1218" i="18"/>
  <c r="G1217" i="18"/>
  <c r="G1216" i="18"/>
  <c r="G1212" i="18" s="1"/>
  <c r="M1213" i="18"/>
  <c r="X331" i="6" s="1"/>
  <c r="L1213" i="18"/>
  <c r="W331" i="6" s="1"/>
  <c r="K1213" i="18"/>
  <c r="J1213" i="18"/>
  <c r="I1213" i="18"/>
  <c r="H1213" i="18"/>
  <c r="G1213" i="18"/>
  <c r="M1212" i="18"/>
  <c r="L1212" i="18"/>
  <c r="K1212" i="18"/>
  <c r="J1212" i="18"/>
  <c r="I1212" i="18"/>
  <c r="H1212" i="18"/>
  <c r="G1209" i="18"/>
  <c r="G1203" i="18" s="1"/>
  <c r="K1202" i="18"/>
  <c r="V330" i="6" s="1"/>
  <c r="G1208" i="18"/>
  <c r="M1207" i="18"/>
  <c r="L1207" i="18"/>
  <c r="K1207" i="18"/>
  <c r="G1207" i="18" s="1"/>
  <c r="G1206" i="18"/>
  <c r="G1205" i="18"/>
  <c r="G1204" i="18"/>
  <c r="M1203" i="18"/>
  <c r="L1203" i="18"/>
  <c r="K1203" i="18"/>
  <c r="J1203" i="18"/>
  <c r="I1203" i="18"/>
  <c r="H1203" i="18"/>
  <c r="M1202" i="18"/>
  <c r="X330" i="6" s="1"/>
  <c r="L1202" i="18"/>
  <c r="W330" i="6" s="1"/>
  <c r="J1202" i="18"/>
  <c r="I1202" i="18"/>
  <c r="H1202" i="18"/>
  <c r="M1200" i="18"/>
  <c r="L1200" i="18"/>
  <c r="K1200" i="18"/>
  <c r="J1200" i="18"/>
  <c r="I1200" i="18"/>
  <c r="H1200" i="18"/>
  <c r="G1199" i="18"/>
  <c r="G1198" i="18"/>
  <c r="M1197" i="18"/>
  <c r="G1196" i="18"/>
  <c r="G1193" i="18"/>
  <c r="G1192" i="18"/>
  <c r="G1188" i="18" s="1"/>
  <c r="M1191" i="18"/>
  <c r="L1191" i="18"/>
  <c r="K1191" i="18"/>
  <c r="G1191" i="18" s="1"/>
  <c r="G1190" i="18"/>
  <c r="M1189" i="18"/>
  <c r="L1189" i="18"/>
  <c r="J1189" i="18"/>
  <c r="I1189" i="18"/>
  <c r="H1189" i="18"/>
  <c r="M1188" i="18"/>
  <c r="X329" i="6" s="1"/>
  <c r="L1188" i="18"/>
  <c r="W329" i="6" s="1"/>
  <c r="K1188" i="18"/>
  <c r="V329" i="6" s="1"/>
  <c r="R329" i="6" s="1"/>
  <c r="J1188" i="18"/>
  <c r="I1188" i="18"/>
  <c r="H1188" i="18"/>
  <c r="M1186" i="18"/>
  <c r="L1186" i="18"/>
  <c r="K1186" i="18"/>
  <c r="J1186" i="18"/>
  <c r="I1186" i="18"/>
  <c r="H1186" i="18"/>
  <c r="G1185" i="18"/>
  <c r="G1184" i="18"/>
  <c r="M1183" i="18"/>
  <c r="L1183" i="18"/>
  <c r="K1183" i="18"/>
  <c r="J1183" i="18"/>
  <c r="I1183" i="18"/>
  <c r="H1183" i="18"/>
  <c r="G1182" i="18"/>
  <c r="G1181" i="18"/>
  <c r="G1180" i="18"/>
  <c r="L1179" i="18"/>
  <c r="K1179" i="18"/>
  <c r="G1178" i="18"/>
  <c r="G1176" i="18"/>
  <c r="G1175" i="18" s="1"/>
  <c r="L1175" i="18"/>
  <c r="K1175" i="18"/>
  <c r="J1175" i="18"/>
  <c r="I1175" i="18"/>
  <c r="H1175" i="18"/>
  <c r="G1173" i="18"/>
  <c r="G1172" i="18"/>
  <c r="M1171" i="18"/>
  <c r="L1171" i="18"/>
  <c r="K1171" i="18"/>
  <c r="J1171" i="18"/>
  <c r="I1171" i="18"/>
  <c r="H1171" i="18"/>
  <c r="G1170" i="18"/>
  <c r="G1168" i="18"/>
  <c r="M1167" i="18"/>
  <c r="L1167" i="18"/>
  <c r="K1167" i="18"/>
  <c r="J1167" i="18"/>
  <c r="I1167" i="18"/>
  <c r="H1167" i="18"/>
  <c r="G1167" i="18" s="1"/>
  <c r="G1166" i="18"/>
  <c r="G1165" i="18"/>
  <c r="G1164" i="18"/>
  <c r="K1163" i="18"/>
  <c r="G1162" i="18"/>
  <c r="G1160" i="18"/>
  <c r="G1159" i="18" s="1"/>
  <c r="M1159" i="18"/>
  <c r="L1159" i="18"/>
  <c r="K1159" i="18"/>
  <c r="J1159" i="18"/>
  <c r="I1159" i="18"/>
  <c r="H1159" i="18"/>
  <c r="G1157" i="18"/>
  <c r="G1156" i="18"/>
  <c r="M1155" i="18"/>
  <c r="L1155" i="18"/>
  <c r="K1155" i="18"/>
  <c r="J1155" i="18"/>
  <c r="I1155" i="18"/>
  <c r="H1155" i="18"/>
  <c r="G1154" i="18"/>
  <c r="G1152" i="18"/>
  <c r="G1151" i="18" s="1"/>
  <c r="M1151" i="18"/>
  <c r="L1151" i="18"/>
  <c r="K1151" i="18"/>
  <c r="J1151" i="18"/>
  <c r="G1150" i="18"/>
  <c r="M1149" i="18"/>
  <c r="L1149" i="18"/>
  <c r="K1149" i="18"/>
  <c r="J1149" i="18"/>
  <c r="I1149" i="18"/>
  <c r="H1149" i="18"/>
  <c r="M1148" i="18"/>
  <c r="X327" i="6" s="1"/>
  <c r="L1148" i="18"/>
  <c r="W327" i="6" s="1"/>
  <c r="K1148" i="18"/>
  <c r="V327" i="6" s="1"/>
  <c r="R327" i="6" s="1"/>
  <c r="J1148" i="18"/>
  <c r="I1148" i="18"/>
  <c r="H1148" i="18"/>
  <c r="G1141" i="18"/>
  <c r="G1140" i="18"/>
  <c r="K1139" i="18"/>
  <c r="G1139" i="18" s="1"/>
  <c r="G1138" i="18"/>
  <c r="G1137" i="18"/>
  <c r="G1136" i="18"/>
  <c r="G1128" i="18" s="1"/>
  <c r="M1135" i="18"/>
  <c r="L1135" i="18"/>
  <c r="K1135" i="18"/>
  <c r="G1135" i="18" s="1"/>
  <c r="G1134" i="18"/>
  <c r="M1129" i="18"/>
  <c r="L1129" i="18"/>
  <c r="J1129" i="18"/>
  <c r="I1129" i="18"/>
  <c r="H1129" i="18"/>
  <c r="X325" i="6"/>
  <c r="G1125" i="18"/>
  <c r="G1124" i="18"/>
  <c r="G1122" i="18"/>
  <c r="M1121" i="18"/>
  <c r="L1121" i="18"/>
  <c r="G1120" i="18"/>
  <c r="G1119" i="18"/>
  <c r="G1118" i="18"/>
  <c r="M1115" i="18"/>
  <c r="L1115" i="18"/>
  <c r="K1115" i="18"/>
  <c r="J1115" i="18"/>
  <c r="I1115" i="18"/>
  <c r="H1115" i="18"/>
  <c r="K1114" i="18"/>
  <c r="J1114" i="18"/>
  <c r="I1114" i="18"/>
  <c r="H1114" i="18"/>
  <c r="M1112" i="18"/>
  <c r="L1112" i="18"/>
  <c r="K1112" i="18"/>
  <c r="J1112" i="18"/>
  <c r="I1112" i="18"/>
  <c r="H1112" i="18"/>
  <c r="M1104" i="18"/>
  <c r="G1101" i="18"/>
  <c r="G1100" i="18"/>
  <c r="M1099" i="18"/>
  <c r="M1091" i="18" s="1"/>
  <c r="L1099" i="18"/>
  <c r="L1091" i="18" s="1"/>
  <c r="G1098" i="18"/>
  <c r="G1090" i="18" s="1"/>
  <c r="M1093" i="18"/>
  <c r="L1093" i="18"/>
  <c r="J1093" i="18"/>
  <c r="I1093" i="18"/>
  <c r="H1093" i="18"/>
  <c r="G1087" i="18"/>
  <c r="G1086" i="18"/>
  <c r="G1083" i="18"/>
  <c r="G1082" i="18"/>
  <c r="M1073" i="18"/>
  <c r="L1073" i="18"/>
  <c r="W321" i="6" s="1"/>
  <c r="K1073" i="18"/>
  <c r="J1073" i="18"/>
  <c r="I1073" i="18"/>
  <c r="H1073" i="18"/>
  <c r="M1072" i="18"/>
  <c r="L1072" i="18"/>
  <c r="K1072" i="18"/>
  <c r="J1072" i="18"/>
  <c r="I1072" i="18"/>
  <c r="H1072" i="18"/>
  <c r="G1069" i="18"/>
  <c r="G1068" i="18"/>
  <c r="M1067" i="18"/>
  <c r="L1067" i="18"/>
  <c r="G1066" i="18"/>
  <c r="G1061" i="18"/>
  <c r="G1060" i="18"/>
  <c r="M1059" i="18"/>
  <c r="G1059" i="18"/>
  <c r="G1058" i="18"/>
  <c r="M1057" i="18"/>
  <c r="L1057" i="18"/>
  <c r="J1057" i="18"/>
  <c r="I1057" i="18"/>
  <c r="H1057" i="18"/>
  <c r="X320" i="6"/>
  <c r="V320" i="6"/>
  <c r="G1053" i="18"/>
  <c r="G1043" i="18" s="1"/>
  <c r="G1052" i="18"/>
  <c r="K1051" i="18"/>
  <c r="G1051" i="18" s="1"/>
  <c r="G1050" i="18"/>
  <c r="G1048" i="18"/>
  <c r="M1043" i="18"/>
  <c r="L1043" i="18"/>
  <c r="K1043" i="18"/>
  <c r="J1043" i="18"/>
  <c r="I1043" i="18"/>
  <c r="H1043" i="18"/>
  <c r="X319" i="6"/>
  <c r="W319" i="6"/>
  <c r="G1032" i="18"/>
  <c r="L1030" i="18"/>
  <c r="G1030" i="18"/>
  <c r="M1030" i="18"/>
  <c r="G1029" i="18"/>
  <c r="G1028" i="18"/>
  <c r="G1024" i="18" s="1"/>
  <c r="G1027" i="18"/>
  <c r="L1026" i="18"/>
  <c r="K1026" i="18"/>
  <c r="G1026" i="18" s="1"/>
  <c r="G1025" i="18"/>
  <c r="M1024" i="18"/>
  <c r="L1024" i="18"/>
  <c r="K1024" i="18"/>
  <c r="J1024" i="18"/>
  <c r="I1024" i="18"/>
  <c r="H1024" i="18"/>
  <c r="X318" i="6"/>
  <c r="L1023" i="18"/>
  <c r="W318" i="6" s="1"/>
  <c r="K1023" i="18"/>
  <c r="V318" i="6" s="1"/>
  <c r="J1023" i="18"/>
  <c r="I1023" i="18"/>
  <c r="H1023" i="18"/>
  <c r="M1021" i="18"/>
  <c r="L1021" i="18"/>
  <c r="K1021" i="18"/>
  <c r="J1021" i="18"/>
  <c r="I1021" i="18"/>
  <c r="H1021" i="18"/>
  <c r="M1018" i="18"/>
  <c r="K1014" i="18"/>
  <c r="G1014" i="18" s="1"/>
  <c r="G1016" i="18"/>
  <c r="G1004" i="18" s="1"/>
  <c r="G1015" i="18"/>
  <c r="M1014" i="18"/>
  <c r="L1014" i="18"/>
  <c r="G1013" i="18"/>
  <c r="G1007" i="18"/>
  <c r="G1003" i="18" s="1"/>
  <c r="M1006" i="18"/>
  <c r="L1006" i="18"/>
  <c r="K1006" i="18"/>
  <c r="J1006" i="18"/>
  <c r="I1006" i="18"/>
  <c r="H1006" i="18"/>
  <c r="G1005" i="18"/>
  <c r="M1004" i="18"/>
  <c r="L1004" i="18"/>
  <c r="K1004" i="18"/>
  <c r="J1004" i="18"/>
  <c r="I1004" i="18"/>
  <c r="H1004" i="18"/>
  <c r="X317" i="6"/>
  <c r="L1003" i="18"/>
  <c r="W317" i="6" s="1"/>
  <c r="K1003" i="18"/>
  <c r="V317" i="6" s="1"/>
  <c r="J1003" i="18"/>
  <c r="I1003" i="18"/>
  <c r="H1003" i="18"/>
  <c r="M1001" i="18"/>
  <c r="L1001" i="18"/>
  <c r="K1001" i="18"/>
  <c r="J1001" i="18"/>
  <c r="I1001" i="18"/>
  <c r="H1001" i="18"/>
  <c r="G992" i="18"/>
  <c r="G990" i="18" s="1"/>
  <c r="G991" i="18"/>
  <c r="G989" i="18" s="1"/>
  <c r="X315" i="6"/>
  <c r="M989" i="18"/>
  <c r="L989" i="18"/>
  <c r="K989" i="18"/>
  <c r="J989" i="18"/>
  <c r="I989" i="18"/>
  <c r="H989" i="18"/>
  <c r="G986" i="18"/>
  <c r="G985" i="18"/>
  <c r="G983" i="18" s="1"/>
  <c r="M984" i="18"/>
  <c r="X314" i="6" s="1"/>
  <c r="L984" i="18"/>
  <c r="W314" i="6" s="1"/>
  <c r="K984" i="18"/>
  <c r="V314" i="6" s="1"/>
  <c r="J984" i="18"/>
  <c r="I984" i="18"/>
  <c r="H984" i="18"/>
  <c r="G984" i="18"/>
  <c r="M983" i="18"/>
  <c r="L983" i="18"/>
  <c r="K983" i="18"/>
  <c r="J983" i="18"/>
  <c r="I983" i="18"/>
  <c r="H983" i="18"/>
  <c r="L972" i="18"/>
  <c r="W313" i="6" s="1"/>
  <c r="M972" i="18"/>
  <c r="K972" i="18"/>
  <c r="G972" i="18" s="1"/>
  <c r="J972" i="18"/>
  <c r="I972" i="18"/>
  <c r="H972" i="18"/>
  <c r="M971" i="18"/>
  <c r="L971" i="18"/>
  <c r="K950" i="18"/>
  <c r="L968" i="18"/>
  <c r="G969" i="18"/>
  <c r="G949" i="18" s="1"/>
  <c r="G967" i="18"/>
  <c r="G947" i="18" s="1"/>
  <c r="M950" i="18"/>
  <c r="M948" i="18" s="1"/>
  <c r="L950" i="18"/>
  <c r="L948" i="18" s="1"/>
  <c r="J950" i="18"/>
  <c r="I950" i="18"/>
  <c r="H950" i="18"/>
  <c r="L947" i="18"/>
  <c r="K947" i="18"/>
  <c r="J947" i="18"/>
  <c r="I947" i="18"/>
  <c r="H947" i="18"/>
  <c r="G946" i="18"/>
  <c r="G943" i="18"/>
  <c r="G942" i="18"/>
  <c r="G941" i="18"/>
  <c r="G933" i="18" s="1"/>
  <c r="M940" i="18"/>
  <c r="K940" i="18"/>
  <c r="G940" i="18" s="1"/>
  <c r="G939" i="18"/>
  <c r="M934" i="18"/>
  <c r="M932" i="18" s="1"/>
  <c r="L934" i="18"/>
  <c r="L932" i="18" s="1"/>
  <c r="K934" i="18"/>
  <c r="K932" i="18" s="1"/>
  <c r="J934" i="18"/>
  <c r="J932" i="18" s="1"/>
  <c r="I934" i="18"/>
  <c r="I932" i="18" s="1"/>
  <c r="H934" i="18"/>
  <c r="H932" i="18" s="1"/>
  <c r="G926" i="18"/>
  <c r="G922" i="18" s="1"/>
  <c r="G925" i="18"/>
  <c r="G921" i="18" s="1"/>
  <c r="M924" i="18"/>
  <c r="L924" i="18"/>
  <c r="K924" i="18"/>
  <c r="G924" i="18" s="1"/>
  <c r="G923" i="18"/>
  <c r="G919" i="18" s="1"/>
  <c r="M922" i="18"/>
  <c r="L922" i="18"/>
  <c r="K922" i="18"/>
  <c r="J922" i="18"/>
  <c r="I922" i="18"/>
  <c r="H922" i="18"/>
  <c r="M921" i="18"/>
  <c r="L921" i="18"/>
  <c r="W310" i="6" s="1"/>
  <c r="K921" i="18"/>
  <c r="J921" i="18"/>
  <c r="I921" i="18"/>
  <c r="H921" i="18"/>
  <c r="M919" i="18"/>
  <c r="L919" i="18"/>
  <c r="K919" i="18"/>
  <c r="J919" i="18"/>
  <c r="I919" i="18"/>
  <c r="H919" i="18"/>
  <c r="G918" i="18"/>
  <c r="G917" i="18"/>
  <c r="G914" i="18"/>
  <c r="G910" i="18" s="1"/>
  <c r="G913" i="18"/>
  <c r="L912" i="18"/>
  <c r="K912" i="18"/>
  <c r="J912" i="18"/>
  <c r="I912" i="18"/>
  <c r="H912" i="18"/>
  <c r="G911" i="18"/>
  <c r="M910" i="18"/>
  <c r="L910" i="18"/>
  <c r="K910" i="18"/>
  <c r="J910" i="18"/>
  <c r="I910" i="18"/>
  <c r="H910" i="18"/>
  <c r="L907" i="18"/>
  <c r="K907" i="18"/>
  <c r="J907" i="18"/>
  <c r="I907" i="18"/>
  <c r="H907" i="18"/>
  <c r="G902" i="18"/>
  <c r="G901" i="18"/>
  <c r="G897" i="18" s="1"/>
  <c r="M898" i="18"/>
  <c r="L898" i="18"/>
  <c r="K898" i="18"/>
  <c r="J898" i="18"/>
  <c r="I898" i="18"/>
  <c r="H898" i="18"/>
  <c r="G898" i="18"/>
  <c r="M897" i="18"/>
  <c r="L897" i="18"/>
  <c r="K897" i="18"/>
  <c r="J897" i="18"/>
  <c r="I897" i="18"/>
  <c r="H897" i="18"/>
  <c r="M894" i="18"/>
  <c r="L894" i="18"/>
  <c r="M889" i="18"/>
  <c r="M887" i="18" s="1"/>
  <c r="L889" i="18"/>
  <c r="L887" i="18" s="1"/>
  <c r="G889" i="18"/>
  <c r="G887" i="18" s="1"/>
  <c r="G867" i="18"/>
  <c r="G866" i="18"/>
  <c r="G862" i="18" s="1"/>
  <c r="M862" i="18"/>
  <c r="L862" i="18"/>
  <c r="K862" i="18"/>
  <c r="J862" i="18"/>
  <c r="I862" i="18"/>
  <c r="H862" i="18"/>
  <c r="M861" i="18"/>
  <c r="L861" i="18"/>
  <c r="K861" i="18"/>
  <c r="J861" i="18"/>
  <c r="I861" i="18"/>
  <c r="H861" i="18"/>
  <c r="G858" i="18"/>
  <c r="G856" i="18" s="1"/>
  <c r="G857" i="18"/>
  <c r="G855" i="18" s="1"/>
  <c r="M856" i="18"/>
  <c r="L856" i="18"/>
  <c r="J856" i="18"/>
  <c r="I856" i="18"/>
  <c r="H856" i="18"/>
  <c r="M855" i="18"/>
  <c r="L855" i="18"/>
  <c r="J855" i="18"/>
  <c r="I855" i="18"/>
  <c r="H855" i="18"/>
  <c r="G854" i="18"/>
  <c r="G853" i="18"/>
  <c r="L846" i="18"/>
  <c r="K846" i="18"/>
  <c r="J846" i="18"/>
  <c r="I846" i="18"/>
  <c r="H846" i="18"/>
  <c r="L845" i="18"/>
  <c r="K845" i="18"/>
  <c r="G845" i="18" s="1"/>
  <c r="J845" i="18"/>
  <c r="I845" i="18"/>
  <c r="H845" i="18"/>
  <c r="G840" i="18"/>
  <c r="G838" i="18" s="1"/>
  <c r="L838" i="18"/>
  <c r="V284" i="6"/>
  <c r="R284" i="6" s="1"/>
  <c r="L837" i="18"/>
  <c r="G837" i="18"/>
  <c r="G834" i="18"/>
  <c r="G833" i="18"/>
  <c r="G831" i="18"/>
  <c r="G825" i="18" s="1"/>
  <c r="G830" i="18"/>
  <c r="G829" i="18"/>
  <c r="L828" i="18"/>
  <c r="K828" i="18"/>
  <c r="G828" i="18" s="1"/>
  <c r="J828" i="18"/>
  <c r="M825" i="18"/>
  <c r="L825" i="18"/>
  <c r="K825" i="18"/>
  <c r="J825" i="18"/>
  <c r="I825" i="18"/>
  <c r="H825" i="18"/>
  <c r="G824" i="18"/>
  <c r="G823" i="18"/>
  <c r="L822" i="18"/>
  <c r="G822" i="18"/>
  <c r="G821" i="18"/>
  <c r="G819" i="18"/>
  <c r="G817" i="18"/>
  <c r="M816" i="18"/>
  <c r="L816" i="18"/>
  <c r="M815" i="18"/>
  <c r="L815" i="18"/>
  <c r="K815" i="18"/>
  <c r="M813" i="18"/>
  <c r="L813" i="18"/>
  <c r="K813" i="18"/>
  <c r="G813" i="18" s="1"/>
  <c r="G809" i="18"/>
  <c r="G808" i="18" s="1"/>
  <c r="J808" i="18"/>
  <c r="G806" i="18"/>
  <c r="G802" i="18" s="1"/>
  <c r="G805" i="18"/>
  <c r="L804" i="18"/>
  <c r="K804" i="18"/>
  <c r="G804" i="18" s="1"/>
  <c r="G803" i="18"/>
  <c r="L802" i="18"/>
  <c r="M801" i="18"/>
  <c r="M800" i="18" s="1"/>
  <c r="L801" i="18"/>
  <c r="K801" i="18"/>
  <c r="J801" i="18"/>
  <c r="I801" i="18"/>
  <c r="H801" i="18"/>
  <c r="L800" i="18"/>
  <c r="K800" i="18"/>
  <c r="J800" i="18"/>
  <c r="I800" i="18"/>
  <c r="H800" i="18"/>
  <c r="G800" i="18"/>
  <c r="L799" i="18"/>
  <c r="K799" i="18"/>
  <c r="M797" i="18"/>
  <c r="L797" i="18"/>
  <c r="K797" i="18"/>
  <c r="G797" i="18" s="1"/>
  <c r="J797" i="18"/>
  <c r="I797" i="18"/>
  <c r="H797" i="18"/>
  <c r="M790" i="18"/>
  <c r="L790" i="18"/>
  <c r="G790" i="18"/>
  <c r="M789" i="18"/>
  <c r="L789" i="18"/>
  <c r="G789" i="18"/>
  <c r="G788" i="18"/>
  <c r="G787" i="18"/>
  <c r="K786" i="18"/>
  <c r="G786" i="18" s="1"/>
  <c r="G785" i="18"/>
  <c r="G783" i="18"/>
  <c r="G781" i="18"/>
  <c r="G780" i="18"/>
  <c r="G779" i="18"/>
  <c r="M778" i="18"/>
  <c r="L778" i="18"/>
  <c r="J778" i="18"/>
  <c r="I778" i="18"/>
  <c r="H778" i="18"/>
  <c r="M777" i="18"/>
  <c r="L777" i="18"/>
  <c r="K777" i="18"/>
  <c r="M775" i="18"/>
  <c r="L775" i="18"/>
  <c r="K775" i="18"/>
  <c r="J775" i="18"/>
  <c r="I775" i="18"/>
  <c r="H775" i="18"/>
  <c r="G775" i="18"/>
  <c r="G774" i="18"/>
  <c r="G762" i="18" s="1"/>
  <c r="M762" i="18"/>
  <c r="L762" i="18"/>
  <c r="K762" i="18"/>
  <c r="J762" i="18"/>
  <c r="I762" i="18"/>
  <c r="H762" i="18"/>
  <c r="M761" i="18"/>
  <c r="L761" i="18"/>
  <c r="G761" i="18"/>
  <c r="M746" i="18"/>
  <c r="L746" i="18"/>
  <c r="M745" i="18"/>
  <c r="L745" i="18"/>
  <c r="L525" i="18" s="1"/>
  <c r="G744" i="18"/>
  <c r="G738" i="18"/>
  <c r="L736" i="18"/>
  <c r="K736" i="18"/>
  <c r="G736" i="18" s="1"/>
  <c r="J736" i="18"/>
  <c r="G733" i="18"/>
  <c r="G732" i="18"/>
  <c r="G731" i="18" s="1"/>
  <c r="M731" i="18"/>
  <c r="L731" i="18"/>
  <c r="G727" i="18"/>
  <c r="M725" i="18"/>
  <c r="L725" i="18"/>
  <c r="K725" i="18"/>
  <c r="J725" i="18"/>
  <c r="I725" i="18"/>
  <c r="H725" i="18"/>
  <c r="V274" i="6"/>
  <c r="R274" i="6" s="1"/>
  <c r="G712" i="18"/>
  <c r="G715" i="18"/>
  <c r="W272" i="6"/>
  <c r="M712" i="18"/>
  <c r="L709" i="18"/>
  <c r="G709" i="18"/>
  <c r="G705" i="18"/>
  <c r="G704" i="18"/>
  <c r="G703" i="18"/>
  <c r="G702" i="18"/>
  <c r="L701" i="18"/>
  <c r="K701" i="18"/>
  <c r="G701" i="18" s="1"/>
  <c r="G700" i="18"/>
  <c r="L699" i="18"/>
  <c r="K699" i="18"/>
  <c r="G699" i="18" s="1"/>
  <c r="M698" i="18"/>
  <c r="M697" i="18" s="1"/>
  <c r="L698" i="18"/>
  <c r="K698" i="18"/>
  <c r="V271" i="6" s="1"/>
  <c r="R271" i="6" s="1"/>
  <c r="J698" i="18"/>
  <c r="J697" i="18" s="1"/>
  <c r="I698" i="18"/>
  <c r="I697" i="18" s="1"/>
  <c r="H698" i="18"/>
  <c r="H697" i="18" s="1"/>
  <c r="M696" i="18"/>
  <c r="L696" i="18"/>
  <c r="K696" i="18"/>
  <c r="J696" i="18"/>
  <c r="I696" i="18"/>
  <c r="H696" i="18"/>
  <c r="G695" i="18"/>
  <c r="G694" i="18"/>
  <c r="G693" i="18"/>
  <c r="G692" i="18"/>
  <c r="L691" i="18"/>
  <c r="K691" i="18"/>
  <c r="G691" i="18" s="1"/>
  <c r="G690" i="18"/>
  <c r="G689" i="18"/>
  <c r="G688" i="18"/>
  <c r="L687" i="18"/>
  <c r="K687" i="18"/>
  <c r="J687" i="18"/>
  <c r="I687" i="18"/>
  <c r="H687" i="18"/>
  <c r="G687" i="18"/>
  <c r="L686" i="18"/>
  <c r="K686" i="18"/>
  <c r="V270" i="6" s="1"/>
  <c r="R270" i="6" s="1"/>
  <c r="L684" i="18"/>
  <c r="K684" i="18"/>
  <c r="G684" i="18" s="1"/>
  <c r="G681" i="18"/>
  <c r="G679" i="18" s="1"/>
  <c r="L679" i="18"/>
  <c r="K679" i="18"/>
  <c r="J679" i="18"/>
  <c r="I679" i="18"/>
  <c r="H679" i="18"/>
  <c r="L678" i="18"/>
  <c r="K678" i="18"/>
  <c r="J678" i="18"/>
  <c r="I678" i="18"/>
  <c r="H678" i="18"/>
  <c r="G678" i="18"/>
  <c r="G677" i="18"/>
  <c r="G669" i="18" s="1"/>
  <c r="G676" i="18"/>
  <c r="G668" i="18" s="1"/>
  <c r="M669" i="18"/>
  <c r="L669" i="18"/>
  <c r="K669" i="18"/>
  <c r="J669" i="18"/>
  <c r="I669" i="18"/>
  <c r="H669" i="18"/>
  <c r="M668" i="18"/>
  <c r="L668" i="18"/>
  <c r="K668" i="18"/>
  <c r="G667" i="18"/>
  <c r="G663" i="18" s="1"/>
  <c r="M663" i="18"/>
  <c r="L663" i="18"/>
  <c r="K663" i="18"/>
  <c r="J663" i="18"/>
  <c r="I663" i="18"/>
  <c r="H663" i="18"/>
  <c r="M662" i="18"/>
  <c r="L662" i="18"/>
  <c r="G662" i="18"/>
  <c r="G661" i="18"/>
  <c r="M657" i="18"/>
  <c r="L657" i="18"/>
  <c r="K657" i="18"/>
  <c r="J657" i="18"/>
  <c r="I657" i="18"/>
  <c r="H657" i="18"/>
  <c r="M656" i="18"/>
  <c r="L656" i="18"/>
  <c r="I656" i="18"/>
  <c r="H656" i="18"/>
  <c r="G655" i="18"/>
  <c r="G653" i="18"/>
  <c r="G652" i="18"/>
  <c r="G650" i="18" s="1"/>
  <c r="M651" i="18"/>
  <c r="L651" i="18"/>
  <c r="K651" i="18"/>
  <c r="I651" i="18"/>
  <c r="H651" i="18"/>
  <c r="M650" i="18"/>
  <c r="L650" i="18"/>
  <c r="J650" i="18"/>
  <c r="I650" i="18"/>
  <c r="H650" i="18"/>
  <c r="G649" i="18"/>
  <c r="G647" i="18"/>
  <c r="G644" i="18"/>
  <c r="G632" i="18" s="1"/>
  <c r="G643" i="18"/>
  <c r="G639" i="18"/>
  <c r="M635" i="18"/>
  <c r="L635" i="18"/>
  <c r="K635" i="18"/>
  <c r="J635" i="18"/>
  <c r="I635" i="18"/>
  <c r="H635" i="18"/>
  <c r="M632" i="18"/>
  <c r="L632" i="18"/>
  <c r="K632" i="18"/>
  <c r="J632" i="18"/>
  <c r="I632" i="18"/>
  <c r="H632" i="18"/>
  <c r="G621" i="18"/>
  <c r="M619" i="18"/>
  <c r="L619" i="18"/>
  <c r="K619" i="18"/>
  <c r="G619" i="18" s="1"/>
  <c r="J619" i="18"/>
  <c r="I619" i="18"/>
  <c r="H619" i="18"/>
  <c r="M616" i="18"/>
  <c r="L616" i="18"/>
  <c r="G613" i="18"/>
  <c r="G604" i="18" s="1"/>
  <c r="R262" i="6" s="1"/>
  <c r="G612" i="18"/>
  <c r="L607" i="18"/>
  <c r="L605" i="18"/>
  <c r="G605" i="18"/>
  <c r="L604" i="18"/>
  <c r="L602" i="18"/>
  <c r="G601" i="18"/>
  <c r="G600" i="18"/>
  <c r="K599" i="18"/>
  <c r="G599" i="18" s="1"/>
  <c r="G598" i="18"/>
  <c r="G597" i="18"/>
  <c r="L595" i="18"/>
  <c r="K595" i="18"/>
  <c r="G595" i="18" s="1"/>
  <c r="L591" i="18"/>
  <c r="L588" i="18" s="1"/>
  <c r="M589" i="18"/>
  <c r="M587" i="18" s="1"/>
  <c r="L589" i="18"/>
  <c r="K589" i="18"/>
  <c r="G589" i="18" s="1"/>
  <c r="J589" i="18"/>
  <c r="I589" i="18"/>
  <c r="H589" i="18"/>
  <c r="V261" i="6"/>
  <c r="M586" i="18"/>
  <c r="L586" i="18"/>
  <c r="K583" i="18"/>
  <c r="G583" i="18" s="1"/>
  <c r="G584" i="18"/>
  <c r="G582" i="18"/>
  <c r="G580" i="18"/>
  <c r="G579" i="18"/>
  <c r="G578" i="18"/>
  <c r="M577" i="18"/>
  <c r="L577" i="18"/>
  <c r="I577" i="18"/>
  <c r="H577" i="18"/>
  <c r="M576" i="18"/>
  <c r="L576" i="18"/>
  <c r="M574" i="18"/>
  <c r="L574" i="18"/>
  <c r="K574" i="18"/>
  <c r="G574" i="18" s="1"/>
  <c r="L571" i="18"/>
  <c r="N569" i="18"/>
  <c r="M569" i="18"/>
  <c r="L569" i="18"/>
  <c r="G569" i="18"/>
  <c r="N568" i="18"/>
  <c r="M568" i="18"/>
  <c r="L568" i="18"/>
  <c r="G568" i="18"/>
  <c r="L559" i="18"/>
  <c r="G559" i="18"/>
  <c r="L558" i="18"/>
  <c r="G558" i="18"/>
  <c r="M551" i="18"/>
  <c r="L551" i="18"/>
  <c r="G551" i="18"/>
  <c r="M550" i="18"/>
  <c r="L550" i="18"/>
  <c r="G550" i="18"/>
  <c r="M541" i="18"/>
  <c r="L541" i="18"/>
  <c r="G541" i="18"/>
  <c r="M540" i="18"/>
  <c r="L540" i="18"/>
  <c r="G540" i="18"/>
  <c r="L533" i="18"/>
  <c r="G533" i="18"/>
  <c r="L532" i="18"/>
  <c r="G532" i="18"/>
  <c r="T531" i="18"/>
  <c r="S531" i="18"/>
  <c r="R531" i="18"/>
  <c r="L467" i="18"/>
  <c r="L463" i="18"/>
  <c r="G463" i="18"/>
  <c r="L459" i="18"/>
  <c r="G459" i="18"/>
  <c r="L457" i="18"/>
  <c r="G452" i="18"/>
  <c r="M451" i="18"/>
  <c r="L451" i="18"/>
  <c r="K451" i="18"/>
  <c r="J451" i="18"/>
  <c r="I451" i="18"/>
  <c r="H451" i="18"/>
  <c r="G450" i="18"/>
  <c r="G438" i="18" s="1"/>
  <c r="L447" i="18"/>
  <c r="G447" i="18"/>
  <c r="L443" i="18"/>
  <c r="G443" i="18"/>
  <c r="M441" i="18"/>
  <c r="L441" i="18"/>
  <c r="G441" i="18"/>
  <c r="M440" i="18"/>
  <c r="L440" i="18"/>
  <c r="W154" i="6" s="1"/>
  <c r="K440" i="18"/>
  <c r="V154" i="6" s="1"/>
  <c r="J440" i="18"/>
  <c r="J439" i="18" s="1"/>
  <c r="I440" i="18"/>
  <c r="I439" i="18" s="1"/>
  <c r="H440" i="18"/>
  <c r="H439" i="18" s="1"/>
  <c r="M438" i="18"/>
  <c r="L438" i="18"/>
  <c r="K438" i="18"/>
  <c r="J438" i="18"/>
  <c r="I438" i="18"/>
  <c r="H438" i="18"/>
  <c r="G404" i="18"/>
  <c r="M403" i="18"/>
  <c r="L403" i="18"/>
  <c r="K403" i="18"/>
  <c r="G402" i="18"/>
  <c r="G390" i="18" s="1"/>
  <c r="G401" i="18"/>
  <c r="G400" i="18"/>
  <c r="L399" i="18"/>
  <c r="K399" i="18"/>
  <c r="G398" i="18"/>
  <c r="M393" i="18"/>
  <c r="L393" i="18"/>
  <c r="K393" i="18"/>
  <c r="J393" i="18"/>
  <c r="I393" i="18"/>
  <c r="H393" i="18"/>
  <c r="M392" i="18"/>
  <c r="X148" i="6" s="1"/>
  <c r="L392" i="18"/>
  <c r="M390" i="18"/>
  <c r="L390" i="18"/>
  <c r="K390" i="18"/>
  <c r="J390" i="18"/>
  <c r="I390" i="18"/>
  <c r="H390" i="18"/>
  <c r="G389" i="18"/>
  <c r="G381" i="18" s="1"/>
  <c r="G388" i="18"/>
  <c r="G380" i="18" s="1"/>
  <c r="M387" i="18"/>
  <c r="L387" i="18"/>
  <c r="G386" i="18"/>
  <c r="G378" i="18" s="1"/>
  <c r="L383" i="18"/>
  <c r="G383" i="18"/>
  <c r="M381" i="18"/>
  <c r="L381" i="18"/>
  <c r="J381" i="18"/>
  <c r="I381" i="18"/>
  <c r="H381" i="18"/>
  <c r="M380" i="18"/>
  <c r="L380" i="18"/>
  <c r="W147" i="6" s="1"/>
  <c r="K380" i="18"/>
  <c r="V147" i="6" s="1"/>
  <c r="R147" i="6" s="1"/>
  <c r="J380" i="18"/>
  <c r="I380" i="18"/>
  <c r="H380" i="18"/>
  <c r="M378" i="18"/>
  <c r="L378" i="18"/>
  <c r="K378" i="18"/>
  <c r="J378" i="18"/>
  <c r="I378" i="18"/>
  <c r="H378" i="18"/>
  <c r="G376" i="18"/>
  <c r="G364" i="18" s="1"/>
  <c r="L375" i="18"/>
  <c r="K375" i="18"/>
  <c r="J375" i="18"/>
  <c r="I375" i="18"/>
  <c r="H375" i="18"/>
  <c r="G374" i="18"/>
  <c r="G362" i="18" s="1"/>
  <c r="L371" i="18"/>
  <c r="G371" i="18"/>
  <c r="L367" i="18"/>
  <c r="G367" i="18"/>
  <c r="M365" i="18"/>
  <c r="L365" i="18"/>
  <c r="G365" i="18"/>
  <c r="M364" i="18"/>
  <c r="L364" i="18"/>
  <c r="W146" i="6" s="1"/>
  <c r="K364" i="18"/>
  <c r="J364" i="18"/>
  <c r="J363" i="18" s="1"/>
  <c r="I364" i="18"/>
  <c r="I363" i="18" s="1"/>
  <c r="H364" i="18"/>
  <c r="H363" i="18" s="1"/>
  <c r="M362" i="18"/>
  <c r="L362" i="18"/>
  <c r="K362" i="18"/>
  <c r="J362" i="18"/>
  <c r="I362" i="18"/>
  <c r="H362" i="18"/>
  <c r="M359" i="18"/>
  <c r="M351" i="18" s="1"/>
  <c r="L359" i="18"/>
  <c r="L351" i="18" s="1"/>
  <c r="M353" i="18"/>
  <c r="L353" i="18"/>
  <c r="G353" i="18"/>
  <c r="M350" i="18"/>
  <c r="L350" i="18"/>
  <c r="G350" i="18"/>
  <c r="L347" i="18"/>
  <c r="G347" i="18"/>
  <c r="L333" i="18"/>
  <c r="L331" i="18" s="1"/>
  <c r="G333" i="18"/>
  <c r="G331" i="18" s="1"/>
  <c r="L330" i="18"/>
  <c r="G330" i="18"/>
  <c r="G328" i="18"/>
  <c r="M327" i="18"/>
  <c r="L327" i="18"/>
  <c r="K327" i="18"/>
  <c r="G327" i="18" s="1"/>
  <c r="G326" i="18"/>
  <c r="G316" i="18"/>
  <c r="M315" i="18"/>
  <c r="G314" i="18"/>
  <c r="M311" i="18"/>
  <c r="L311" i="18"/>
  <c r="G308" i="18"/>
  <c r="G306" i="18" s="1"/>
  <c r="L306" i="18"/>
  <c r="K306" i="18"/>
  <c r="J306" i="18"/>
  <c r="I306" i="18"/>
  <c r="H306" i="18"/>
  <c r="M303" i="18"/>
  <c r="M302" i="18" s="1"/>
  <c r="L302" i="18"/>
  <c r="G302" i="18"/>
  <c r="L298" i="18"/>
  <c r="J298" i="18"/>
  <c r="G295" i="18"/>
  <c r="M294" i="18"/>
  <c r="L294" i="18"/>
  <c r="M286" i="18"/>
  <c r="L286" i="18"/>
  <c r="G283" i="18"/>
  <c r="L282" i="18"/>
  <c r="K282" i="18"/>
  <c r="J282" i="18"/>
  <c r="I282" i="18"/>
  <c r="H282" i="18"/>
  <c r="G281" i="18"/>
  <c r="L278" i="18"/>
  <c r="G278" i="18"/>
  <c r="K267" i="18"/>
  <c r="G274" i="18"/>
  <c r="M273" i="18"/>
  <c r="L273" i="18"/>
  <c r="J273" i="18"/>
  <c r="I273" i="18"/>
  <c r="H273" i="18"/>
  <c r="G271" i="18"/>
  <c r="M269" i="18"/>
  <c r="L269" i="18"/>
  <c r="J269" i="18"/>
  <c r="I269" i="18"/>
  <c r="H269" i="18"/>
  <c r="M267" i="18"/>
  <c r="L267" i="18"/>
  <c r="J267" i="18"/>
  <c r="I267" i="18"/>
  <c r="H267" i="18"/>
  <c r="K266" i="18"/>
  <c r="J266" i="18"/>
  <c r="I266" i="18"/>
  <c r="H266" i="18"/>
  <c r="G266" i="18"/>
  <c r="L265" i="18"/>
  <c r="G265" i="18"/>
  <c r="M263" i="18"/>
  <c r="M262" i="18"/>
  <c r="L262" i="18"/>
  <c r="K262" i="18"/>
  <c r="J262" i="18"/>
  <c r="I262" i="18"/>
  <c r="H262" i="18"/>
  <c r="M259" i="18"/>
  <c r="L259" i="18"/>
  <c r="G259" i="18"/>
  <c r="L257" i="18"/>
  <c r="G257" i="18"/>
  <c r="M256" i="18"/>
  <c r="L256" i="18"/>
  <c r="W142" i="6" s="1"/>
  <c r="G256" i="18"/>
  <c r="M254" i="18"/>
  <c r="L254" i="18"/>
  <c r="G254" i="18"/>
  <c r="L247" i="18"/>
  <c r="G245" i="18"/>
  <c r="L244" i="18"/>
  <c r="L242" i="18"/>
  <c r="G242" i="18"/>
  <c r="L240" i="18"/>
  <c r="G240" i="18"/>
  <c r="L236" i="18"/>
  <c r="G236" i="18"/>
  <c r="L234" i="18"/>
  <c r="G234" i="18"/>
  <c r="L233" i="18"/>
  <c r="G233" i="18"/>
  <c r="L231" i="18"/>
  <c r="G231" i="18"/>
  <c r="L225" i="18"/>
  <c r="G225" i="18"/>
  <c r="L222" i="18"/>
  <c r="G222" i="18"/>
  <c r="G218" i="18"/>
  <c r="L218" i="18"/>
  <c r="I218" i="18"/>
  <c r="L214" i="18"/>
  <c r="G214" i="18"/>
  <c r="L212" i="18"/>
  <c r="G212" i="18"/>
  <c r="L211" i="18"/>
  <c r="W139" i="6" s="1"/>
  <c r="L209" i="18"/>
  <c r="J209" i="18"/>
  <c r="I209" i="18"/>
  <c r="H209" i="18"/>
  <c r="G209" i="18"/>
  <c r="L206" i="18"/>
  <c r="L199" i="18" s="1"/>
  <c r="K206" i="18"/>
  <c r="M203" i="18"/>
  <c r="M199" i="18" s="1"/>
  <c r="J200" i="18"/>
  <c r="I200" i="18"/>
  <c r="H200" i="18"/>
  <c r="J199" i="18"/>
  <c r="I199" i="18"/>
  <c r="H199" i="18"/>
  <c r="M198" i="18"/>
  <c r="L198" i="18"/>
  <c r="K198" i="18"/>
  <c r="J198" i="18"/>
  <c r="I198" i="18"/>
  <c r="H198" i="18"/>
  <c r="G198" i="18"/>
  <c r="M196" i="18"/>
  <c r="L196" i="18"/>
  <c r="K181" i="18"/>
  <c r="L192" i="18"/>
  <c r="M192" i="18"/>
  <c r="J192" i="18"/>
  <c r="J179" i="18" s="1"/>
  <c r="I192" i="18"/>
  <c r="I179" i="18" s="1"/>
  <c r="H192" i="18"/>
  <c r="H179" i="18" s="1"/>
  <c r="G191" i="18"/>
  <c r="L189" i="18"/>
  <c r="L186" i="18"/>
  <c r="G186" i="18"/>
  <c r="L183" i="18"/>
  <c r="G183" i="18"/>
  <c r="M181" i="18"/>
  <c r="J181" i="18"/>
  <c r="I181" i="18"/>
  <c r="H181" i="18"/>
  <c r="M180" i="18"/>
  <c r="M178" i="18"/>
  <c r="G178" i="18"/>
  <c r="G172" i="18"/>
  <c r="G164" i="18" s="1"/>
  <c r="L171" i="18"/>
  <c r="J171" i="18"/>
  <c r="L167" i="18"/>
  <c r="G167" i="18"/>
  <c r="L165" i="18"/>
  <c r="L163" i="18" s="1"/>
  <c r="G165" i="18"/>
  <c r="J163" i="18"/>
  <c r="I163" i="18"/>
  <c r="H163" i="18"/>
  <c r="L162" i="18"/>
  <c r="L160" i="18"/>
  <c r="G160" i="18"/>
  <c r="G155" i="18"/>
  <c r="G151" i="18" s="1"/>
  <c r="L153" i="18"/>
  <c r="J153" i="18"/>
  <c r="J152" i="18" s="1"/>
  <c r="I153" i="18"/>
  <c r="I152" i="18" s="1"/>
  <c r="H153" i="18"/>
  <c r="H152" i="18" s="1"/>
  <c r="L152" i="18"/>
  <c r="L151" i="18"/>
  <c r="K151" i="18"/>
  <c r="J151" i="18"/>
  <c r="I151" i="18"/>
  <c r="H151" i="18"/>
  <c r="L148" i="18"/>
  <c r="L145" i="18" s="1"/>
  <c r="K148" i="18"/>
  <c r="J148" i="18"/>
  <c r="J145" i="18" s="1"/>
  <c r="J144" i="18" s="1"/>
  <c r="I148" i="18"/>
  <c r="I145" i="18" s="1"/>
  <c r="I144" i="18" s="1"/>
  <c r="H148" i="18"/>
  <c r="H145" i="18" s="1"/>
  <c r="H144" i="18" s="1"/>
  <c r="L146" i="18"/>
  <c r="G146" i="18"/>
  <c r="M143" i="18"/>
  <c r="L143" i="18"/>
  <c r="G143" i="18"/>
  <c r="G142" i="18"/>
  <c r="G133" i="18" s="1"/>
  <c r="G140" i="18"/>
  <c r="G131" i="18" s="1"/>
  <c r="G139" i="18"/>
  <c r="M131" i="18"/>
  <c r="M130" i="18"/>
  <c r="K130" i="18"/>
  <c r="J130" i="18"/>
  <c r="I130" i="18"/>
  <c r="H130" i="18"/>
  <c r="L127" i="18"/>
  <c r="G127" i="18"/>
  <c r="L123" i="18"/>
  <c r="G123" i="18"/>
  <c r="L119" i="18"/>
  <c r="G120" i="18"/>
  <c r="K119" i="18"/>
  <c r="J119" i="18"/>
  <c r="I119" i="18"/>
  <c r="H119" i="18"/>
  <c r="G117" i="18"/>
  <c r="G116" i="18" s="1"/>
  <c r="J116" i="18"/>
  <c r="M115" i="18"/>
  <c r="M102" i="18" s="1"/>
  <c r="L113" i="18"/>
  <c r="G111" i="18"/>
  <c r="F111" i="18"/>
  <c r="E111" i="18"/>
  <c r="D111" i="18"/>
  <c r="C111" i="18"/>
  <c r="B111" i="18"/>
  <c r="L110" i="18"/>
  <c r="F110" i="18"/>
  <c r="E110" i="18"/>
  <c r="D110" i="18"/>
  <c r="C110" i="18"/>
  <c r="B110" i="18"/>
  <c r="O109" i="18"/>
  <c r="L109" i="18"/>
  <c r="G109" i="18"/>
  <c r="F109" i="18"/>
  <c r="E109" i="18"/>
  <c r="D109" i="18"/>
  <c r="C109" i="18"/>
  <c r="B109" i="18"/>
  <c r="L107" i="18"/>
  <c r="G110" i="18"/>
  <c r="M105" i="18"/>
  <c r="L105" i="18"/>
  <c r="G105" i="18"/>
  <c r="J103" i="18"/>
  <c r="I103" i="18"/>
  <c r="H103" i="18"/>
  <c r="J102" i="18"/>
  <c r="I102" i="18"/>
  <c r="H102" i="18"/>
  <c r="G94" i="18"/>
  <c r="G90" i="18"/>
  <c r="L88" i="18"/>
  <c r="J88" i="18"/>
  <c r="G88" i="18"/>
  <c r="L87" i="18"/>
  <c r="J87" i="18"/>
  <c r="G87" i="18"/>
  <c r="R122" i="6" s="1"/>
  <c r="L85" i="18"/>
  <c r="G85" i="18"/>
  <c r="M77" i="18"/>
  <c r="L77" i="18"/>
  <c r="M73" i="18"/>
  <c r="M69" i="18"/>
  <c r="G67" i="18"/>
  <c r="L65" i="18"/>
  <c r="K65" i="18"/>
  <c r="G65" i="18" s="1"/>
  <c r="G64" i="18"/>
  <c r="G49" i="18" s="1"/>
  <c r="L58" i="18"/>
  <c r="G59" i="18"/>
  <c r="G51" i="18" s="1"/>
  <c r="X58" i="18"/>
  <c r="M58" i="18"/>
  <c r="J58" i="18"/>
  <c r="J50" i="18" s="1"/>
  <c r="I58" i="18"/>
  <c r="I50" i="18" s="1"/>
  <c r="H58" i="18"/>
  <c r="H50" i="18" s="1"/>
  <c r="M52" i="18"/>
  <c r="L52" i="18"/>
  <c r="K52" i="18"/>
  <c r="V119" i="6" s="1"/>
  <c r="R119" i="6" s="1"/>
  <c r="J52" i="18"/>
  <c r="I52" i="18"/>
  <c r="H52" i="18"/>
  <c r="M51" i="18"/>
  <c r="M49" i="18"/>
  <c r="L49" i="18"/>
  <c r="L10" i="18" s="1"/>
  <c r="K49" i="18"/>
  <c r="J49" i="18"/>
  <c r="I49" i="18"/>
  <c r="H49" i="18"/>
  <c r="G44" i="18"/>
  <c r="G43" i="18"/>
  <c r="G41" i="18"/>
  <c r="G37" i="18" s="1"/>
  <c r="G36" i="18" s="1"/>
  <c r="M40" i="18"/>
  <c r="L40" i="18"/>
  <c r="J40" i="18"/>
  <c r="H40" i="18"/>
  <c r="G39" i="18"/>
  <c r="M37" i="18"/>
  <c r="J37" i="18"/>
  <c r="J36" i="18" s="1"/>
  <c r="I37" i="18"/>
  <c r="I36" i="18" s="1"/>
  <c r="H37" i="18"/>
  <c r="L36" i="18"/>
  <c r="M22" i="18"/>
  <c r="K22" i="18"/>
  <c r="J22" i="18"/>
  <c r="I22" i="18"/>
  <c r="H22" i="18"/>
  <c r="G22" i="18"/>
  <c r="K21" i="18"/>
  <c r="J21" i="18"/>
  <c r="I21" i="18"/>
  <c r="H21" i="18"/>
  <c r="G21" i="18"/>
  <c r="R111" i="6" s="1"/>
  <c r="M19" i="18"/>
  <c r="L19" i="18"/>
  <c r="K19" i="18"/>
  <c r="J19" i="18"/>
  <c r="I19" i="18"/>
  <c r="H19" i="18"/>
  <c r="G19" i="18"/>
  <c r="I17" i="18"/>
  <c r="H17" i="18"/>
  <c r="Y14" i="18"/>
  <c r="X14" i="18"/>
  <c r="V12" i="18"/>
  <c r="K45" i="5"/>
  <c r="G1126" i="18" l="1"/>
  <c r="L872" i="18"/>
  <c r="W308" i="6"/>
  <c r="X303" i="6"/>
  <c r="X295" i="6" s="1"/>
  <c r="V303" i="6"/>
  <c r="V295" i="6" s="1"/>
  <c r="I528" i="18"/>
  <c r="I523" i="18" s="1"/>
  <c r="I522" i="18" s="1"/>
  <c r="H528" i="18"/>
  <c r="G1092" i="18"/>
  <c r="R322" i="6" s="1"/>
  <c r="G931" i="18"/>
  <c r="G909" i="18"/>
  <c r="G875" i="18" s="1"/>
  <c r="H523" i="18"/>
  <c r="H522" i="18" s="1"/>
  <c r="G698" i="18"/>
  <c r="M528" i="18"/>
  <c r="M523" i="18" s="1"/>
  <c r="M522" i="18" s="1"/>
  <c r="L528" i="18"/>
  <c r="L523" i="18" s="1"/>
  <c r="L522" i="18" s="1"/>
  <c r="L144" i="18"/>
  <c r="J525" i="18"/>
  <c r="U246" i="6" s="1"/>
  <c r="G799" i="18"/>
  <c r="V280" i="6"/>
  <c r="R280" i="6" s="1"/>
  <c r="V285" i="6"/>
  <c r="R285" i="6" s="1"/>
  <c r="G846" i="18"/>
  <c r="G724" i="18"/>
  <c r="K525" i="18"/>
  <c r="G815" i="18"/>
  <c r="V282" i="6"/>
  <c r="R282" i="6" s="1"/>
  <c r="K145" i="18"/>
  <c r="G148" i="18"/>
  <c r="G145" i="18" s="1"/>
  <c r="L587" i="18"/>
  <c r="M525" i="18"/>
  <c r="G657" i="18"/>
  <c r="V266" i="6"/>
  <c r="V111" i="6"/>
  <c r="H525" i="18"/>
  <c r="S246" i="6" s="1"/>
  <c r="I525" i="18"/>
  <c r="T246" i="6" s="1"/>
  <c r="V276" i="6"/>
  <c r="R276" i="6" s="1"/>
  <c r="G392" i="18"/>
  <c r="H14" i="18"/>
  <c r="G119" i="18"/>
  <c r="G104" i="18"/>
  <c r="I14" i="18"/>
  <c r="V101" i="6"/>
  <c r="R101" i="6"/>
  <c r="V117" i="6"/>
  <c r="M10" i="18"/>
  <c r="X94" i="6" s="1"/>
  <c r="J14" i="18"/>
  <c r="K199" i="18"/>
  <c r="G206" i="18"/>
  <c r="G199" i="18" s="1"/>
  <c r="K363" i="18"/>
  <c r="V146" i="6"/>
  <c r="R146" i="6" s="1"/>
  <c r="W122" i="6"/>
  <c r="W123" i="6"/>
  <c r="L14" i="18"/>
  <c r="X114" i="6"/>
  <c r="M14" i="18"/>
  <c r="W148" i="6"/>
  <c r="M163" i="18"/>
  <c r="K103" i="18"/>
  <c r="H1219" i="18"/>
  <c r="B88" i="15"/>
  <c r="G1099" i="18"/>
  <c r="G1091" i="18" s="1"/>
  <c r="K1091" i="18"/>
  <c r="R314" i="6"/>
  <c r="W325" i="6"/>
  <c r="W315" i="6"/>
  <c r="M179" i="18"/>
  <c r="X137" i="6"/>
  <c r="L243" i="18"/>
  <c r="W141" i="6"/>
  <c r="I263" i="18"/>
  <c r="G777" i="18"/>
  <c r="V278" i="6"/>
  <c r="R278" i="6" s="1"/>
  <c r="M255" i="18"/>
  <c r="X142" i="6"/>
  <c r="L1187" i="18"/>
  <c r="K439" i="18"/>
  <c r="G801" i="18"/>
  <c r="J920" i="18"/>
  <c r="L1201" i="18"/>
  <c r="H1255" i="18"/>
  <c r="L529" i="18"/>
  <c r="H15" i="18"/>
  <c r="I10" i="18"/>
  <c r="J10" i="18"/>
  <c r="J15" i="18"/>
  <c r="L15" i="18"/>
  <c r="H10" i="18"/>
  <c r="M15" i="18"/>
  <c r="M20" i="18"/>
  <c r="H1295" i="18"/>
  <c r="G58" i="18"/>
  <c r="J1312" i="18"/>
  <c r="I16" i="18"/>
  <c r="I15" i="18"/>
  <c r="G282" i="18"/>
  <c r="I1201" i="18"/>
  <c r="L697" i="18"/>
  <c r="G603" i="18"/>
  <c r="K908" i="18"/>
  <c r="J1002" i="18"/>
  <c r="G1006" i="18"/>
  <c r="G1023" i="18"/>
  <c r="I920" i="18"/>
  <c r="M920" i="18"/>
  <c r="J1265" i="18"/>
  <c r="I1295" i="18"/>
  <c r="L1147" i="18"/>
  <c r="G1001" i="18"/>
  <c r="M1055" i="18"/>
  <c r="L1219" i="18"/>
  <c r="G1219" i="18"/>
  <c r="I1312" i="18"/>
  <c r="G1321" i="18"/>
  <c r="M814" i="18"/>
  <c r="G1073" i="18"/>
  <c r="H1201" i="18"/>
  <c r="G86" i="18"/>
  <c r="H948" i="18"/>
  <c r="L603" i="18"/>
  <c r="L1113" i="18"/>
  <c r="J1127" i="18"/>
  <c r="K1201" i="18"/>
  <c r="H1265" i="18"/>
  <c r="H908" i="18"/>
  <c r="L908" i="18"/>
  <c r="J1055" i="18"/>
  <c r="R320" i="6"/>
  <c r="M1113" i="18"/>
  <c r="G1114" i="18"/>
  <c r="G1163" i="18"/>
  <c r="H1231" i="18"/>
  <c r="G1232" i="18"/>
  <c r="R334" i="6" s="1"/>
  <c r="H263" i="18"/>
  <c r="H1022" i="18"/>
  <c r="L1022" i="18"/>
  <c r="G1186" i="18"/>
  <c r="J1201" i="18"/>
  <c r="H723" i="18"/>
  <c r="L798" i="18"/>
  <c r="J1113" i="18"/>
  <c r="H1187" i="18"/>
  <c r="L685" i="18"/>
  <c r="W270" i="6"/>
  <c r="I1002" i="18"/>
  <c r="M1002" i="18"/>
  <c r="J1022" i="18"/>
  <c r="G1183" i="18"/>
  <c r="M1187" i="18"/>
  <c r="J1231" i="18"/>
  <c r="G1230" i="18"/>
  <c r="L1295" i="18"/>
  <c r="J16" i="18"/>
  <c r="J20" i="18"/>
  <c r="H20" i="18"/>
  <c r="L723" i="18"/>
  <c r="W274" i="6"/>
  <c r="W273" i="6" s="1"/>
  <c r="M1312" i="18"/>
  <c r="M363" i="18"/>
  <c r="J391" i="18"/>
  <c r="L363" i="18"/>
  <c r="L1265" i="18"/>
  <c r="W338" i="6"/>
  <c r="G1266" i="18"/>
  <c r="I1255" i="18"/>
  <c r="L1255" i="18"/>
  <c r="I1231" i="18"/>
  <c r="K1231" i="18"/>
  <c r="I1187" i="18"/>
  <c r="H1147" i="18"/>
  <c r="I1127" i="18"/>
  <c r="M1127" i="18"/>
  <c r="I1113" i="18"/>
  <c r="H879" i="18"/>
  <c r="H872" i="18" s="1"/>
  <c r="I1055" i="18"/>
  <c r="K1041" i="18"/>
  <c r="R317" i="6"/>
  <c r="I948" i="18"/>
  <c r="G907" i="18"/>
  <c r="M908" i="18"/>
  <c r="I908" i="18"/>
  <c r="G1267" i="18"/>
  <c r="K1265" i="18"/>
  <c r="K1147" i="18"/>
  <c r="G1112" i="18"/>
  <c r="K1022" i="18"/>
  <c r="K1002" i="18"/>
  <c r="G1002" i="18"/>
  <c r="K798" i="18"/>
  <c r="G798" i="18" s="1"/>
  <c r="L776" i="18"/>
  <c r="I723" i="18"/>
  <c r="M723" i="18"/>
  <c r="J723" i="18"/>
  <c r="G725" i="18"/>
  <c r="I529" i="18"/>
  <c r="K713" i="18"/>
  <c r="G713" i="18" s="1"/>
  <c r="J529" i="18"/>
  <c r="L455" i="18"/>
  <c r="G455" i="18"/>
  <c r="G211" i="18"/>
  <c r="G210" i="18" s="1"/>
  <c r="H379" i="18"/>
  <c r="J379" i="18"/>
  <c r="K391" i="18"/>
  <c r="G262" i="18"/>
  <c r="I379" i="18"/>
  <c r="M379" i="18"/>
  <c r="H391" i="18"/>
  <c r="L255" i="18"/>
  <c r="M439" i="18"/>
  <c r="L179" i="18"/>
  <c r="G403" i="18"/>
  <c r="I391" i="18"/>
  <c r="L391" i="18"/>
  <c r="M391" i="18"/>
  <c r="L263" i="18"/>
  <c r="G144" i="18"/>
  <c r="J1041" i="18"/>
  <c r="H1113" i="18"/>
  <c r="H1127" i="18"/>
  <c r="M1295" i="18"/>
  <c r="G232" i="18"/>
  <c r="K294" i="18"/>
  <c r="G294" i="18" s="1"/>
  <c r="L379" i="18"/>
  <c r="K832" i="18"/>
  <c r="G832" i="18" s="1"/>
  <c r="L920" i="18"/>
  <c r="G1171" i="18"/>
  <c r="J1219" i="18"/>
  <c r="P118" i="18"/>
  <c r="L210" i="18"/>
  <c r="K269" i="18"/>
  <c r="H1002" i="18"/>
  <c r="L1002" i="18"/>
  <c r="G1041" i="18"/>
  <c r="G1057" i="18"/>
  <c r="I1147" i="18"/>
  <c r="M1147" i="18"/>
  <c r="M1201" i="18"/>
  <c r="G1202" i="18"/>
  <c r="K723" i="18"/>
  <c r="L814" i="18"/>
  <c r="H1055" i="18"/>
  <c r="L1127" i="18"/>
  <c r="J1147" i="18"/>
  <c r="G934" i="18"/>
  <c r="G932" i="18" s="1"/>
  <c r="G171" i="18"/>
  <c r="K40" i="18"/>
  <c r="L86" i="18"/>
  <c r="K171" i="18"/>
  <c r="K273" i="18"/>
  <c r="G379" i="18"/>
  <c r="L439" i="18"/>
  <c r="J623" i="18"/>
  <c r="G635" i="18"/>
  <c r="K827" i="18"/>
  <c r="G827" i="18" s="1"/>
  <c r="M912" i="18"/>
  <c r="I1041" i="18"/>
  <c r="M1041" i="18"/>
  <c r="K1057" i="18"/>
  <c r="K1055" i="18" s="1"/>
  <c r="G1072" i="18"/>
  <c r="K1093" i="18"/>
  <c r="G1093" i="18" s="1"/>
  <c r="K1197" i="18"/>
  <c r="G1197" i="18" s="1"/>
  <c r="G1200" i="18"/>
  <c r="M1231" i="18"/>
  <c r="J1255" i="18"/>
  <c r="M1255" i="18"/>
  <c r="I1265" i="18"/>
  <c r="M1265" i="18"/>
  <c r="G1264" i="18"/>
  <c r="G1300" i="18"/>
  <c r="G1294" i="18" s="1"/>
  <c r="K35" i="18"/>
  <c r="G40" i="18"/>
  <c r="L232" i="18"/>
  <c r="J263" i="18"/>
  <c r="G393" i="18"/>
  <c r="G399" i="18"/>
  <c r="K944" i="18"/>
  <c r="G944" i="18" s="1"/>
  <c r="H1041" i="18"/>
  <c r="L1041" i="18"/>
  <c r="K1113" i="18"/>
  <c r="K37" i="18"/>
  <c r="M103" i="18"/>
  <c r="G375" i="18"/>
  <c r="H529" i="18"/>
  <c r="H527" i="18" s="1"/>
  <c r="J908" i="18"/>
  <c r="G1021" i="18"/>
  <c r="K1067" i="18"/>
  <c r="G1067" i="18" s="1"/>
  <c r="G1129" i="18"/>
  <c r="G1146" i="18"/>
  <c r="K1333" i="18"/>
  <c r="G696" i="18"/>
  <c r="M776" i="18"/>
  <c r="J1187" i="18"/>
  <c r="G1189" i="18"/>
  <c r="G1187" i="18" s="1"/>
  <c r="I1219" i="18"/>
  <c r="M1219" i="18"/>
  <c r="K1221" i="18"/>
  <c r="K1219" i="18" s="1"/>
  <c r="K20" i="18"/>
  <c r="L50" i="18"/>
  <c r="G697" i="18"/>
  <c r="M883" i="18"/>
  <c r="M876" i="18" s="1"/>
  <c r="M1022" i="18"/>
  <c r="G1261" i="18"/>
  <c r="G1257" i="18" s="1"/>
  <c r="G1255" i="18" s="1"/>
  <c r="K1259" i="18"/>
  <c r="G1259" i="18" s="1"/>
  <c r="K1257" i="18"/>
  <c r="K1255" i="18" s="1"/>
  <c r="J1295" i="18"/>
  <c r="J883" i="18"/>
  <c r="J876" i="18" s="1"/>
  <c r="G1303" i="18"/>
  <c r="G1297" i="18" s="1"/>
  <c r="G1295" i="18" s="1"/>
  <c r="G1301" i="18"/>
  <c r="K1297" i="18"/>
  <c r="K1295" i="18" s="1"/>
  <c r="G157" i="18"/>
  <c r="K156" i="18"/>
  <c r="P155" i="18" s="1"/>
  <c r="K381" i="18"/>
  <c r="K379" i="18" s="1"/>
  <c r="K697" i="18"/>
  <c r="G820" i="18"/>
  <c r="K818" i="18"/>
  <c r="G818" i="18" s="1"/>
  <c r="K816" i="18"/>
  <c r="I883" i="18"/>
  <c r="I876" i="18" s="1"/>
  <c r="I1022" i="18"/>
  <c r="H16" i="18"/>
  <c r="H36" i="18"/>
  <c r="M36" i="18"/>
  <c r="M50" i="18"/>
  <c r="L103" i="18"/>
  <c r="G270" i="18"/>
  <c r="K263" i="18"/>
  <c r="G581" i="18"/>
  <c r="K576" i="18"/>
  <c r="K587" i="18"/>
  <c r="G587" i="18" s="1"/>
  <c r="M529" i="18"/>
  <c r="K685" i="18"/>
  <c r="G685" i="18" s="1"/>
  <c r="G20" i="18"/>
  <c r="R110" i="6" s="1"/>
  <c r="V110" i="6" s="1"/>
  <c r="G1325" i="18"/>
  <c r="K1325" i="18"/>
  <c r="G52" i="18"/>
  <c r="G255" i="18"/>
  <c r="I20" i="18"/>
  <c r="G35" i="18"/>
  <c r="K153" i="18"/>
  <c r="K152" i="18" s="1"/>
  <c r="G194" i="18"/>
  <c r="K192" i="18"/>
  <c r="G267" i="18"/>
  <c r="G315" i="18"/>
  <c r="G363" i="18"/>
  <c r="K387" i="18"/>
  <c r="G387" i="18" s="1"/>
  <c r="G440" i="18"/>
  <c r="G451" i="18"/>
  <c r="G646" i="18"/>
  <c r="K645" i="18"/>
  <c r="G645" i="18" s="1"/>
  <c r="K634" i="18"/>
  <c r="H920" i="18"/>
  <c r="H883" i="18"/>
  <c r="H876" i="18" s="1"/>
  <c r="K948" i="18"/>
  <c r="K58" i="18"/>
  <c r="K50" i="18" s="1"/>
  <c r="K577" i="18"/>
  <c r="G585" i="18"/>
  <c r="J618" i="18"/>
  <c r="G686" i="18"/>
  <c r="G912" i="18"/>
  <c r="I879" i="18"/>
  <c r="I872" i="18" s="1"/>
  <c r="G920" i="18"/>
  <c r="K920" i="18"/>
  <c r="J948" i="18"/>
  <c r="L1059" i="18"/>
  <c r="G1123" i="18"/>
  <c r="G1115" i="18" s="1"/>
  <c r="K1121" i="18"/>
  <c r="G1121" i="18" s="1"/>
  <c r="K1129" i="18"/>
  <c r="K1127" i="18" s="1"/>
  <c r="G1179" i="18"/>
  <c r="G1149" i="18"/>
  <c r="K1189" i="18"/>
  <c r="K1187" i="18" s="1"/>
  <c r="G1330" i="18"/>
  <c r="G1329" i="18" s="1"/>
  <c r="K1329" i="18"/>
  <c r="G784" i="18"/>
  <c r="K778" i="18"/>
  <c r="K782" i="18"/>
  <c r="G782" i="18" s="1"/>
  <c r="L940" i="18"/>
  <c r="G970" i="18"/>
  <c r="G950" i="18" s="1"/>
  <c r="G948" i="18" s="1"/>
  <c r="K968" i="18"/>
  <c r="G968" i="18" s="1"/>
  <c r="H1312" i="18"/>
  <c r="H1340" i="18"/>
  <c r="L1312" i="18"/>
  <c r="G1317" i="18"/>
  <c r="L883" i="18"/>
  <c r="L876" i="18" s="1"/>
  <c r="K872" i="18"/>
  <c r="J879" i="18"/>
  <c r="J872" i="18" s="1"/>
  <c r="G1148" i="18"/>
  <c r="G1155" i="18"/>
  <c r="L1235" i="18"/>
  <c r="L1232" i="18"/>
  <c r="L882" i="18" s="1"/>
  <c r="L875" i="18" s="1"/>
  <c r="G1237" i="18"/>
  <c r="G1233" i="18" s="1"/>
  <c r="K1313" i="18"/>
  <c r="X302" i="6" l="1"/>
  <c r="V302" i="6"/>
  <c r="H874" i="18"/>
  <c r="I527" i="18"/>
  <c r="J874" i="18"/>
  <c r="M874" i="18"/>
  <c r="I874" i="18"/>
  <c r="X292" i="6"/>
  <c r="M872" i="18"/>
  <c r="K1312" i="18"/>
  <c r="G1313" i="18"/>
  <c r="G525" i="18"/>
  <c r="G520" i="18" s="1"/>
  <c r="V246" i="6"/>
  <c r="R246" i="6" s="1"/>
  <c r="K520" i="18"/>
  <c r="J617" i="18"/>
  <c r="J528" i="18"/>
  <c r="J527" i="18" s="1"/>
  <c r="X246" i="6"/>
  <c r="M520" i="18"/>
  <c r="M521" i="18" s="1"/>
  <c r="W246" i="6"/>
  <c r="W238" i="6" s="1"/>
  <c r="L520" i="18"/>
  <c r="L521" i="18" s="1"/>
  <c r="K528" i="18"/>
  <c r="K523" i="18" s="1"/>
  <c r="K522" i="18" s="1"/>
  <c r="X300" i="6"/>
  <c r="V300" i="6"/>
  <c r="K144" i="18"/>
  <c r="V133" i="6"/>
  <c r="R133" i="6" s="1"/>
  <c r="G264" i="18"/>
  <c r="R143" i="6" s="1"/>
  <c r="W292" i="6"/>
  <c r="W300" i="6"/>
  <c r="V260" i="6"/>
  <c r="V249" i="6" s="1"/>
  <c r="V241" i="6" s="1"/>
  <c r="G391" i="18"/>
  <c r="R117" i="6"/>
  <c r="K36" i="18"/>
  <c r="V114" i="6"/>
  <c r="X100" i="6"/>
  <c r="X216" i="6" s="1"/>
  <c r="K14" i="18"/>
  <c r="P191" i="18"/>
  <c r="L178" i="18" s="1"/>
  <c r="K179" i="18"/>
  <c r="G192" i="18"/>
  <c r="G179" i="18" s="1"/>
  <c r="P170" i="18"/>
  <c r="K118" i="18"/>
  <c r="L1231" i="18"/>
  <c r="W334" i="6"/>
  <c r="G1022" i="18"/>
  <c r="R318" i="6"/>
  <c r="L1055" i="18"/>
  <c r="W320" i="6"/>
  <c r="W303" i="6" s="1"/>
  <c r="W295" i="6" s="1"/>
  <c r="G1201" i="18"/>
  <c r="R330" i="6"/>
  <c r="M12" i="18"/>
  <c r="M11" i="18" s="1"/>
  <c r="X95" i="6" s="1"/>
  <c r="G1231" i="18"/>
  <c r="G50" i="18"/>
  <c r="L713" i="18"/>
  <c r="W135" i="6"/>
  <c r="G723" i="18"/>
  <c r="L102" i="18"/>
  <c r="K15" i="18"/>
  <c r="K163" i="18"/>
  <c r="G103" i="18"/>
  <c r="R127" i="6"/>
  <c r="G439" i="18"/>
  <c r="R154" i="6"/>
  <c r="G1113" i="18"/>
  <c r="G163" i="18"/>
  <c r="L12" i="18"/>
  <c r="I12" i="18"/>
  <c r="I881" i="18"/>
  <c r="G1055" i="18"/>
  <c r="H12" i="18"/>
  <c r="W241" i="6"/>
  <c r="G1127" i="18"/>
  <c r="J12" i="18"/>
  <c r="G1265" i="18"/>
  <c r="J881" i="18"/>
  <c r="J1339" i="18"/>
  <c r="I1339" i="18"/>
  <c r="G879" i="18"/>
  <c r="G872" i="18" s="1"/>
  <c r="V292" i="6"/>
  <c r="M881" i="18"/>
  <c r="M880" i="18" s="1"/>
  <c r="K826" i="18"/>
  <c r="G826" i="18" s="1"/>
  <c r="M527" i="18"/>
  <c r="M526" i="18" s="1"/>
  <c r="H1339" i="18"/>
  <c r="L527" i="18"/>
  <c r="L526" i="18" s="1"/>
  <c r="G1147" i="18"/>
  <c r="G883" i="18"/>
  <c r="G908" i="18"/>
  <c r="H881" i="18"/>
  <c r="G181" i="18"/>
  <c r="G576" i="18"/>
  <c r="K575" i="18"/>
  <c r="G575" i="18" s="1"/>
  <c r="H1338" i="18"/>
  <c r="I1338" i="18"/>
  <c r="K883" i="18"/>
  <c r="G634" i="18"/>
  <c r="K633" i="18"/>
  <c r="G633" i="18" s="1"/>
  <c r="G269" i="18"/>
  <c r="K776" i="18"/>
  <c r="G776" i="18" s="1"/>
  <c r="G778" i="18"/>
  <c r="G577" i="18"/>
  <c r="K529" i="18"/>
  <c r="K524" i="18" s="1"/>
  <c r="G816" i="18"/>
  <c r="K814" i="18"/>
  <c r="G814" i="18" s="1"/>
  <c r="G156" i="18"/>
  <c r="G153" i="18"/>
  <c r="G152" i="18" s="1"/>
  <c r="G273" i="18"/>
  <c r="R73" i="6"/>
  <c r="X301" i="6" l="1"/>
  <c r="X294" i="6" s="1"/>
  <c r="X293" i="6" s="1"/>
  <c r="G876" i="18"/>
  <c r="G874" i="18" s="1"/>
  <c r="G873" i="18" s="1"/>
  <c r="M873" i="18"/>
  <c r="L881" i="18"/>
  <c r="L874" i="18"/>
  <c r="K881" i="18"/>
  <c r="K876" i="18"/>
  <c r="K874" i="18" s="1"/>
  <c r="J523" i="18"/>
  <c r="J522" i="18" s="1"/>
  <c r="R238" i="6"/>
  <c r="X247" i="6"/>
  <c r="X238" i="6"/>
  <c r="G528" i="18"/>
  <c r="G523" i="18" s="1"/>
  <c r="G522" i="18" s="1"/>
  <c r="G521" i="18" s="1"/>
  <c r="G14" i="18"/>
  <c r="G263" i="18"/>
  <c r="V100" i="6"/>
  <c r="R292" i="6"/>
  <c r="R300" i="6"/>
  <c r="R260" i="6"/>
  <c r="W302" i="6"/>
  <c r="W294" i="6" s="1"/>
  <c r="R114" i="6"/>
  <c r="R100" i="6" s="1"/>
  <c r="W100" i="6"/>
  <c r="W216" i="6" s="1"/>
  <c r="G170" i="18"/>
  <c r="G162" i="18" s="1"/>
  <c r="G102" i="18"/>
  <c r="G118" i="18"/>
  <c r="W94" i="6"/>
  <c r="W247" i="6"/>
  <c r="W248" i="6"/>
  <c r="K12" i="18"/>
  <c r="G15" i="18"/>
  <c r="V275" i="6"/>
  <c r="R275" i="6" s="1"/>
  <c r="R250" i="6" s="1"/>
  <c r="I1337" i="18"/>
  <c r="G881" i="18"/>
  <c r="G880" i="18" s="1"/>
  <c r="H1337" i="18"/>
  <c r="L1337" i="18"/>
  <c r="K527" i="18"/>
  <c r="G529" i="18"/>
  <c r="J1338" i="18"/>
  <c r="J1337" i="18" s="1"/>
  <c r="M1337" i="18"/>
  <c r="G12" i="18" l="1"/>
  <c r="K10" i="18"/>
  <c r="R216" i="6"/>
  <c r="G1337" i="18"/>
  <c r="G524" i="18"/>
  <c r="V250" i="6"/>
  <c r="V273" i="6"/>
  <c r="R273" i="6" s="1"/>
  <c r="G527" i="18"/>
  <c r="G526" i="18" s="1"/>
  <c r="K1337" i="18"/>
  <c r="V94" i="6" l="1"/>
  <c r="G10" i="18"/>
  <c r="V242" i="6"/>
  <c r="V248" i="6"/>
  <c r="V216" i="6"/>
  <c r="G11" i="18" l="1"/>
  <c r="R95" i="6" s="1"/>
  <c r="R94" i="6"/>
  <c r="R242" i="6"/>
  <c r="U39" i="14"/>
  <c r="I75" i="14" l="1"/>
  <c r="I76" i="14" s="1"/>
  <c r="I77" i="14" l="1"/>
  <c r="S205" i="6" l="1"/>
  <c r="T205" i="6"/>
  <c r="U205" i="6"/>
  <c r="V205" i="6"/>
  <c r="S197" i="6"/>
  <c r="T197" i="6"/>
  <c r="U197" i="6"/>
  <c r="R410" i="6" l="1"/>
  <c r="U33" i="6"/>
  <c r="U32" i="6" s="1"/>
  <c r="S40" i="6"/>
  <c r="S39" i="6" s="1"/>
  <c r="R40" i="6"/>
  <c r="R39" i="6" s="1"/>
  <c r="B32" i="15" l="1"/>
  <c r="B34" i="15"/>
  <c r="B35" i="15"/>
  <c r="B38" i="15"/>
  <c r="B39" i="15"/>
  <c r="B40" i="15"/>
  <c r="B41" i="15"/>
  <c r="H37" i="15"/>
  <c r="H33" i="15" s="1"/>
  <c r="I37" i="15"/>
  <c r="I31" i="15"/>
  <c r="B33" i="15" l="1"/>
  <c r="I53" i="15"/>
  <c r="I47" i="15" s="1"/>
  <c r="I45" i="15" s="1"/>
  <c r="I7" i="15"/>
  <c r="I5" i="15" s="1"/>
  <c r="I11" i="15"/>
  <c r="H31" i="15"/>
  <c r="B37" i="15"/>
  <c r="H53" i="15" l="1"/>
  <c r="H47" i="15" s="1"/>
  <c r="H45" i="15" s="1"/>
  <c r="H7" i="15"/>
  <c r="H5" i="15" s="1"/>
  <c r="H11" i="15"/>
  <c r="B31" i="15"/>
  <c r="V604" i="6"/>
  <c r="E77" i="14" l="1"/>
  <c r="E78" i="14" l="1"/>
  <c r="E79" i="14" s="1"/>
  <c r="E80" i="14" s="1"/>
  <c r="E81" i="14" s="1"/>
  <c r="M48" i="14"/>
  <c r="V197" i="6" l="1"/>
  <c r="R453" i="5"/>
  <c r="R197" i="6" l="1"/>
  <c r="H636" i="5"/>
  <c r="I636" i="5"/>
  <c r="J636" i="5"/>
  <c r="K636" i="5"/>
  <c r="L636" i="5"/>
  <c r="T453" i="5" l="1"/>
  <c r="L608" i="5"/>
  <c r="L609" i="5"/>
  <c r="L607" i="5" l="1"/>
  <c r="H802" i="5"/>
  <c r="I802" i="5"/>
  <c r="J802" i="5"/>
  <c r="K802" i="5"/>
  <c r="L802" i="5"/>
  <c r="M799" i="5"/>
  <c r="L799" i="5"/>
  <c r="H799" i="5"/>
  <c r="I799" i="5"/>
  <c r="J799" i="5"/>
  <c r="K799" i="5"/>
  <c r="H800" i="5"/>
  <c r="I800" i="5"/>
  <c r="J800" i="5"/>
  <c r="K800" i="5"/>
  <c r="L800" i="5"/>
  <c r="M800" i="5"/>
  <c r="G803" i="5"/>
  <c r="G804" i="5"/>
  <c r="J798" i="5" l="1"/>
  <c r="L798" i="5"/>
  <c r="H798" i="5"/>
  <c r="G802" i="5"/>
  <c r="M798" i="5"/>
  <c r="I798" i="5"/>
  <c r="K798" i="5"/>
  <c r="G800" i="5"/>
  <c r="M45" i="14"/>
  <c r="N45" i="14"/>
  <c r="K51" i="16" s="1"/>
  <c r="O45" i="14"/>
  <c r="P51" i="16" s="1"/>
  <c r="P45" i="14"/>
  <c r="Q51" i="16" s="1"/>
  <c r="Q45" i="14"/>
  <c r="R45" i="14"/>
  <c r="S45" i="14"/>
  <c r="N44" i="14"/>
  <c r="K50" i="16" s="1"/>
  <c r="M33" i="14"/>
  <c r="G435" i="5" l="1"/>
  <c r="H437" i="5"/>
  <c r="G437" i="5"/>
  <c r="W197" i="6" l="1"/>
  <c r="G274" i="5" l="1"/>
  <c r="R205" i="6" l="1"/>
  <c r="R190" i="6"/>
  <c r="V620" i="6"/>
  <c r="R528" i="6" l="1"/>
  <c r="R435" i="6"/>
  <c r="R427" i="6"/>
  <c r="H809" i="5" l="1"/>
  <c r="I809" i="5"/>
  <c r="J809" i="5"/>
  <c r="K809" i="5"/>
  <c r="L809" i="5"/>
  <c r="M809" i="5"/>
  <c r="H810" i="5"/>
  <c r="I810" i="5"/>
  <c r="J810" i="5"/>
  <c r="K810" i="5"/>
  <c r="L810" i="5"/>
  <c r="M810" i="5"/>
  <c r="H1006" i="5"/>
  <c r="I1006" i="5"/>
  <c r="J1006" i="5"/>
  <c r="K1006" i="5"/>
  <c r="L1006" i="5"/>
  <c r="M1006" i="5"/>
  <c r="H1005" i="5"/>
  <c r="I1005" i="5"/>
  <c r="J1005" i="5"/>
  <c r="L1005" i="5"/>
  <c r="M1005" i="5"/>
  <c r="H1003" i="5"/>
  <c r="I1003" i="5"/>
  <c r="J1003" i="5"/>
  <c r="K1003" i="5"/>
  <c r="L1003" i="5"/>
  <c r="M1003" i="5"/>
  <c r="G1019" i="5"/>
  <c r="K1020" i="5"/>
  <c r="G1021" i="5"/>
  <c r="K1005" i="5"/>
  <c r="G1033" i="5"/>
  <c r="G1007" i="5"/>
  <c r="K1008" i="5"/>
  <c r="G1009" i="5"/>
  <c r="L996" i="5"/>
  <c r="L930" i="5"/>
  <c r="G881" i="5"/>
  <c r="G883" i="5"/>
  <c r="K738" i="5"/>
  <c r="H646" i="5"/>
  <c r="I646" i="5"/>
  <c r="J646" i="5"/>
  <c r="K646" i="5"/>
  <c r="L646" i="5"/>
  <c r="M646" i="5"/>
  <c r="K737" i="5"/>
  <c r="H644" i="5"/>
  <c r="I644" i="5"/>
  <c r="J644" i="5"/>
  <c r="K644" i="5"/>
  <c r="L644" i="5"/>
  <c r="M644" i="5"/>
  <c r="G644" i="5"/>
  <c r="G649" i="5"/>
  <c r="G654" i="5" l="1"/>
  <c r="W117" i="6" l="1"/>
  <c r="V112" i="6"/>
  <c r="X215" i="6" l="1"/>
  <c r="X189" i="6"/>
  <c r="W215" i="6"/>
  <c r="W189" i="6"/>
  <c r="V215" i="6"/>
  <c r="V189" i="6"/>
  <c r="U215" i="6"/>
  <c r="U189" i="6"/>
  <c r="T215" i="6"/>
  <c r="T189" i="6"/>
  <c r="S215" i="6"/>
  <c r="S189" i="6"/>
  <c r="R215" i="6"/>
  <c r="R189" i="6"/>
  <c r="S214" i="6"/>
  <c r="T214" i="6"/>
  <c r="U214" i="6"/>
  <c r="V214" i="6"/>
  <c r="W214" i="6"/>
  <c r="X214" i="6"/>
  <c r="V217" i="6"/>
  <c r="W217" i="6"/>
  <c r="X217" i="6"/>
  <c r="G1168" i="5" l="1"/>
  <c r="G1172" i="5"/>
  <c r="G1180" i="5"/>
  <c r="Q43" i="16" l="1"/>
  <c r="P43" i="16"/>
  <c r="K43" i="16"/>
  <c r="L725" i="5" l="1"/>
  <c r="M725" i="5"/>
  <c r="H725" i="5"/>
  <c r="I725" i="5"/>
  <c r="J725" i="5"/>
  <c r="K725" i="5"/>
  <c r="L705" i="5"/>
  <c r="K590" i="5"/>
  <c r="G598" i="5"/>
  <c r="S453" i="5" l="1"/>
  <c r="S68" i="6" l="1"/>
  <c r="T68" i="6"/>
  <c r="U68" i="6"/>
  <c r="L94" i="6"/>
  <c r="H94" i="6" s="1"/>
  <c r="M94" i="6"/>
  <c r="R98" i="6"/>
  <c r="S98" i="6"/>
  <c r="T98" i="6"/>
  <c r="U98" i="6"/>
  <c r="V98" i="6"/>
  <c r="W98" i="6"/>
  <c r="I99" i="6"/>
  <c r="H99" i="6" s="1"/>
  <c r="J99" i="6"/>
  <c r="K99" i="6"/>
  <c r="K214" i="6" s="1"/>
  <c r="L99" i="6"/>
  <c r="M99" i="6"/>
  <c r="N99" i="6"/>
  <c r="N214" i="6" s="1"/>
  <c r="N211" i="6" s="1"/>
  <c r="O99" i="6"/>
  <c r="O214" i="6" s="1"/>
  <c r="O211" i="6" s="1"/>
  <c r="P99" i="6"/>
  <c r="P214" i="6" s="1"/>
  <c r="Q99" i="6"/>
  <c r="Q214" i="6" s="1"/>
  <c r="S213" i="6"/>
  <c r="T213" i="6"/>
  <c r="U213" i="6"/>
  <c r="I101" i="6"/>
  <c r="H101" i="6" s="1"/>
  <c r="J101" i="6"/>
  <c r="K101" i="6"/>
  <c r="L101" i="6"/>
  <c r="M101" i="6"/>
  <c r="P101" i="6"/>
  <c r="Q101" i="6"/>
  <c r="R102" i="6"/>
  <c r="U102" i="6"/>
  <c r="I110" i="6"/>
  <c r="H110" i="6" s="1"/>
  <c r="J110" i="6"/>
  <c r="K110" i="6"/>
  <c r="L110" i="6"/>
  <c r="I114" i="6"/>
  <c r="H114" i="6" s="1"/>
  <c r="J114" i="6"/>
  <c r="K114" i="6"/>
  <c r="L114" i="6"/>
  <c r="I115" i="6"/>
  <c r="H115" i="6" s="1"/>
  <c r="J115" i="6"/>
  <c r="K115" i="6"/>
  <c r="L115" i="6"/>
  <c r="I117" i="6"/>
  <c r="H117" i="6" s="1"/>
  <c r="J117" i="6"/>
  <c r="K117" i="6"/>
  <c r="L117" i="6"/>
  <c r="M117" i="6"/>
  <c r="Q117" i="6"/>
  <c r="I121" i="6"/>
  <c r="H121" i="6" s="1"/>
  <c r="J121" i="6"/>
  <c r="K121" i="6"/>
  <c r="L121" i="6"/>
  <c r="U121" i="6"/>
  <c r="H126" i="6"/>
  <c r="I127" i="6"/>
  <c r="H127" i="6" s="1"/>
  <c r="J127" i="6"/>
  <c r="K127" i="6"/>
  <c r="L127" i="6"/>
  <c r="M127" i="6"/>
  <c r="Q127" i="6"/>
  <c r="I129" i="6"/>
  <c r="H129" i="6" s="1"/>
  <c r="J129" i="6"/>
  <c r="K129" i="6"/>
  <c r="L129" i="6"/>
  <c r="M129" i="6"/>
  <c r="P129" i="6"/>
  <c r="H133" i="6"/>
  <c r="I134" i="6"/>
  <c r="H134" i="6" s="1"/>
  <c r="J134" i="6"/>
  <c r="K134" i="6"/>
  <c r="L134" i="6"/>
  <c r="I135" i="6"/>
  <c r="H135" i="6" s="1"/>
  <c r="J135" i="6"/>
  <c r="K135" i="6"/>
  <c r="L135" i="6"/>
  <c r="M135" i="6"/>
  <c r="N135" i="6"/>
  <c r="O135" i="6"/>
  <c r="P135" i="6"/>
  <c r="Q135" i="6"/>
  <c r="H136" i="6"/>
  <c r="I137" i="6"/>
  <c r="H137" i="6" s="1"/>
  <c r="J137" i="6"/>
  <c r="K137" i="6"/>
  <c r="L137" i="6"/>
  <c r="I138" i="6"/>
  <c r="H138" i="6" s="1"/>
  <c r="J138" i="6"/>
  <c r="K138" i="6"/>
  <c r="L138" i="6"/>
  <c r="I139" i="6"/>
  <c r="H139" i="6" s="1"/>
  <c r="J139" i="6"/>
  <c r="K139" i="6"/>
  <c r="L139" i="6"/>
  <c r="M139" i="6"/>
  <c r="N139" i="6"/>
  <c r="O139" i="6"/>
  <c r="P139" i="6"/>
  <c r="Q139" i="6"/>
  <c r="I140" i="6"/>
  <c r="H140" i="6" s="1"/>
  <c r="J140" i="6"/>
  <c r="K140" i="6"/>
  <c r="L140" i="6"/>
  <c r="I141" i="6"/>
  <c r="H141" i="6" s="1"/>
  <c r="J141" i="6"/>
  <c r="K141" i="6"/>
  <c r="L141" i="6"/>
  <c r="I142" i="6"/>
  <c r="H142" i="6" s="1"/>
  <c r="J142" i="6"/>
  <c r="K142" i="6"/>
  <c r="L142" i="6"/>
  <c r="I144" i="6"/>
  <c r="H144" i="6" s="1"/>
  <c r="J144" i="6"/>
  <c r="K144" i="6"/>
  <c r="L144" i="6"/>
  <c r="M144" i="6"/>
  <c r="Q144" i="6"/>
  <c r="I145" i="6"/>
  <c r="H145" i="6" s="1"/>
  <c r="J145" i="6"/>
  <c r="K145" i="6"/>
  <c r="L145" i="6"/>
  <c r="I146" i="6"/>
  <c r="H146" i="6" s="1"/>
  <c r="J146" i="6"/>
  <c r="K146" i="6"/>
  <c r="L146" i="6"/>
  <c r="M146" i="6"/>
  <c r="P146" i="6"/>
  <c r="Q146" i="6"/>
  <c r="I147" i="6"/>
  <c r="H147" i="6" s="1"/>
  <c r="J147" i="6"/>
  <c r="K147" i="6"/>
  <c r="L147" i="6"/>
  <c r="M147" i="6"/>
  <c r="P147" i="6"/>
  <c r="Q147" i="6"/>
  <c r="H148" i="6"/>
  <c r="I149" i="6"/>
  <c r="H149" i="6" s="1"/>
  <c r="J149" i="6"/>
  <c r="K149" i="6"/>
  <c r="L149" i="6"/>
  <c r="I152" i="6"/>
  <c r="H152" i="6" s="1"/>
  <c r="J152" i="6"/>
  <c r="K152" i="6"/>
  <c r="L152" i="6"/>
  <c r="H153" i="6"/>
  <c r="I154" i="6"/>
  <c r="H154" i="6" s="1"/>
  <c r="J154" i="6"/>
  <c r="K154" i="6"/>
  <c r="L154" i="6"/>
  <c r="M154" i="6"/>
  <c r="P154" i="6"/>
  <c r="Q154" i="6"/>
  <c r="I155" i="6"/>
  <c r="H155" i="6" s="1"/>
  <c r="J155" i="6"/>
  <c r="K155" i="6"/>
  <c r="L155" i="6"/>
  <c r="M155" i="6"/>
  <c r="Q155" i="6"/>
  <c r="I156" i="6"/>
  <c r="H156" i="6" s="1"/>
  <c r="J156" i="6"/>
  <c r="K156" i="6"/>
  <c r="L156" i="6"/>
  <c r="M156" i="6"/>
  <c r="N156" i="6"/>
  <c r="O156" i="6"/>
  <c r="P156" i="6"/>
  <c r="Q156" i="6"/>
  <c r="V213" i="6" l="1"/>
  <c r="V212" i="6" s="1"/>
  <c r="V96" i="6"/>
  <c r="R213" i="6"/>
  <c r="R96" i="6"/>
  <c r="X96" i="6"/>
  <c r="W213" i="6"/>
  <c r="W212" i="6" s="1"/>
  <c r="W96" i="6"/>
  <c r="K96" i="6"/>
  <c r="K211" i="6" s="1"/>
  <c r="H96" i="6"/>
  <c r="H95" i="6" s="1"/>
  <c r="L95" i="6" s="1"/>
  <c r="H214" i="6"/>
  <c r="L96" i="6"/>
  <c r="L211" i="6" s="1"/>
  <c r="L214" i="6"/>
  <c r="J96" i="6"/>
  <c r="J211" i="6" s="1"/>
  <c r="J214" i="6"/>
  <c r="X213" i="6"/>
  <c r="X212" i="6" s="1"/>
  <c r="M96" i="6"/>
  <c r="M95" i="6" s="1"/>
  <c r="M214" i="6"/>
  <c r="I96" i="6"/>
  <c r="I211" i="6" s="1"/>
  <c r="I214" i="6"/>
  <c r="Q17" i="14"/>
  <c r="AA217" i="6" l="1"/>
  <c r="H211" i="6"/>
  <c r="L76" i="14"/>
  <c r="L75" i="14"/>
  <c r="M43" i="14" s="1"/>
  <c r="K75" i="14" l="1"/>
  <c r="M42" i="14" s="1"/>
  <c r="M27" i="14" l="1"/>
  <c r="K76" i="14" l="1"/>
  <c r="N42" i="14" s="1"/>
  <c r="V41" i="14"/>
  <c r="K77" i="14" l="1"/>
  <c r="O42" i="14" s="1"/>
  <c r="I78" i="14"/>
  <c r="I79" i="14" l="1"/>
  <c r="K78" i="14"/>
  <c r="P42" i="14" s="1"/>
  <c r="K79" i="14" l="1"/>
  <c r="Q42" i="14" s="1"/>
  <c r="I80" i="14"/>
  <c r="L49" i="14"/>
  <c r="O49" i="14" s="1"/>
  <c r="I49" i="14"/>
  <c r="H49" i="14"/>
  <c r="G49" i="14"/>
  <c r="E49" i="14"/>
  <c r="P49" i="14" l="1"/>
  <c r="P55" i="16"/>
  <c r="K80" i="14"/>
  <c r="R42" i="14" s="1"/>
  <c r="I81" i="14"/>
  <c r="K81" i="14" s="1"/>
  <c r="S42" i="14" s="1"/>
  <c r="Q49" i="14" l="1"/>
  <c r="R49" i="14" s="1"/>
  <c r="S49" i="14" s="1"/>
  <c r="F49" i="14" s="1"/>
  <c r="Q55" i="16"/>
  <c r="K30" i="16"/>
  <c r="L195" i="5" l="1"/>
  <c r="B77" i="15" l="1"/>
  <c r="K634" i="5" l="1"/>
  <c r="G638" i="5"/>
  <c r="F17" i="16" l="1"/>
  <c r="F18" i="16"/>
  <c r="F19" i="16"/>
  <c r="F20" i="16"/>
  <c r="F22" i="16"/>
  <c r="J37" i="16"/>
  <c r="F37" i="16" s="1"/>
  <c r="F38" i="16"/>
  <c r="F39" i="16"/>
  <c r="J41" i="16"/>
  <c r="J40" i="16" s="1"/>
  <c r="J45" i="16"/>
  <c r="J46" i="16"/>
  <c r="J47" i="16"/>
  <c r="F49" i="16"/>
  <c r="F50" i="16"/>
  <c r="F51" i="16"/>
  <c r="F52" i="16"/>
  <c r="F53" i="16"/>
  <c r="H57" i="15" l="1"/>
  <c r="I57" i="15"/>
  <c r="G57" i="15"/>
  <c r="B14" i="15" l="1"/>
  <c r="B24" i="15"/>
  <c r="D46" i="15"/>
  <c r="E46" i="15"/>
  <c r="F46" i="15"/>
  <c r="D47" i="15"/>
  <c r="D48" i="15"/>
  <c r="J48" i="15"/>
  <c r="J45" i="15" s="1"/>
  <c r="K48" i="15"/>
  <c r="K45" i="15" s="1"/>
  <c r="L48" i="15"/>
  <c r="L45" i="15" s="1"/>
  <c r="M48" i="15"/>
  <c r="M45" i="15" s="1"/>
  <c r="F49" i="15"/>
  <c r="H51" i="15"/>
  <c r="I51" i="15"/>
  <c r="J51" i="15"/>
  <c r="K51" i="15"/>
  <c r="L51" i="15"/>
  <c r="M51" i="15"/>
  <c r="E53" i="15"/>
  <c r="F53" i="15"/>
  <c r="G51" i="15"/>
  <c r="E49" i="15"/>
  <c r="D57" i="15"/>
  <c r="E57" i="15"/>
  <c r="F57" i="15"/>
  <c r="K57" i="15"/>
  <c r="L57" i="15"/>
  <c r="M57" i="15"/>
  <c r="N57" i="15"/>
  <c r="B18" i="15"/>
  <c r="B20" i="15"/>
  <c r="B21" i="15"/>
  <c r="D63" i="15"/>
  <c r="H63" i="15"/>
  <c r="I63" i="15"/>
  <c r="J63" i="15"/>
  <c r="K63" i="15"/>
  <c r="L63" i="15"/>
  <c r="M63" i="15"/>
  <c r="E65" i="15"/>
  <c r="B65" i="15" s="1"/>
  <c r="F65" i="15"/>
  <c r="G63" i="15"/>
  <c r="E66" i="15"/>
  <c r="F66" i="15"/>
  <c r="F48" i="15" s="1"/>
  <c r="B27" i="15"/>
  <c r="L70" i="15"/>
  <c r="M70" i="15"/>
  <c r="B71" i="15"/>
  <c r="B69" i="15" s="1"/>
  <c r="B72" i="15"/>
  <c r="B74" i="15"/>
  <c r="B75" i="15"/>
  <c r="B76" i="15"/>
  <c r="N76" i="15" s="1"/>
  <c r="B79" i="15"/>
  <c r="D86" i="15"/>
  <c r="E86" i="15"/>
  <c r="F86" i="15"/>
  <c r="G86" i="15"/>
  <c r="H86" i="15"/>
  <c r="I86" i="15"/>
  <c r="D90" i="15"/>
  <c r="E90" i="15"/>
  <c r="F90" i="15"/>
  <c r="G90" i="15"/>
  <c r="G122" i="15" s="1"/>
  <c r="H90" i="15"/>
  <c r="I90" i="15"/>
  <c r="C91" i="15"/>
  <c r="E91" i="15" s="1"/>
  <c r="E93" i="15"/>
  <c r="F93" i="15"/>
  <c r="F95" i="15" s="1"/>
  <c r="G93" i="15"/>
  <c r="G95" i="15" s="1"/>
  <c r="H93" i="15"/>
  <c r="H95" i="15" s="1"/>
  <c r="I93" i="15"/>
  <c r="I95" i="15" s="1"/>
  <c r="J96" i="15"/>
  <c r="E100" i="15"/>
  <c r="F100" i="15"/>
  <c r="G100" i="15"/>
  <c r="H100" i="15"/>
  <c r="I100" i="15"/>
  <c r="J105" i="15"/>
  <c r="J106" i="15"/>
  <c r="D107" i="15"/>
  <c r="E110" i="15"/>
  <c r="F110" i="15"/>
  <c r="F114" i="15" s="1"/>
  <c r="F123" i="15" s="1"/>
  <c r="G110" i="15"/>
  <c r="G114" i="15" s="1"/>
  <c r="H110" i="15"/>
  <c r="H114" i="15" s="1"/>
  <c r="I110" i="15"/>
  <c r="I114" i="15" s="1"/>
  <c r="J111" i="15"/>
  <c r="J112" i="15"/>
  <c r="F113" i="15" s="1"/>
  <c r="D114" i="15"/>
  <c r="D123" i="15" s="1"/>
  <c r="R114" i="15"/>
  <c r="E117" i="15" s="1"/>
  <c r="F125" i="15"/>
  <c r="D126" i="15"/>
  <c r="H122" i="15" l="1"/>
  <c r="B53" i="15"/>
  <c r="B46" i="15"/>
  <c r="E48" i="15"/>
  <c r="B48" i="15" s="1"/>
  <c r="B66" i="15"/>
  <c r="F118" i="15"/>
  <c r="F117" i="15"/>
  <c r="H113" i="15"/>
  <c r="G118" i="15"/>
  <c r="I113" i="15"/>
  <c r="E113" i="15"/>
  <c r="I118" i="15"/>
  <c r="E118" i="15"/>
  <c r="G113" i="15"/>
  <c r="H118" i="15"/>
  <c r="J100" i="15"/>
  <c r="H91" i="15"/>
  <c r="H92" i="15" s="1"/>
  <c r="H97" i="15" s="1"/>
  <c r="B25" i="15"/>
  <c r="I91" i="15"/>
  <c r="I92" i="15" s="1"/>
  <c r="I97" i="15" s="1"/>
  <c r="G91" i="15"/>
  <c r="G92" i="15" s="1"/>
  <c r="G97" i="15" s="1"/>
  <c r="F91" i="15"/>
  <c r="F92" i="15" s="1"/>
  <c r="F97" i="15" s="1"/>
  <c r="F47" i="15"/>
  <c r="F45" i="15" s="1"/>
  <c r="F51" i="15"/>
  <c r="B26" i="15"/>
  <c r="J93" i="15"/>
  <c r="N93" i="15" s="1"/>
  <c r="E94" i="15" s="1"/>
  <c r="J94" i="15" s="1"/>
  <c r="X86" i="15"/>
  <c r="F63" i="15"/>
  <c r="E47" i="15"/>
  <c r="D51" i="15"/>
  <c r="J110" i="15"/>
  <c r="J114" i="15" s="1"/>
  <c r="H115" i="15" s="1"/>
  <c r="N84" i="15"/>
  <c r="E63" i="15"/>
  <c r="D49" i="15"/>
  <c r="B49" i="15" s="1"/>
  <c r="B13" i="15"/>
  <c r="N85" i="15"/>
  <c r="I122" i="15"/>
  <c r="I123" i="15" s="1"/>
  <c r="H123" i="15"/>
  <c r="S111" i="15"/>
  <c r="H117" i="15"/>
  <c r="G123" i="15"/>
  <c r="G117" i="15"/>
  <c r="E114" i="15"/>
  <c r="S112" i="15"/>
  <c r="S110" i="15"/>
  <c r="E92" i="15"/>
  <c r="B12" i="15"/>
  <c r="I117" i="15"/>
  <c r="E51" i="15"/>
  <c r="B63" i="15" l="1"/>
  <c r="J118" i="15"/>
  <c r="J113" i="15"/>
  <c r="E45" i="15"/>
  <c r="B45" i="15" s="1"/>
  <c r="C43" i="15" s="1"/>
  <c r="B47" i="15"/>
  <c r="B51" i="15"/>
  <c r="E95" i="15"/>
  <c r="J95" i="15" s="1"/>
  <c r="B8" i="15"/>
  <c r="AD8" i="15" s="1"/>
  <c r="D115" i="15"/>
  <c r="J91" i="15"/>
  <c r="I115" i="15"/>
  <c r="G115" i="15"/>
  <c r="F115" i="15"/>
  <c r="J117" i="15"/>
  <c r="B23" i="15"/>
  <c r="J92" i="15"/>
  <c r="B6" i="15"/>
  <c r="N51" i="15"/>
  <c r="E123" i="15"/>
  <c r="J123" i="15" s="1"/>
  <c r="E115" i="15"/>
  <c r="B9" i="15"/>
  <c r="N11" i="15"/>
  <c r="B15" i="15"/>
  <c r="E97" i="15" l="1"/>
  <c r="J97" i="15" s="1"/>
  <c r="N95" i="15" s="1"/>
  <c r="I101" i="15" s="1"/>
  <c r="I104" i="15" s="1"/>
  <c r="I107" i="15" s="1"/>
  <c r="P8" i="15"/>
  <c r="O8" i="15"/>
  <c r="B11" i="15"/>
  <c r="J115" i="15"/>
  <c r="H101" i="15"/>
  <c r="E101" i="15"/>
  <c r="E104" i="15" s="1"/>
  <c r="P6" i="15"/>
  <c r="AD6" i="15"/>
  <c r="O6" i="15"/>
  <c r="G101" i="15" l="1"/>
  <c r="G104" i="15" s="1"/>
  <c r="G107" i="15" s="1"/>
  <c r="F101" i="15"/>
  <c r="J101" i="15" s="1"/>
  <c r="F102" i="15" s="1"/>
  <c r="E107" i="15"/>
  <c r="H104" i="15"/>
  <c r="H107" i="15" s="1"/>
  <c r="F104" i="15" l="1"/>
  <c r="F107" i="15" s="1"/>
  <c r="E102" i="15"/>
  <c r="H102" i="15"/>
  <c r="J104" i="15"/>
  <c r="N104" i="15" s="1"/>
  <c r="G102" i="15"/>
  <c r="I102" i="15"/>
  <c r="J102" i="15" l="1"/>
  <c r="J107" i="15"/>
  <c r="D108" i="15"/>
  <c r="G108" i="15"/>
  <c r="I108" i="15"/>
  <c r="H108" i="15"/>
  <c r="E108" i="15"/>
  <c r="F108" i="15"/>
  <c r="J108" i="15" l="1"/>
  <c r="T13" i="14" l="1"/>
  <c r="R17" i="14"/>
  <c r="S17" i="14"/>
  <c r="F18" i="14"/>
  <c r="L19" i="14"/>
  <c r="E74" i="14" s="1"/>
  <c r="Y19" i="14"/>
  <c r="F20" i="14"/>
  <c r="Y21" i="14"/>
  <c r="U20" i="14"/>
  <c r="V20" i="14"/>
  <c r="U21" i="14"/>
  <c r="F22" i="14"/>
  <c r="F24" i="14"/>
  <c r="Q25" i="14"/>
  <c r="G26" i="14"/>
  <c r="H26" i="14"/>
  <c r="K26" i="14"/>
  <c r="L26" i="14"/>
  <c r="L27" i="14"/>
  <c r="N27" i="14"/>
  <c r="E31" i="14"/>
  <c r="E39" i="14" s="1"/>
  <c r="G31" i="14"/>
  <c r="G39" i="14" s="1"/>
  <c r="I31" i="14"/>
  <c r="J31" i="14"/>
  <c r="K32" i="14"/>
  <c r="K62" i="14" s="1"/>
  <c r="H33" i="14"/>
  <c r="H31" i="14" s="1"/>
  <c r="J34" i="14"/>
  <c r="O34" i="14"/>
  <c r="P34" i="14"/>
  <c r="Q34" i="14"/>
  <c r="R34" i="14"/>
  <c r="S34" i="14"/>
  <c r="E35" i="14"/>
  <c r="G35" i="14"/>
  <c r="H35" i="14"/>
  <c r="H34" i="14" s="1"/>
  <c r="I35" i="14"/>
  <c r="I34" i="14" s="1"/>
  <c r="L35" i="14"/>
  <c r="N34" i="14"/>
  <c r="K40" i="16" s="1"/>
  <c r="E36" i="14"/>
  <c r="G36" i="14"/>
  <c r="K36" i="14"/>
  <c r="L36" i="14"/>
  <c r="L33" i="14" s="1"/>
  <c r="E40" i="14"/>
  <c r="G40" i="14"/>
  <c r="H40" i="14"/>
  <c r="J40" i="14"/>
  <c r="J39" i="14" s="1"/>
  <c r="U40" i="14"/>
  <c r="E41" i="14"/>
  <c r="G41" i="14"/>
  <c r="H41" i="14"/>
  <c r="U41" i="14"/>
  <c r="L44" i="14"/>
  <c r="L82" i="14" s="1"/>
  <c r="J45" i="14"/>
  <c r="K45" i="14"/>
  <c r="L45" i="14"/>
  <c r="F46" i="14"/>
  <c r="U46" i="14"/>
  <c r="V46" i="14"/>
  <c r="W46" i="14"/>
  <c r="F47" i="14"/>
  <c r="V47" i="14"/>
  <c r="E48" i="14"/>
  <c r="G48" i="14"/>
  <c r="H48" i="14"/>
  <c r="I48" i="14"/>
  <c r="L48" i="14"/>
  <c r="H57" i="14"/>
  <c r="J57" i="14"/>
  <c r="K57" i="14"/>
  <c r="E62" i="14"/>
  <c r="G62" i="14"/>
  <c r="H62" i="14"/>
  <c r="I62" i="14"/>
  <c r="J62" i="14"/>
  <c r="E64" i="14"/>
  <c r="F64" i="14"/>
  <c r="G64" i="14"/>
  <c r="H64" i="14"/>
  <c r="I64" i="14"/>
  <c r="J64" i="14"/>
  <c r="K64" i="14"/>
  <c r="L64" i="14"/>
  <c r="M64" i="14"/>
  <c r="N64" i="14"/>
  <c r="O64" i="14"/>
  <c r="P64" i="14"/>
  <c r="E66" i="14"/>
  <c r="F66" i="14"/>
  <c r="G66" i="14"/>
  <c r="H66" i="14"/>
  <c r="I66" i="14"/>
  <c r="J66" i="14"/>
  <c r="K66" i="14"/>
  <c r="L66" i="14"/>
  <c r="M66" i="14"/>
  <c r="N66" i="14"/>
  <c r="O66" i="14"/>
  <c r="P66" i="14"/>
  <c r="E68" i="14"/>
  <c r="H68" i="14" s="1"/>
  <c r="E15" i="14" s="1"/>
  <c r="E69" i="14"/>
  <c r="G69" i="14" s="1"/>
  <c r="G14" i="14" s="1"/>
  <c r="E70" i="14"/>
  <c r="H70" i="14" s="1"/>
  <c r="H15" i="14" s="1"/>
  <c r="G71" i="14"/>
  <c r="H71" i="14"/>
  <c r="G72" i="14"/>
  <c r="H72" i="14"/>
  <c r="K72" i="14"/>
  <c r="G73" i="14"/>
  <c r="H73" i="14"/>
  <c r="J73" i="14"/>
  <c r="J74" i="14" s="1"/>
  <c r="K74" i="14" s="1"/>
  <c r="L42" i="14" s="1"/>
  <c r="L73" i="14"/>
  <c r="L74" i="14"/>
  <c r="E82" i="14"/>
  <c r="G82" i="14"/>
  <c r="H82" i="14"/>
  <c r="I82" i="14"/>
  <c r="J82" i="14"/>
  <c r="K82" i="14"/>
  <c r="D293" i="6"/>
  <c r="E293" i="6"/>
  <c r="F293" i="6"/>
  <c r="G293" i="6"/>
  <c r="C293" i="6"/>
  <c r="V21" i="14" l="1"/>
  <c r="T17" i="14"/>
  <c r="U17" i="14"/>
  <c r="W17" i="14" s="1"/>
  <c r="H69" i="14"/>
  <c r="G15" i="14" s="1"/>
  <c r="K31" i="14"/>
  <c r="K39" i="14" s="1"/>
  <c r="V36" i="14"/>
  <c r="L34" i="14"/>
  <c r="K73" i="14"/>
  <c r="N48" i="14"/>
  <c r="K54" i="16"/>
  <c r="O27" i="14"/>
  <c r="P30" i="16"/>
  <c r="G68" i="14"/>
  <c r="E14" i="14" s="1"/>
  <c r="O43" i="14"/>
  <c r="E34" i="14"/>
  <c r="G70" i="14"/>
  <c r="H14" i="14" s="1"/>
  <c r="T48" i="14"/>
  <c r="M82" i="14"/>
  <c r="L41" i="14"/>
  <c r="I57" i="14"/>
  <c r="F36" i="14"/>
  <c r="W18" i="14"/>
  <c r="X18" i="14" s="1"/>
  <c r="X21" i="14"/>
  <c r="X22" i="14" s="1"/>
  <c r="F19" i="14"/>
  <c r="Y13" i="14"/>
  <c r="U45" i="14"/>
  <c r="V19" i="14"/>
  <c r="F45" i="14"/>
  <c r="V45" i="14"/>
  <c r="M34" i="14"/>
  <c r="G34" i="14"/>
  <c r="F35" i="14"/>
  <c r="N32" i="14"/>
  <c r="U35" i="14"/>
  <c r="L32" i="14"/>
  <c r="U36" i="14"/>
  <c r="K34" i="14"/>
  <c r="V35" i="14"/>
  <c r="F17" i="14"/>
  <c r="V17" i="14" s="1"/>
  <c r="O48" i="14" l="1"/>
  <c r="P54" i="16"/>
  <c r="O44" i="14"/>
  <c r="P27" i="14"/>
  <c r="Q27" i="14" s="1"/>
  <c r="R27" i="14" s="1"/>
  <c r="S27" i="14" s="1"/>
  <c r="F27" i="14" s="1"/>
  <c r="Q30" i="16"/>
  <c r="P43" i="14"/>
  <c r="W13" i="14"/>
  <c r="AC19" i="14"/>
  <c r="F34" i="14"/>
  <c r="U18" i="14"/>
  <c r="L31" i="14"/>
  <c r="L40" i="14"/>
  <c r="L62" i="14"/>
  <c r="U34" i="14"/>
  <c r="V34" i="14"/>
  <c r="O16" i="14"/>
  <c r="N82" i="14"/>
  <c r="G74" i="14"/>
  <c r="L14" i="14" s="1"/>
  <c r="H74" i="14"/>
  <c r="L15" i="14" s="1"/>
  <c r="M41" i="14"/>
  <c r="N33" i="14"/>
  <c r="K39" i="16" s="1"/>
  <c r="X19" i="14"/>
  <c r="X20" i="14"/>
  <c r="P44" i="14" l="1"/>
  <c r="Q50" i="16" s="1"/>
  <c r="P50" i="16"/>
  <c r="O32" i="14"/>
  <c r="P19" i="16"/>
  <c r="L39" i="14"/>
  <c r="U31" i="14"/>
  <c r="Q54" i="16"/>
  <c r="P48" i="14"/>
  <c r="Q48" i="14" s="1"/>
  <c r="R48" i="14" s="1"/>
  <c r="S48" i="14" s="1"/>
  <c r="F48" i="14" s="1"/>
  <c r="U42" i="14"/>
  <c r="Q43" i="14"/>
  <c r="R43" i="14" s="1"/>
  <c r="S43" i="14" s="1"/>
  <c r="U43" i="14"/>
  <c r="G75" i="14"/>
  <c r="H75" i="14"/>
  <c r="P16" i="14"/>
  <c r="O82" i="14"/>
  <c r="O33" i="14"/>
  <c r="P39" i="16" s="1"/>
  <c r="P40" i="14" l="1"/>
  <c r="P26" i="14" s="1"/>
  <c r="Q19" i="16"/>
  <c r="M15" i="14"/>
  <c r="M14" i="14"/>
  <c r="Q44" i="14"/>
  <c r="R44" i="14" s="1"/>
  <c r="S44" i="14" s="1"/>
  <c r="F42" i="14"/>
  <c r="V42" i="14"/>
  <c r="V43" i="14"/>
  <c r="F43" i="14"/>
  <c r="U50" i="14"/>
  <c r="Z13" i="14" s="1"/>
  <c r="Q16" i="14"/>
  <c r="P82" i="14"/>
  <c r="G76" i="14"/>
  <c r="P33" i="14"/>
  <c r="Q39" i="16" s="1"/>
  <c r="O41" i="14"/>
  <c r="F44" i="14" l="1"/>
  <c r="R16" i="14"/>
  <c r="S16" i="14" s="1"/>
  <c r="Q40" i="14"/>
  <c r="Q26" i="14" s="1"/>
  <c r="P41" i="14"/>
  <c r="U33" i="14"/>
  <c r="Q33" i="14"/>
  <c r="G77" i="14"/>
  <c r="O14" i="14" s="1"/>
  <c r="P17" i="16" s="1"/>
  <c r="H77" i="14"/>
  <c r="O15" i="14" s="1"/>
  <c r="P18" i="16" s="1"/>
  <c r="U16" i="14" l="1"/>
  <c r="R40" i="14"/>
  <c r="R26" i="14" s="1"/>
  <c r="P62" i="14"/>
  <c r="P31" i="14"/>
  <c r="P39" i="14" s="1"/>
  <c r="G78" i="14"/>
  <c r="P14" i="14" s="1"/>
  <c r="H78" i="14"/>
  <c r="Q41" i="14"/>
  <c r="R33" i="14"/>
  <c r="U14" i="14" l="1"/>
  <c r="Q17" i="16"/>
  <c r="P15" i="14"/>
  <c r="X13" i="14"/>
  <c r="V50" i="14"/>
  <c r="F16" i="14"/>
  <c r="F82" i="14" s="1"/>
  <c r="S33" i="14"/>
  <c r="R41" i="14"/>
  <c r="Q31" i="14"/>
  <c r="Q39" i="14" s="1"/>
  <c r="G79" i="14"/>
  <c r="Q14" i="14" s="1"/>
  <c r="H79" i="14"/>
  <c r="Q15" i="14" s="1"/>
  <c r="U15" i="14" l="1"/>
  <c r="Q18" i="16"/>
  <c r="H80" i="14"/>
  <c r="R15" i="14" s="1"/>
  <c r="G80" i="14"/>
  <c r="R14" i="14" s="1"/>
  <c r="R31" i="14"/>
  <c r="R39" i="14" s="1"/>
  <c r="F33" i="14"/>
  <c r="F41" i="14" s="1"/>
  <c r="S41" i="14"/>
  <c r="V33" i="14"/>
  <c r="V40" i="14" l="1"/>
  <c r="U32" i="14"/>
  <c r="G81" i="14"/>
  <c r="S14" i="14" s="1"/>
  <c r="H81" i="14"/>
  <c r="S15" i="14" s="1"/>
  <c r="S31" i="14"/>
  <c r="F32" i="14"/>
  <c r="V32" i="14"/>
  <c r="S26" i="14" l="1"/>
  <c r="F26" i="14" s="1"/>
  <c r="F15" i="14"/>
  <c r="V15" i="14"/>
  <c r="F14" i="14"/>
  <c r="V14" i="14"/>
  <c r="F31" i="14"/>
  <c r="F39" i="14" s="1"/>
  <c r="V31" i="14"/>
  <c r="S39" i="14"/>
  <c r="F40" i="14"/>
  <c r="F62" i="14"/>
  <c r="T637" i="6" l="1"/>
  <c r="S639" i="6"/>
  <c r="T639" i="6"/>
  <c r="U639" i="6"/>
  <c r="V639" i="6"/>
  <c r="W639" i="6"/>
  <c r="X639" i="6"/>
  <c r="R639" i="6"/>
  <c r="S219" i="6" l="1"/>
  <c r="T219" i="6"/>
  <c r="U219" i="6"/>
  <c r="V219" i="6"/>
  <c r="W219" i="6"/>
  <c r="X219" i="6"/>
  <c r="S220" i="6"/>
  <c r="T220" i="6"/>
  <c r="H1163" i="5" l="1"/>
  <c r="S637" i="6" s="1"/>
  <c r="I1163" i="5"/>
  <c r="J1163" i="5"/>
  <c r="V69" i="6"/>
  <c r="L1163" i="5"/>
  <c r="W69" i="6" s="1"/>
  <c r="M1163" i="5"/>
  <c r="X69" i="6" s="1"/>
  <c r="G1163" i="5"/>
  <c r="R69" i="6" s="1"/>
  <c r="H1164" i="5"/>
  <c r="S643" i="6" s="1"/>
  <c r="I1164" i="5"/>
  <c r="T643" i="6" s="1"/>
  <c r="J1164" i="5"/>
  <c r="U643" i="6" s="1"/>
  <c r="K1164" i="5"/>
  <c r="V70" i="6" s="1"/>
  <c r="L1164" i="5"/>
  <c r="W70" i="6" s="1"/>
  <c r="M1164" i="5"/>
  <c r="X70" i="6" s="1"/>
  <c r="G1164" i="5"/>
  <c r="R70" i="6" s="1"/>
  <c r="H1165" i="5"/>
  <c r="I1165" i="5"/>
  <c r="I1190" i="5" s="1"/>
  <c r="T19" i="6" s="1"/>
  <c r="J1165" i="5"/>
  <c r="J1190" i="5" s="1"/>
  <c r="U19" i="6" s="1"/>
  <c r="K1165" i="5"/>
  <c r="G1165" i="5" s="1"/>
  <c r="L1165" i="5"/>
  <c r="M1165" i="5"/>
  <c r="H1183" i="5"/>
  <c r="I1183" i="5"/>
  <c r="J1183" i="5"/>
  <c r="K1183" i="5"/>
  <c r="G1183" i="5" s="1"/>
  <c r="L1183" i="5"/>
  <c r="M1183" i="5"/>
  <c r="H1179" i="5"/>
  <c r="I1179" i="5"/>
  <c r="J1179" i="5"/>
  <c r="G1179" i="5"/>
  <c r="H1175" i="5"/>
  <c r="I1175" i="5"/>
  <c r="J1175" i="5"/>
  <c r="K1175" i="5"/>
  <c r="G1175" i="5" s="1"/>
  <c r="H1167" i="5"/>
  <c r="I1167" i="5"/>
  <c r="J1167" i="5"/>
  <c r="K1167" i="5"/>
  <c r="G1167" i="5" s="1"/>
  <c r="L1167" i="5"/>
  <c r="M1167" i="5"/>
  <c r="R342" i="6"/>
  <c r="R303" i="6" s="1"/>
  <c r="R295" i="6" s="1"/>
  <c r="R302" i="6" l="1"/>
  <c r="R301" i="6" s="1"/>
  <c r="I1161" i="5"/>
  <c r="R71" i="6"/>
  <c r="R68" i="6" s="1"/>
  <c r="R67" i="6" s="1"/>
  <c r="G1190" i="5"/>
  <c r="R19" i="6" s="1"/>
  <c r="V71" i="6"/>
  <c r="V68" i="6" s="1"/>
  <c r="K1190" i="5"/>
  <c r="V19" i="6" s="1"/>
  <c r="M1161" i="5"/>
  <c r="M1160" i="5" s="1"/>
  <c r="X71" i="6"/>
  <c r="X68" i="6" s="1"/>
  <c r="X67" i="6" s="1"/>
  <c r="M1190" i="5"/>
  <c r="X19" i="6" s="1"/>
  <c r="L1161" i="5"/>
  <c r="L1160" i="5" s="1"/>
  <c r="W71" i="6"/>
  <c r="W68" i="6" s="1"/>
  <c r="W67" i="6" s="1"/>
  <c r="L1190" i="5"/>
  <c r="W19" i="6" s="1"/>
  <c r="H1161" i="5"/>
  <c r="H1190" i="5"/>
  <c r="S19" i="6" s="1"/>
  <c r="J1161" i="5"/>
  <c r="U637" i="6"/>
  <c r="G1161" i="5"/>
  <c r="G1160" i="5" s="1"/>
  <c r="K1161" i="5"/>
  <c r="K1160" i="5" s="1"/>
  <c r="L812" i="5"/>
  <c r="L808" i="5" s="1"/>
  <c r="M812" i="5"/>
  <c r="H808" i="5"/>
  <c r="I808" i="5"/>
  <c r="J808" i="5"/>
  <c r="G813" i="5"/>
  <c r="G809" i="5" s="1"/>
  <c r="G814" i="5"/>
  <c r="G810" i="5" s="1"/>
  <c r="K812" i="5"/>
  <c r="K808" i="5" s="1"/>
  <c r="H1146" i="5"/>
  <c r="I1146" i="5"/>
  <c r="J1146" i="5"/>
  <c r="K1146" i="5"/>
  <c r="L1146" i="5"/>
  <c r="M1146" i="5"/>
  <c r="H1145" i="5"/>
  <c r="I1145" i="5"/>
  <c r="J1145" i="5"/>
  <c r="K1145" i="5"/>
  <c r="L1145" i="5"/>
  <c r="M1145" i="5"/>
  <c r="H1143" i="5"/>
  <c r="I1143" i="5"/>
  <c r="J1143" i="5"/>
  <c r="K1143" i="5"/>
  <c r="L1143" i="5"/>
  <c r="M1143" i="5"/>
  <c r="L1150" i="5"/>
  <c r="M1150" i="5"/>
  <c r="G1151" i="5"/>
  <c r="G1145" i="5" s="1"/>
  <c r="G1152" i="5"/>
  <c r="G1146" i="5" s="1"/>
  <c r="G1149" i="5"/>
  <c r="G1143" i="5" s="1"/>
  <c r="K1150" i="5"/>
  <c r="G1150" i="5" s="1"/>
  <c r="H1130" i="5"/>
  <c r="I1130" i="5"/>
  <c r="J1130" i="5"/>
  <c r="K1130" i="5"/>
  <c r="L1130" i="5"/>
  <c r="M1130" i="5"/>
  <c r="G1130" i="5"/>
  <c r="H1129" i="5"/>
  <c r="I1129" i="5"/>
  <c r="J1129" i="5"/>
  <c r="K1129" i="5"/>
  <c r="L1129" i="5"/>
  <c r="M1129" i="5"/>
  <c r="G1129" i="5"/>
  <c r="H1120" i="5"/>
  <c r="I1120" i="5"/>
  <c r="J1120" i="5"/>
  <c r="K1120" i="5"/>
  <c r="L1120" i="5"/>
  <c r="M1120" i="5"/>
  <c r="H1119" i="5"/>
  <c r="I1119" i="5"/>
  <c r="J1119" i="5"/>
  <c r="K1119" i="5"/>
  <c r="L1119" i="5"/>
  <c r="M1119" i="5"/>
  <c r="H1117" i="5"/>
  <c r="I1117" i="5"/>
  <c r="J1117" i="5"/>
  <c r="K1117" i="5"/>
  <c r="L1117" i="5"/>
  <c r="M1117" i="5"/>
  <c r="L1126" i="5"/>
  <c r="M1126" i="5"/>
  <c r="G1127" i="5"/>
  <c r="G1128" i="5"/>
  <c r="G1125" i="5"/>
  <c r="K1126" i="5"/>
  <c r="G1126" i="5" s="1"/>
  <c r="L1122" i="5"/>
  <c r="M1122" i="5"/>
  <c r="G1123" i="5"/>
  <c r="G1124" i="5"/>
  <c r="G1121" i="5"/>
  <c r="K1122" i="5"/>
  <c r="G1122" i="5" s="1"/>
  <c r="L1114" i="5"/>
  <c r="M1114" i="5"/>
  <c r="H1112" i="5"/>
  <c r="I1112" i="5"/>
  <c r="J1112" i="5"/>
  <c r="K1112" i="5"/>
  <c r="L1112" i="5"/>
  <c r="M1112" i="5"/>
  <c r="H1111" i="5"/>
  <c r="I1111" i="5"/>
  <c r="J1111" i="5"/>
  <c r="K1111" i="5"/>
  <c r="L1111" i="5"/>
  <c r="M1111" i="5"/>
  <c r="H1109" i="5"/>
  <c r="I1109" i="5"/>
  <c r="J1109" i="5"/>
  <c r="K1109" i="5"/>
  <c r="L1109" i="5"/>
  <c r="M1109" i="5"/>
  <c r="G1115" i="5"/>
  <c r="G1111" i="5" s="1"/>
  <c r="G1116" i="5"/>
  <c r="G1112" i="5" s="1"/>
  <c r="G1113" i="5"/>
  <c r="G1109" i="5" s="1"/>
  <c r="K1114" i="5"/>
  <c r="G1114" i="5" s="1"/>
  <c r="G1117" i="5" l="1"/>
  <c r="G812" i="5"/>
  <c r="J1118" i="5"/>
  <c r="J1110" i="5"/>
  <c r="H1144" i="5"/>
  <c r="M1144" i="5"/>
  <c r="I1144" i="5"/>
  <c r="G1119" i="5"/>
  <c r="G1144" i="5"/>
  <c r="G1110" i="5"/>
  <c r="L1144" i="5"/>
  <c r="G1120" i="5"/>
  <c r="M808" i="5"/>
  <c r="K1144" i="5"/>
  <c r="J1144" i="5"/>
  <c r="K1110" i="5"/>
  <c r="I1110" i="5"/>
  <c r="L1118" i="5"/>
  <c r="H1118" i="5"/>
  <c r="K1118" i="5"/>
  <c r="M1118" i="5"/>
  <c r="I1118" i="5"/>
  <c r="M1110" i="5"/>
  <c r="L1110" i="5"/>
  <c r="H1110" i="5"/>
  <c r="H1104" i="5"/>
  <c r="I1104" i="5"/>
  <c r="J1104" i="5"/>
  <c r="K1104" i="5"/>
  <c r="L1104" i="5"/>
  <c r="M1104" i="5"/>
  <c r="H1103" i="5"/>
  <c r="I1103" i="5"/>
  <c r="J1103" i="5"/>
  <c r="K1103" i="5"/>
  <c r="L1103" i="5"/>
  <c r="M1103" i="5"/>
  <c r="G1103" i="5"/>
  <c r="H1090" i="5"/>
  <c r="I1090" i="5"/>
  <c r="J1090" i="5"/>
  <c r="K1090" i="5"/>
  <c r="L1090" i="5"/>
  <c r="M1090" i="5"/>
  <c r="H1089" i="5"/>
  <c r="I1089" i="5"/>
  <c r="J1089" i="5"/>
  <c r="K1089" i="5"/>
  <c r="L1089" i="5"/>
  <c r="M1089" i="5"/>
  <c r="H1087" i="5"/>
  <c r="I1087" i="5"/>
  <c r="J1087" i="5"/>
  <c r="K1087" i="5"/>
  <c r="L1087" i="5"/>
  <c r="M1087" i="5"/>
  <c r="L1096" i="5"/>
  <c r="M1096" i="5"/>
  <c r="G1097" i="5"/>
  <c r="G1098" i="5"/>
  <c r="G1095" i="5"/>
  <c r="K1096" i="5"/>
  <c r="G1096" i="5" s="1"/>
  <c r="L1092" i="5"/>
  <c r="M1092" i="5"/>
  <c r="G1093" i="5"/>
  <c r="G1094" i="5"/>
  <c r="G1091" i="5"/>
  <c r="K1092" i="5"/>
  <c r="G1092" i="5" s="1"/>
  <c r="G1118" i="5" l="1"/>
  <c r="G1090" i="5"/>
  <c r="H1078" i="5"/>
  <c r="I1078" i="5"/>
  <c r="J1078" i="5"/>
  <c r="K1078" i="5"/>
  <c r="L1078" i="5"/>
  <c r="M1078" i="5"/>
  <c r="H1077" i="5"/>
  <c r="I1077" i="5"/>
  <c r="J1077" i="5"/>
  <c r="K1077" i="5"/>
  <c r="L1077" i="5"/>
  <c r="M1077" i="5"/>
  <c r="H1075" i="5"/>
  <c r="I1075" i="5"/>
  <c r="J1075" i="5"/>
  <c r="K1075" i="5"/>
  <c r="L1075" i="5"/>
  <c r="M1075" i="5"/>
  <c r="G1083" i="5"/>
  <c r="G1077" i="5" s="1"/>
  <c r="G1084" i="5"/>
  <c r="G1078" i="5" s="1"/>
  <c r="G1081" i="5"/>
  <c r="G1075" i="5" s="1"/>
  <c r="G1082" i="5"/>
  <c r="H1060" i="5"/>
  <c r="I1060" i="5"/>
  <c r="J1060" i="5"/>
  <c r="K1060" i="5"/>
  <c r="L1060" i="5"/>
  <c r="M1060" i="5"/>
  <c r="H1059" i="5"/>
  <c r="I1059" i="5"/>
  <c r="J1059" i="5"/>
  <c r="K1059" i="5"/>
  <c r="L1059" i="5"/>
  <c r="M1059" i="5"/>
  <c r="H1057" i="5"/>
  <c r="I1057" i="5"/>
  <c r="J1057" i="5"/>
  <c r="K1057" i="5"/>
  <c r="L1057" i="5"/>
  <c r="M1057" i="5"/>
  <c r="L1064" i="5"/>
  <c r="M1064" i="5"/>
  <c r="G1065" i="5"/>
  <c r="G1066" i="5"/>
  <c r="G1060" i="5" s="1"/>
  <c r="G1063" i="5"/>
  <c r="K1064" i="5"/>
  <c r="G1064" i="5" s="1"/>
  <c r="H1046" i="5"/>
  <c r="I1046" i="5"/>
  <c r="J1046" i="5"/>
  <c r="K1046" i="5"/>
  <c r="L1046" i="5"/>
  <c r="M1046" i="5"/>
  <c r="H1045" i="5"/>
  <c r="I1045" i="5"/>
  <c r="J1045" i="5"/>
  <c r="K1045" i="5"/>
  <c r="L1045" i="5"/>
  <c r="M1045" i="5"/>
  <c r="H1043" i="5"/>
  <c r="I1043" i="5"/>
  <c r="J1043" i="5"/>
  <c r="K1043" i="5"/>
  <c r="L1043" i="5"/>
  <c r="M1043" i="5"/>
  <c r="G1055" i="5"/>
  <c r="G1056" i="5"/>
  <c r="G1053" i="5"/>
  <c r="K1054" i="5"/>
  <c r="G1054" i="5" s="1"/>
  <c r="M1054" i="5"/>
  <c r="L1048" i="5"/>
  <c r="M1048" i="5"/>
  <c r="G1049" i="5"/>
  <c r="G1050" i="5"/>
  <c r="G1047" i="5"/>
  <c r="K1048" i="5"/>
  <c r="G1048" i="5" s="1"/>
  <c r="M1016" i="5"/>
  <c r="G1025" i="5"/>
  <c r="G1023" i="5"/>
  <c r="H987" i="5"/>
  <c r="I987" i="5"/>
  <c r="J987" i="5"/>
  <c r="K987" i="5"/>
  <c r="L987" i="5"/>
  <c r="M987" i="5"/>
  <c r="H985" i="5"/>
  <c r="I985" i="5"/>
  <c r="J985" i="5"/>
  <c r="K985" i="5"/>
  <c r="K772" i="5" s="1"/>
  <c r="L985" i="5"/>
  <c r="M985" i="5"/>
  <c r="H988" i="5"/>
  <c r="I988" i="5"/>
  <c r="J988" i="5"/>
  <c r="J986" i="5" s="1"/>
  <c r="K988" i="5"/>
  <c r="L988" i="5"/>
  <c r="M988" i="5"/>
  <c r="L992" i="5"/>
  <c r="M992" i="5"/>
  <c r="G997" i="5"/>
  <c r="G998" i="5"/>
  <c r="G995" i="5"/>
  <c r="K996" i="5"/>
  <c r="G996" i="5" s="1"/>
  <c r="G993" i="5"/>
  <c r="G987" i="5" s="1"/>
  <c r="G994" i="5"/>
  <c r="G991" i="5"/>
  <c r="K992" i="5"/>
  <c r="G992" i="5" s="1"/>
  <c r="H974" i="5"/>
  <c r="I974" i="5"/>
  <c r="J974" i="5"/>
  <c r="K974" i="5"/>
  <c r="L974" i="5"/>
  <c r="M974" i="5"/>
  <c r="H973" i="5"/>
  <c r="I973" i="5"/>
  <c r="J973" i="5"/>
  <c r="K973" i="5"/>
  <c r="M973" i="5"/>
  <c r="H971" i="5"/>
  <c r="I971" i="5"/>
  <c r="J971" i="5"/>
  <c r="K971" i="5"/>
  <c r="M971" i="5"/>
  <c r="L978" i="5"/>
  <c r="G985" i="5" l="1"/>
  <c r="J1058" i="5"/>
  <c r="M1044" i="5"/>
  <c r="J1076" i="5"/>
  <c r="I1076" i="5"/>
  <c r="L1044" i="5"/>
  <c r="J1044" i="5"/>
  <c r="G1043" i="5"/>
  <c r="I1044" i="5"/>
  <c r="J972" i="5"/>
  <c r="H1044" i="5"/>
  <c r="M1076" i="5"/>
  <c r="L1076" i="5"/>
  <c r="H1076" i="5"/>
  <c r="G1046" i="5"/>
  <c r="G1045" i="5"/>
  <c r="G1076" i="5"/>
  <c r="K1076" i="5"/>
  <c r="M1058" i="5"/>
  <c r="I1058" i="5"/>
  <c r="L1058" i="5"/>
  <c r="H1058" i="5"/>
  <c r="K1058" i="5"/>
  <c r="K1044" i="5"/>
  <c r="G988" i="5"/>
  <c r="I972" i="5"/>
  <c r="M972" i="5"/>
  <c r="H986" i="5"/>
  <c r="H972" i="5"/>
  <c r="K972" i="5"/>
  <c r="M986" i="5"/>
  <c r="I986" i="5"/>
  <c r="L986" i="5"/>
  <c r="K986" i="5"/>
  <c r="L972" i="5"/>
  <c r="M964" i="5"/>
  <c r="M963" i="5"/>
  <c r="G986" i="5" l="1"/>
  <c r="G1044" i="5"/>
  <c r="G975" i="5"/>
  <c r="G976" i="5"/>
  <c r="G977" i="5"/>
  <c r="G979" i="5"/>
  <c r="G980" i="5"/>
  <c r="G974" i="5" s="1"/>
  <c r="G983" i="5"/>
  <c r="G984" i="5"/>
  <c r="G978" i="5"/>
  <c r="H939" i="5"/>
  <c r="I939" i="5"/>
  <c r="J939" i="5"/>
  <c r="K939" i="5"/>
  <c r="L939" i="5"/>
  <c r="M939" i="5"/>
  <c r="H938" i="5"/>
  <c r="I938" i="5"/>
  <c r="J938" i="5"/>
  <c r="K938" i="5"/>
  <c r="L938" i="5"/>
  <c r="M938" i="5"/>
  <c r="G953" i="5"/>
  <c r="G952" i="5"/>
  <c r="G948" i="5"/>
  <c r="H926" i="5"/>
  <c r="I926" i="5"/>
  <c r="J926" i="5"/>
  <c r="K926" i="5"/>
  <c r="L926" i="5"/>
  <c r="M926" i="5"/>
  <c r="L933" i="5"/>
  <c r="M933" i="5"/>
  <c r="G934" i="5"/>
  <c r="G935" i="5"/>
  <c r="G932" i="5"/>
  <c r="K933" i="5"/>
  <c r="G933" i="5" s="1"/>
  <c r="L929" i="5"/>
  <c r="M929" i="5"/>
  <c r="H927" i="5"/>
  <c r="I927" i="5"/>
  <c r="J927" i="5"/>
  <c r="K927" i="5"/>
  <c r="L927" i="5"/>
  <c r="M927" i="5"/>
  <c r="G930" i="5"/>
  <c r="G927" i="5"/>
  <c r="G928" i="5"/>
  <c r="K929" i="5"/>
  <c r="G929" i="5" s="1"/>
  <c r="H924" i="5"/>
  <c r="I924" i="5"/>
  <c r="J924" i="5"/>
  <c r="K924" i="5"/>
  <c r="L924" i="5"/>
  <c r="G922" i="5"/>
  <c r="G923" i="5"/>
  <c r="G913" i="5" s="1"/>
  <c r="G920" i="5"/>
  <c r="K921" i="5"/>
  <c r="G921" i="5" s="1"/>
  <c r="H913" i="5"/>
  <c r="I913" i="5"/>
  <c r="J913" i="5"/>
  <c r="K913" i="5"/>
  <c r="L913" i="5"/>
  <c r="M913" i="5"/>
  <c r="H912" i="5"/>
  <c r="I912" i="5"/>
  <c r="J912" i="5"/>
  <c r="K912" i="5"/>
  <c r="M912" i="5"/>
  <c r="H910" i="5"/>
  <c r="I910" i="5"/>
  <c r="J910" i="5"/>
  <c r="K910" i="5"/>
  <c r="M910" i="5"/>
  <c r="L902" i="5"/>
  <c r="H896" i="5"/>
  <c r="I896" i="5"/>
  <c r="J896" i="5"/>
  <c r="K896" i="5"/>
  <c r="L896" i="5"/>
  <c r="M896" i="5"/>
  <c r="H895" i="5"/>
  <c r="I895" i="5"/>
  <c r="J895" i="5"/>
  <c r="K895" i="5"/>
  <c r="L895" i="5"/>
  <c r="M895" i="5"/>
  <c r="H893" i="5"/>
  <c r="I893" i="5"/>
  <c r="J893" i="5"/>
  <c r="K893" i="5"/>
  <c r="L893" i="5"/>
  <c r="M893" i="5"/>
  <c r="M890" i="5"/>
  <c r="L886" i="5"/>
  <c r="M886" i="5"/>
  <c r="K886" i="5"/>
  <c r="G886" i="5" s="1"/>
  <c r="G887" i="5"/>
  <c r="G888" i="5"/>
  <c r="G885" i="5"/>
  <c r="G938" i="5" l="1"/>
  <c r="G926" i="5"/>
  <c r="G939" i="5"/>
  <c r="M911" i="5"/>
  <c r="G973" i="5"/>
  <c r="G972" i="5" s="1"/>
  <c r="G971" i="5"/>
  <c r="I911" i="5"/>
  <c r="K925" i="5"/>
  <c r="J925" i="5"/>
  <c r="J894" i="5"/>
  <c r="L911" i="5"/>
  <c r="H911" i="5"/>
  <c r="I925" i="5"/>
  <c r="M925" i="5"/>
  <c r="L925" i="5"/>
  <c r="H925" i="5"/>
  <c r="G924" i="5"/>
  <c r="K911" i="5"/>
  <c r="J911" i="5"/>
  <c r="K894" i="5"/>
  <c r="M894" i="5"/>
  <c r="I894" i="5"/>
  <c r="L894" i="5"/>
  <c r="H894" i="5"/>
  <c r="G925" i="5" l="1"/>
  <c r="H882" i="5"/>
  <c r="I882" i="5"/>
  <c r="J882" i="5"/>
  <c r="K882" i="5"/>
  <c r="L882" i="5"/>
  <c r="M882" i="5"/>
  <c r="H880" i="5"/>
  <c r="I880" i="5"/>
  <c r="J880" i="5"/>
  <c r="K880" i="5"/>
  <c r="L880" i="5"/>
  <c r="M880" i="5"/>
  <c r="G880" i="5"/>
  <c r="H879" i="5"/>
  <c r="I879" i="5"/>
  <c r="J879" i="5"/>
  <c r="K879" i="5"/>
  <c r="L879" i="5"/>
  <c r="M879" i="5"/>
  <c r="G879" i="5"/>
  <c r="H877" i="5"/>
  <c r="I877" i="5"/>
  <c r="J877" i="5"/>
  <c r="K877" i="5"/>
  <c r="L877" i="5"/>
  <c r="M877" i="5"/>
  <c r="G877" i="5"/>
  <c r="H866" i="5"/>
  <c r="I866" i="5"/>
  <c r="J866" i="5"/>
  <c r="K866" i="5"/>
  <c r="L866" i="5"/>
  <c r="M866" i="5"/>
  <c r="H865" i="5"/>
  <c r="I865" i="5"/>
  <c r="J865" i="5"/>
  <c r="K865" i="5"/>
  <c r="L865" i="5"/>
  <c r="M865" i="5"/>
  <c r="J878" i="5" l="1"/>
  <c r="G878" i="5"/>
  <c r="M878" i="5"/>
  <c r="L878" i="5"/>
  <c r="H878" i="5"/>
  <c r="K878" i="5"/>
  <c r="I878" i="5"/>
  <c r="H860" i="5"/>
  <c r="I860" i="5"/>
  <c r="J860" i="5"/>
  <c r="K860" i="5"/>
  <c r="L860" i="5"/>
  <c r="M860" i="5"/>
  <c r="H859" i="5"/>
  <c r="I859" i="5"/>
  <c r="J859" i="5"/>
  <c r="K859" i="5"/>
  <c r="L859" i="5"/>
  <c r="M859" i="5"/>
  <c r="G862" i="5"/>
  <c r="G860" i="5" s="1"/>
  <c r="G861" i="5"/>
  <c r="G859" i="5" s="1"/>
  <c r="M834" i="5"/>
  <c r="M836" i="5"/>
  <c r="M832" i="5" s="1"/>
  <c r="H834" i="5"/>
  <c r="I834" i="5"/>
  <c r="J834" i="5"/>
  <c r="K834" i="5"/>
  <c r="L844" i="5"/>
  <c r="G845" i="5"/>
  <c r="G833" i="5" s="1"/>
  <c r="G846" i="5"/>
  <c r="G834" i="5" s="1"/>
  <c r="G843" i="5"/>
  <c r="G831" i="5" s="1"/>
  <c r="K844" i="5"/>
  <c r="G844" i="5" l="1"/>
  <c r="G832" i="5" s="1"/>
  <c r="K832" i="5"/>
  <c r="L834" i="5"/>
  <c r="L836" i="5"/>
  <c r="L832" i="5" s="1"/>
  <c r="H822" i="5" l="1"/>
  <c r="I822" i="5"/>
  <c r="J822" i="5"/>
  <c r="K822" i="5"/>
  <c r="K776" i="5" s="1"/>
  <c r="H821" i="5"/>
  <c r="I821" i="5"/>
  <c r="J821" i="5"/>
  <c r="K821" i="5"/>
  <c r="K828" i="5"/>
  <c r="V63" i="6" l="1"/>
  <c r="L824" i="5"/>
  <c r="M824" i="5"/>
  <c r="M819" i="5" l="1"/>
  <c r="L821" i="5"/>
  <c r="L822" i="5"/>
  <c r="M822" i="5"/>
  <c r="G823" i="5"/>
  <c r="G825" i="5"/>
  <c r="G821" i="5" s="1"/>
  <c r="G826" i="5"/>
  <c r="G827" i="5"/>
  <c r="G830" i="5"/>
  <c r="G828" i="5" s="1"/>
  <c r="K819" i="5"/>
  <c r="G819" i="5" s="1"/>
  <c r="K824" i="5"/>
  <c r="G824" i="5" s="1"/>
  <c r="L820" i="5" l="1"/>
  <c r="M820" i="5"/>
  <c r="G822" i="5"/>
  <c r="K820" i="5"/>
  <c r="G820" i="5" s="1"/>
  <c r="H807" i="5"/>
  <c r="I807" i="5"/>
  <c r="J807" i="5"/>
  <c r="K807" i="5"/>
  <c r="L807" i="5"/>
  <c r="M807" i="5"/>
  <c r="H797" i="5"/>
  <c r="I797" i="5"/>
  <c r="J797" i="5"/>
  <c r="K797" i="5"/>
  <c r="L797" i="5"/>
  <c r="M797" i="5"/>
  <c r="G805" i="5"/>
  <c r="G806" i="5"/>
  <c r="G799" i="5" s="1"/>
  <c r="G798" i="5" s="1"/>
  <c r="G811" i="5"/>
  <c r="G807" i="5" s="1"/>
  <c r="G801" i="5"/>
  <c r="H788" i="5"/>
  <c r="I788" i="5"/>
  <c r="J788" i="5"/>
  <c r="K788" i="5"/>
  <c r="L788" i="5"/>
  <c r="M788" i="5"/>
  <c r="H787" i="5"/>
  <c r="I787" i="5"/>
  <c r="J787" i="5"/>
  <c r="K787" i="5"/>
  <c r="L787" i="5"/>
  <c r="M787" i="5"/>
  <c r="G792" i="5"/>
  <c r="G788" i="5" s="1"/>
  <c r="G791" i="5"/>
  <c r="G787" i="5" s="1"/>
  <c r="M784" i="5"/>
  <c r="M780" i="5" s="1"/>
  <c r="M781" i="5"/>
  <c r="L781" i="5"/>
  <c r="L784" i="5"/>
  <c r="L780" i="5" s="1"/>
  <c r="M653" i="5"/>
  <c r="L499" i="5"/>
  <c r="M499" i="5"/>
  <c r="L498" i="5"/>
  <c r="M498" i="5"/>
  <c r="M497" i="5" s="1"/>
  <c r="M686" i="5"/>
  <c r="L686" i="5"/>
  <c r="L685" i="5"/>
  <c r="M685" i="5"/>
  <c r="M647" i="5"/>
  <c r="L653" i="5"/>
  <c r="K606" i="5"/>
  <c r="G606" i="5" s="1"/>
  <c r="G729" i="5"/>
  <c r="G730" i="5"/>
  <c r="G731" i="5"/>
  <c r="G725" i="5" s="1"/>
  <c r="G733" i="5"/>
  <c r="G734" i="5"/>
  <c r="K727" i="5"/>
  <c r="G727" i="5" s="1"/>
  <c r="K732" i="5"/>
  <c r="G732" i="5" s="1"/>
  <c r="L722" i="5"/>
  <c r="G721" i="5"/>
  <c r="G722" i="5"/>
  <c r="G723" i="5"/>
  <c r="G724" i="5"/>
  <c r="L708" i="5"/>
  <c r="L707" i="5"/>
  <c r="K705" i="5"/>
  <c r="G705" i="5" s="1"/>
  <c r="K707" i="5"/>
  <c r="G707" i="5" s="1"/>
  <c r="L712" i="5"/>
  <c r="G713" i="5"/>
  <c r="G714" i="5"/>
  <c r="G711" i="5"/>
  <c r="K712" i="5"/>
  <c r="G712" i="5" s="1"/>
  <c r="G695" i="5"/>
  <c r="G696" i="5"/>
  <c r="K694" i="5"/>
  <c r="G694" i="5" s="1"/>
  <c r="G687" i="5"/>
  <c r="G688" i="5"/>
  <c r="G689" i="5"/>
  <c r="G691" i="5"/>
  <c r="G692" i="5"/>
  <c r="G693" i="5"/>
  <c r="K685" i="5"/>
  <c r="G685" i="5" s="1"/>
  <c r="K686" i="5"/>
  <c r="G686" i="5" s="1"/>
  <c r="K690" i="5"/>
  <c r="G690" i="5" s="1"/>
  <c r="G640" i="5"/>
  <c r="G641" i="5"/>
  <c r="K639" i="5"/>
  <c r="G639" i="5" s="1"/>
  <c r="L621" i="5"/>
  <c r="L620" i="5"/>
  <c r="K618" i="5"/>
  <c r="K620" i="5"/>
  <c r="G620" i="5" s="1"/>
  <c r="L623" i="5"/>
  <c r="K621" i="5"/>
  <c r="G621" i="5" s="1"/>
  <c r="G624" i="5"/>
  <c r="G625" i="5"/>
  <c r="G622" i="5"/>
  <c r="K623" i="5"/>
  <c r="G623" i="5" s="1"/>
  <c r="G610" i="5"/>
  <c r="G611" i="5"/>
  <c r="G612" i="5"/>
  <c r="G614" i="5"/>
  <c r="G615" i="5"/>
  <c r="G616" i="5"/>
  <c r="G617" i="5"/>
  <c r="K608" i="5"/>
  <c r="G608" i="5" s="1"/>
  <c r="K609" i="5"/>
  <c r="G609" i="5" s="1"/>
  <c r="K613" i="5"/>
  <c r="G613" i="5" s="1"/>
  <c r="G599" i="5"/>
  <c r="K556" i="5"/>
  <c r="K557" i="5"/>
  <c r="G568" i="5"/>
  <c r="G569" i="5"/>
  <c r="K567" i="5"/>
  <c r="G567" i="5" s="1"/>
  <c r="J540" i="5"/>
  <c r="J541" i="5"/>
  <c r="G541" i="5" s="1"/>
  <c r="L497" i="5" l="1"/>
  <c r="G556" i="5"/>
  <c r="G797" i="5"/>
  <c r="G808" i="5"/>
  <c r="L684" i="5"/>
  <c r="M684" i="5"/>
  <c r="K607" i="5"/>
  <c r="G607" i="5" s="1"/>
  <c r="L706" i="5"/>
  <c r="K684" i="5"/>
  <c r="G684" i="5" s="1"/>
  <c r="L619" i="5"/>
  <c r="K555" i="5"/>
  <c r="G555" i="5" s="1"/>
  <c r="J539" i="5"/>
  <c r="G539" i="5" s="1"/>
  <c r="G540" i="5"/>
  <c r="J545" i="5"/>
  <c r="G545" i="5" s="1"/>
  <c r="G546" i="5"/>
  <c r="L511" i="5"/>
  <c r="L510" i="5"/>
  <c r="K508" i="5"/>
  <c r="K510" i="5"/>
  <c r="G510" i="5" s="1"/>
  <c r="K511" i="5"/>
  <c r="G511" i="5" s="1"/>
  <c r="G522" i="5"/>
  <c r="G523" i="5"/>
  <c r="G520" i="5"/>
  <c r="K521" i="5"/>
  <c r="G521" i="5" s="1"/>
  <c r="L517" i="5"/>
  <c r="G518" i="5"/>
  <c r="G519" i="5"/>
  <c r="G516" i="5"/>
  <c r="K517" i="5"/>
  <c r="G517" i="5" s="1"/>
  <c r="K498" i="5"/>
  <c r="K499" i="5"/>
  <c r="G506" i="5"/>
  <c r="G507" i="5"/>
  <c r="K505" i="5"/>
  <c r="G505" i="5" s="1"/>
  <c r="G500" i="5"/>
  <c r="G501" i="5"/>
  <c r="G502" i="5"/>
  <c r="G503" i="5"/>
  <c r="G504" i="5"/>
  <c r="K496" i="5"/>
  <c r="G496" i="5" s="1"/>
  <c r="K451" i="5" l="1"/>
  <c r="G498" i="5"/>
  <c r="L509" i="5"/>
  <c r="K509" i="5"/>
  <c r="G509" i="5" s="1"/>
  <c r="S223" i="6" l="1"/>
  <c r="T223" i="6"/>
  <c r="U223" i="6"/>
  <c r="V223" i="6"/>
  <c r="W223" i="6"/>
  <c r="X223" i="6"/>
  <c r="M374" i="5"/>
  <c r="L374" i="5"/>
  <c r="M377" i="5"/>
  <c r="M376" i="5"/>
  <c r="L377" i="5"/>
  <c r="L376" i="5"/>
  <c r="M383" i="5"/>
  <c r="L379" i="5"/>
  <c r="M375" i="5" l="1"/>
  <c r="L247" i="5"/>
  <c r="L246" i="5" s="1"/>
  <c r="L250" i="5"/>
  <c r="M183" i="5"/>
  <c r="L127" i="5"/>
  <c r="L61" i="5"/>
  <c r="M167" i="5"/>
  <c r="M166" i="5" s="1"/>
  <c r="M178" i="5"/>
  <c r="M182" i="5" l="1"/>
  <c r="M181" i="5"/>
  <c r="L68" i="5" l="1"/>
  <c r="S167" i="6" l="1"/>
  <c r="T167" i="6"/>
  <c r="U167" i="6"/>
  <c r="V167" i="6"/>
  <c r="W167" i="6"/>
  <c r="W166" i="6" s="1"/>
  <c r="W158" i="6" s="1"/>
  <c r="X167" i="6"/>
  <c r="X166" i="6" s="1"/>
  <c r="X158" i="6" s="1"/>
  <c r="S158" i="6"/>
  <c r="T158" i="6"/>
  <c r="U158" i="6"/>
  <c r="V157" i="6"/>
  <c r="W157" i="6"/>
  <c r="X157" i="6"/>
  <c r="S160" i="6" l="1"/>
  <c r="S217" i="6" s="1"/>
  <c r="S212" i="6" s="1"/>
  <c r="T160" i="6"/>
  <c r="T217" i="6" s="1"/>
  <c r="T212" i="6" s="1"/>
  <c r="U160" i="6"/>
  <c r="U217" i="6" s="1"/>
  <c r="U212" i="6" s="1"/>
  <c r="U225" i="6" s="1"/>
  <c r="V160" i="6"/>
  <c r="W160" i="6"/>
  <c r="X160" i="6"/>
  <c r="S161" i="6"/>
  <c r="T161" i="6"/>
  <c r="U161" i="6"/>
  <c r="V161" i="6"/>
  <c r="W161" i="6"/>
  <c r="X161" i="6"/>
  <c r="S163" i="6"/>
  <c r="T163" i="6"/>
  <c r="U163" i="6"/>
  <c r="V163" i="6"/>
  <c r="W163" i="6"/>
  <c r="X163" i="6"/>
  <c r="R171" i="6"/>
  <c r="R223" i="6" s="1"/>
  <c r="R163" i="6" l="1"/>
  <c r="R161" i="6"/>
  <c r="R219" i="6"/>
  <c r="U159" i="6"/>
  <c r="V159" i="6"/>
  <c r="X159" i="6"/>
  <c r="T159" i="6"/>
  <c r="W159" i="6"/>
  <c r="S159" i="6"/>
  <c r="X220" i="6"/>
  <c r="M143" i="5"/>
  <c r="X218" i="6" l="1"/>
  <c r="K110" i="5"/>
  <c r="G110" i="5" s="1"/>
  <c r="H59" i="5"/>
  <c r="I59" i="5"/>
  <c r="J59" i="5"/>
  <c r="G410" i="5"/>
  <c r="H411" i="5"/>
  <c r="I411" i="5"/>
  <c r="J411" i="5"/>
  <c r="K411" i="5"/>
  <c r="G381" i="5"/>
  <c r="G377" i="5" s="1"/>
  <c r="G380" i="5"/>
  <c r="G378" i="5"/>
  <c r="H365" i="5"/>
  <c r="I365" i="5"/>
  <c r="J365" i="5"/>
  <c r="K365" i="5"/>
  <c r="G372" i="5"/>
  <c r="G373" i="5"/>
  <c r="K371" i="5"/>
  <c r="G371" i="5" s="1"/>
  <c r="H184" i="5"/>
  <c r="H182" i="5" s="1"/>
  <c r="I184" i="5"/>
  <c r="I182" i="5" s="1"/>
  <c r="J184" i="5"/>
  <c r="J182" i="5" s="1"/>
  <c r="K184" i="5"/>
  <c r="K182" i="5" s="1"/>
  <c r="H195" i="5"/>
  <c r="I195" i="5"/>
  <c r="J195" i="5"/>
  <c r="K195" i="5"/>
  <c r="G197" i="5"/>
  <c r="G195" i="5" s="1"/>
  <c r="G173" i="5"/>
  <c r="P194" i="5" l="1"/>
  <c r="K194" i="5" s="1"/>
  <c r="AA194" i="5"/>
  <c r="X211" i="6"/>
  <c r="G379" i="5"/>
  <c r="K181" i="5" l="1"/>
  <c r="G194" i="5"/>
  <c r="G181" i="5" s="1"/>
  <c r="U13" i="5"/>
  <c r="L181" i="5"/>
  <c r="G128" i="5"/>
  <c r="K75" i="5"/>
  <c r="G77" i="5"/>
  <c r="AA75" i="5" l="1"/>
  <c r="K59" i="5" s="1"/>
  <c r="G75" i="5"/>
  <c r="G74" i="5"/>
  <c r="X638" i="6"/>
  <c r="X623" i="6"/>
  <c r="X619" i="6" s="1"/>
  <c r="W623" i="6"/>
  <c r="X560" i="6"/>
  <c r="W638" i="6"/>
  <c r="R623" i="6"/>
  <c r="V621" i="6"/>
  <c r="V623" i="6" s="1"/>
  <c r="V616" i="6"/>
  <c r="V612" i="6"/>
  <c r="V608" i="6"/>
  <c r="V601" i="6"/>
  <c r="V599" i="6"/>
  <c r="V597" i="6"/>
  <c r="V595" i="6"/>
  <c r="V593" i="6"/>
  <c r="V591" i="6"/>
  <c r="V589" i="6"/>
  <c r="V587" i="6"/>
  <c r="V585" i="6"/>
  <c r="V583" i="6"/>
  <c r="V581" i="6"/>
  <c r="V579" i="6"/>
  <c r="V577" i="6"/>
  <c r="V573" i="6"/>
  <c r="V571" i="6"/>
  <c r="V569" i="6"/>
  <c r="V567" i="6"/>
  <c r="V565" i="6"/>
  <c r="V563" i="6"/>
  <c r="V561" i="6"/>
  <c r="V562" i="6" s="1"/>
  <c r="V559" i="6"/>
  <c r="V560" i="6" s="1"/>
  <c r="V557" i="6"/>
  <c r="V558" i="6" s="1"/>
  <c r="V555" i="6"/>
  <c r="V556" i="6" s="1"/>
  <c r="V553" i="6"/>
  <c r="V554" i="6" s="1"/>
  <c r="V551" i="6"/>
  <c r="V552" i="6" s="1"/>
  <c r="V549" i="6"/>
  <c r="V550" i="6" s="1"/>
  <c r="V548" i="6"/>
  <c r="V545" i="6"/>
  <c r="V546" i="6" s="1"/>
  <c r="V543" i="6"/>
  <c r="V544" i="6" l="1"/>
  <c r="S451" i="6"/>
  <c r="R451" i="6"/>
  <c r="S425" i="6"/>
  <c r="T425" i="6"/>
  <c r="U425" i="6"/>
  <c r="V425" i="6"/>
  <c r="H1069" i="5" l="1"/>
  <c r="I1069" i="5"/>
  <c r="J1069" i="5"/>
  <c r="K1069" i="5"/>
  <c r="H1070" i="5"/>
  <c r="I1070" i="5"/>
  <c r="J1070" i="5"/>
  <c r="K1070" i="5"/>
  <c r="G1073" i="5"/>
  <c r="G1074" i="5"/>
  <c r="G1039" i="5"/>
  <c r="G1041" i="5"/>
  <c r="G1042" i="5"/>
  <c r="G1035" i="5"/>
  <c r="K1036" i="5"/>
  <c r="G1037" i="5"/>
  <c r="G1038" i="5"/>
  <c r="G1036" i="5" l="1"/>
  <c r="K1028" i="5"/>
  <c r="G1029" i="5"/>
  <c r="G1030" i="5"/>
  <c r="G1027" i="5"/>
  <c r="G1013" i="5"/>
  <c r="G1011" i="5"/>
  <c r="G1014" i="5"/>
  <c r="G1003" i="5" l="1"/>
  <c r="G1028" i="5"/>
  <c r="G918" i="5"/>
  <c r="G910" i="5" s="1"/>
  <c r="M902" i="5"/>
  <c r="G899" i="5"/>
  <c r="G897" i="5"/>
  <c r="G900" i="5"/>
  <c r="G896" i="5" s="1"/>
  <c r="K898" i="5"/>
  <c r="G898" i="5" s="1"/>
  <c r="H902" i="5"/>
  <c r="I902" i="5"/>
  <c r="J902" i="5"/>
  <c r="G867" i="5"/>
  <c r="G865" i="5" s="1"/>
  <c r="G868" i="5"/>
  <c r="G866" i="5" s="1"/>
  <c r="G767" i="5"/>
  <c r="H708" i="5"/>
  <c r="I708" i="5"/>
  <c r="J708" i="5"/>
  <c r="K708" i="5"/>
  <c r="M697" i="5"/>
  <c r="M698" i="5"/>
  <c r="H683" i="5"/>
  <c r="I683" i="5"/>
  <c r="J683" i="5"/>
  <c r="K683" i="5"/>
  <c r="L683" i="5"/>
  <c r="M683" i="5"/>
  <c r="H686" i="5"/>
  <c r="I686" i="5"/>
  <c r="J686" i="5"/>
  <c r="H557" i="5"/>
  <c r="I557" i="5"/>
  <c r="J557" i="5"/>
  <c r="H554" i="5"/>
  <c r="I554" i="5"/>
  <c r="J554" i="5"/>
  <c r="K554" i="5"/>
  <c r="G566" i="5"/>
  <c r="G515" i="5"/>
  <c r="G683" i="5" l="1"/>
  <c r="G893" i="5"/>
  <c r="G708" i="5"/>
  <c r="K706" i="5"/>
  <c r="G706" i="5" s="1"/>
  <c r="L375" i="5"/>
  <c r="L383" i="5"/>
  <c r="M138" i="5"/>
  <c r="M140" i="5"/>
  <c r="V220" i="6"/>
  <c r="V218" i="6" s="1"/>
  <c r="S181" i="6"/>
  <c r="T181" i="6"/>
  <c r="U181" i="6"/>
  <c r="R214" i="6"/>
  <c r="G382" i="5"/>
  <c r="K383" i="5"/>
  <c r="V211" i="6" l="1"/>
  <c r="G895" i="5"/>
  <c r="G894" i="5" s="1"/>
  <c r="M139" i="5"/>
  <c r="V181" i="6"/>
  <c r="R220" i="6"/>
  <c r="R218" i="6" s="1"/>
  <c r="H267" i="5"/>
  <c r="I267" i="5"/>
  <c r="J267" i="5"/>
  <c r="K267" i="5"/>
  <c r="G279" i="5" l="1"/>
  <c r="G270" i="5" s="1"/>
  <c r="G324" i="5" l="1"/>
  <c r="G322" i="5"/>
  <c r="K323" i="5"/>
  <c r="G323" i="5" s="1"/>
  <c r="G320" i="5"/>
  <c r="G318" i="5"/>
  <c r="K319" i="5"/>
  <c r="G319" i="5" s="1"/>
  <c r="G299" i="5"/>
  <c r="G298" i="5" s="1"/>
  <c r="G160" i="5"/>
  <c r="H140" i="5"/>
  <c r="I140" i="5"/>
  <c r="J140" i="5"/>
  <c r="K140" i="5"/>
  <c r="H138" i="5"/>
  <c r="I138" i="5"/>
  <c r="J138" i="5"/>
  <c r="K138" i="5"/>
  <c r="G144" i="5"/>
  <c r="G145" i="5"/>
  <c r="G142" i="5"/>
  <c r="K143" i="5"/>
  <c r="G143" i="5" s="1"/>
  <c r="M61" i="5"/>
  <c r="M68" i="5"/>
  <c r="H47" i="5"/>
  <c r="H46" i="5" s="1"/>
  <c r="I47" i="5"/>
  <c r="I46" i="5" s="1"/>
  <c r="J47" i="5"/>
  <c r="J46" i="5" s="1"/>
  <c r="K47" i="5"/>
  <c r="K46" i="5" s="1"/>
  <c r="G49" i="5"/>
  <c r="G51" i="5"/>
  <c r="G47" i="5" s="1"/>
  <c r="G46" i="5" s="1"/>
  <c r="H29" i="5"/>
  <c r="I29" i="5"/>
  <c r="J29" i="5"/>
  <c r="K29" i="5"/>
  <c r="H31" i="5"/>
  <c r="I31" i="5"/>
  <c r="J31" i="5"/>
  <c r="K31" i="5"/>
  <c r="H32" i="5"/>
  <c r="H18" i="5" s="1"/>
  <c r="I32" i="5"/>
  <c r="I18" i="5" s="1"/>
  <c r="J32" i="5"/>
  <c r="J18" i="5" s="1"/>
  <c r="U96" i="6" s="1"/>
  <c r="K32" i="5"/>
  <c r="K18" i="5" s="1"/>
  <c r="G31" i="5"/>
  <c r="G32" i="5"/>
  <c r="G18" i="5" s="1"/>
  <c r="H139" i="5" l="1"/>
  <c r="K139" i="5"/>
  <c r="J139" i="5"/>
  <c r="I139" i="5"/>
  <c r="I30" i="5"/>
  <c r="H30" i="5"/>
  <c r="J30" i="5"/>
  <c r="K30" i="5"/>
  <c r="G50" i="5"/>
  <c r="R168" i="6" l="1"/>
  <c r="R217" i="6" s="1"/>
  <c r="S174" i="6"/>
  <c r="U174" i="6"/>
  <c r="V175" i="6"/>
  <c r="V174" i="6" s="1"/>
  <c r="T175" i="6"/>
  <c r="T174" i="6" s="1"/>
  <c r="R212" i="6" l="1"/>
  <c r="R167" i="6"/>
  <c r="R160" i="6"/>
  <c r="R175" i="6"/>
  <c r="R174" i="6" s="1"/>
  <c r="R211" i="6" l="1"/>
  <c r="R159" i="6"/>
  <c r="W175" i="6"/>
  <c r="X175" i="6"/>
  <c r="W181" i="6"/>
  <c r="R181" i="6"/>
  <c r="S679" i="6" l="1"/>
  <c r="T679" i="6"/>
  <c r="U679" i="6"/>
  <c r="R679" i="6"/>
  <c r="V679" i="6" l="1"/>
  <c r="W618" i="6" l="1"/>
  <c r="W615" i="6" s="1"/>
  <c r="W610" i="6"/>
  <c r="W607" i="6" s="1"/>
  <c r="V574" i="6"/>
  <c r="R574" i="6"/>
  <c r="L1028" i="5"/>
  <c r="G1157" i="5"/>
  <c r="G1102" i="5"/>
  <c r="G643" i="5"/>
  <c r="G636" i="5" s="1"/>
  <c r="G627" i="5"/>
  <c r="G626" i="5"/>
  <c r="G618" i="5" s="1"/>
  <c r="G577" i="5"/>
  <c r="G565" i="5"/>
  <c r="G286" i="5"/>
  <c r="G285" i="5" s="1"/>
  <c r="K272" i="5"/>
  <c r="AA368" i="6"/>
  <c r="AA369" i="6" s="1"/>
  <c r="H745" i="5"/>
  <c r="I745" i="5"/>
  <c r="J745" i="5"/>
  <c r="K745" i="5"/>
  <c r="H1024" i="5"/>
  <c r="G1024" i="5" s="1"/>
  <c r="I1024" i="5"/>
  <c r="J1024" i="5"/>
  <c r="K1024" i="5"/>
  <c r="G753" i="5"/>
  <c r="U416" i="6"/>
  <c r="R556" i="6"/>
  <c r="R544" i="6"/>
  <c r="H508" i="5"/>
  <c r="I508" i="5"/>
  <c r="J508" i="5"/>
  <c r="G554" i="5"/>
  <c r="V598" i="6"/>
  <c r="S435" i="6"/>
  <c r="S433" i="6" s="1"/>
  <c r="T435" i="6"/>
  <c r="T433" i="6" s="1"/>
  <c r="U435" i="6"/>
  <c r="U433" i="6" s="1"/>
  <c r="V433" i="6"/>
  <c r="V442" i="6"/>
  <c r="R527" i="6"/>
  <c r="S527" i="6"/>
  <c r="G1100" i="5"/>
  <c r="G1040" i="5"/>
  <c r="G662" i="5"/>
  <c r="G646" i="5" s="1"/>
  <c r="L513" i="5"/>
  <c r="M298" i="5"/>
  <c r="L323" i="5"/>
  <c r="L270" i="5"/>
  <c r="L154" i="5"/>
  <c r="L156" i="5"/>
  <c r="L155" i="5"/>
  <c r="K348" i="5"/>
  <c r="W371" i="6"/>
  <c r="X371" i="6"/>
  <c r="D370" i="6"/>
  <c r="E370" i="6"/>
  <c r="F370" i="6"/>
  <c r="G370" i="6"/>
  <c r="H370" i="6"/>
  <c r="I370" i="6"/>
  <c r="J370" i="6"/>
  <c r="K370" i="6"/>
  <c r="L370" i="6"/>
  <c r="M370" i="6"/>
  <c r="N370" i="6"/>
  <c r="O370" i="6"/>
  <c r="P370" i="6"/>
  <c r="Q370" i="6"/>
  <c r="C370" i="6"/>
  <c r="S475" i="6"/>
  <c r="R475" i="6"/>
  <c r="S408" i="6"/>
  <c r="R408" i="6"/>
  <c r="W491" i="6"/>
  <c r="W490" i="6" s="1"/>
  <c r="X491" i="6"/>
  <c r="X490" i="6" s="1"/>
  <c r="W469" i="6"/>
  <c r="W468" i="6" s="1"/>
  <c r="X469" i="6"/>
  <c r="X468" i="6" s="1"/>
  <c r="S468" i="6"/>
  <c r="T468" i="6"/>
  <c r="U468" i="6"/>
  <c r="W442" i="6"/>
  <c r="X442" i="6"/>
  <c r="L29" i="5"/>
  <c r="G358" i="5"/>
  <c r="G346" i="5" s="1"/>
  <c r="G284" i="5"/>
  <c r="G265" i="5" s="1"/>
  <c r="H19" i="5"/>
  <c r="I19" i="5"/>
  <c r="V618" i="6"/>
  <c r="V615" i="6" s="1"/>
  <c r="R618" i="6"/>
  <c r="V614" i="6"/>
  <c r="R614" i="6"/>
  <c r="R611" i="6" s="1"/>
  <c r="V610" i="6"/>
  <c r="V607" i="6" s="1"/>
  <c r="R610" i="6"/>
  <c r="V606" i="6"/>
  <c r="R606" i="6"/>
  <c r="V602" i="6"/>
  <c r="R602" i="6"/>
  <c r="V600" i="6"/>
  <c r="R600" i="6"/>
  <c r="V596" i="6"/>
  <c r="R596" i="6"/>
  <c r="V594" i="6"/>
  <c r="R594" i="6"/>
  <c r="V592" i="6"/>
  <c r="R592" i="6"/>
  <c r="V590" i="6"/>
  <c r="R590" i="6"/>
  <c r="V588" i="6"/>
  <c r="R588" i="6"/>
  <c r="V586" i="6"/>
  <c r="R586" i="6"/>
  <c r="V584" i="6"/>
  <c r="R584" i="6"/>
  <c r="V582" i="6"/>
  <c r="R582" i="6"/>
  <c r="V580" i="6"/>
  <c r="R580" i="6"/>
  <c r="V578" i="6"/>
  <c r="R578" i="6"/>
  <c r="S575" i="6"/>
  <c r="S537" i="6" s="1"/>
  <c r="R576" i="6"/>
  <c r="V572" i="6"/>
  <c r="R572" i="6"/>
  <c r="V570" i="6"/>
  <c r="R570" i="6"/>
  <c r="V568" i="6"/>
  <c r="R568" i="6"/>
  <c r="V566" i="6"/>
  <c r="R566" i="6"/>
  <c r="V564" i="6"/>
  <c r="R564" i="6"/>
  <c r="R562" i="6"/>
  <c r="R560" i="6"/>
  <c r="R558" i="6"/>
  <c r="R554" i="6"/>
  <c r="R546" i="6"/>
  <c r="G1101" i="5"/>
  <c r="H819" i="5"/>
  <c r="I819" i="5"/>
  <c r="J819" i="5"/>
  <c r="G1099" i="5"/>
  <c r="G1061" i="5"/>
  <c r="G1057" i="5" s="1"/>
  <c r="G1062" i="5"/>
  <c r="G1032" i="5"/>
  <c r="G1012" i="5"/>
  <c r="H776" i="5"/>
  <c r="I776" i="5"/>
  <c r="J776" i="5"/>
  <c r="H756" i="5"/>
  <c r="I756" i="5"/>
  <c r="J756" i="5"/>
  <c r="H755" i="5"/>
  <c r="I755" i="5"/>
  <c r="J755" i="5"/>
  <c r="G757" i="5"/>
  <c r="G755" i="5" s="1"/>
  <c r="G758" i="5"/>
  <c r="G756" i="5" s="1"/>
  <c r="G717" i="5"/>
  <c r="H634" i="5"/>
  <c r="I634" i="5"/>
  <c r="G591" i="5"/>
  <c r="H573" i="5"/>
  <c r="I573" i="5"/>
  <c r="H572" i="5"/>
  <c r="I572" i="5"/>
  <c r="J572" i="5"/>
  <c r="G574" i="5"/>
  <c r="G572" i="5" s="1"/>
  <c r="G544" i="5"/>
  <c r="G538" i="5" s="1"/>
  <c r="H524" i="5"/>
  <c r="I524" i="5"/>
  <c r="J524" i="5"/>
  <c r="H526" i="5"/>
  <c r="H525" i="5" s="1"/>
  <c r="I526" i="5"/>
  <c r="I525" i="5" s="1"/>
  <c r="G534" i="5"/>
  <c r="G524" i="5" s="1"/>
  <c r="H511" i="5"/>
  <c r="I511" i="5"/>
  <c r="T261" i="6" s="1"/>
  <c r="G370" i="5"/>
  <c r="H359" i="5"/>
  <c r="I359" i="5"/>
  <c r="J359" i="5"/>
  <c r="H61" i="5"/>
  <c r="I61" i="5"/>
  <c r="J61" i="5"/>
  <c r="H68" i="5"/>
  <c r="H60" i="5" s="1"/>
  <c r="I68" i="5"/>
  <c r="J68" i="5"/>
  <c r="K68" i="5"/>
  <c r="G69" i="5"/>
  <c r="G68" i="5" s="1"/>
  <c r="G360" i="5"/>
  <c r="G359" i="5" s="1"/>
  <c r="H705" i="5"/>
  <c r="I705" i="5"/>
  <c r="J705" i="5"/>
  <c r="H618" i="5"/>
  <c r="I618" i="5"/>
  <c r="J618" i="5"/>
  <c r="H346" i="5"/>
  <c r="I346" i="5"/>
  <c r="J346" i="5"/>
  <c r="K346" i="5"/>
  <c r="H265" i="5"/>
  <c r="I265" i="5"/>
  <c r="J265" i="5"/>
  <c r="K265" i="5"/>
  <c r="S538" i="6"/>
  <c r="T538" i="6"/>
  <c r="U538" i="6"/>
  <c r="V538" i="6"/>
  <c r="W538" i="6"/>
  <c r="X538" i="6"/>
  <c r="R538" i="6"/>
  <c r="S544" i="6"/>
  <c r="T544" i="6"/>
  <c r="U544" i="6"/>
  <c r="W544" i="6"/>
  <c r="X544" i="6"/>
  <c r="S546" i="6"/>
  <c r="T546" i="6"/>
  <c r="U546" i="6"/>
  <c r="W546" i="6"/>
  <c r="X546" i="6"/>
  <c r="S548" i="6"/>
  <c r="T548" i="6"/>
  <c r="U548" i="6"/>
  <c r="W548" i="6"/>
  <c r="X548" i="6"/>
  <c r="S550" i="6"/>
  <c r="T550" i="6"/>
  <c r="U550" i="6"/>
  <c r="W550" i="6"/>
  <c r="X550" i="6"/>
  <c r="R550" i="6"/>
  <c r="S552" i="6"/>
  <c r="T552" i="6"/>
  <c r="U552" i="6"/>
  <c r="W552" i="6"/>
  <c r="X552" i="6"/>
  <c r="R552" i="6"/>
  <c r="S554" i="6"/>
  <c r="T554" i="6"/>
  <c r="U554" i="6"/>
  <c r="W554" i="6"/>
  <c r="X554" i="6"/>
  <c r="S556" i="6"/>
  <c r="T556" i="6"/>
  <c r="U556" i="6"/>
  <c r="W556" i="6"/>
  <c r="X556" i="6"/>
  <c r="S558" i="6"/>
  <c r="T558" i="6"/>
  <c r="U558" i="6"/>
  <c r="W558" i="6"/>
  <c r="X558" i="6"/>
  <c r="S560" i="6"/>
  <c r="T560" i="6"/>
  <c r="U560" i="6"/>
  <c r="W560" i="6"/>
  <c r="S562" i="6"/>
  <c r="T562" i="6"/>
  <c r="U562" i="6"/>
  <c r="W562" i="6"/>
  <c r="X562" i="6"/>
  <c r="S564" i="6"/>
  <c r="T564" i="6"/>
  <c r="U564" i="6"/>
  <c r="W564" i="6"/>
  <c r="X564" i="6"/>
  <c r="S566" i="6"/>
  <c r="T566" i="6"/>
  <c r="U566" i="6"/>
  <c r="W566" i="6"/>
  <c r="X566" i="6"/>
  <c r="S568" i="6"/>
  <c r="T568" i="6"/>
  <c r="U568" i="6"/>
  <c r="W568" i="6"/>
  <c r="X568" i="6"/>
  <c r="S570" i="6"/>
  <c r="T570" i="6"/>
  <c r="U570" i="6"/>
  <c r="W570" i="6"/>
  <c r="X570" i="6"/>
  <c r="S572" i="6"/>
  <c r="T572" i="6"/>
  <c r="U572" i="6"/>
  <c r="W572" i="6"/>
  <c r="X572" i="6"/>
  <c r="S574" i="6"/>
  <c r="T574" i="6"/>
  <c r="U574" i="6"/>
  <c r="W574" i="6"/>
  <c r="X574" i="6"/>
  <c r="T576" i="6"/>
  <c r="U576" i="6"/>
  <c r="W576" i="6"/>
  <c r="X576" i="6"/>
  <c r="S578" i="6"/>
  <c r="T578" i="6"/>
  <c r="U578" i="6"/>
  <c r="W578" i="6"/>
  <c r="X578" i="6"/>
  <c r="S580" i="6"/>
  <c r="T580" i="6"/>
  <c r="U580" i="6"/>
  <c r="W580" i="6"/>
  <c r="X580" i="6"/>
  <c r="S582" i="6"/>
  <c r="T582" i="6"/>
  <c r="U582" i="6"/>
  <c r="W582" i="6"/>
  <c r="X582" i="6"/>
  <c r="S584" i="6"/>
  <c r="T584" i="6"/>
  <c r="U584" i="6"/>
  <c r="W584" i="6"/>
  <c r="X584" i="6"/>
  <c r="S586" i="6"/>
  <c r="T586" i="6"/>
  <c r="U586" i="6"/>
  <c r="W586" i="6"/>
  <c r="X586" i="6"/>
  <c r="S590" i="6"/>
  <c r="T590" i="6"/>
  <c r="U590" i="6"/>
  <c r="W590" i="6"/>
  <c r="X590" i="6"/>
  <c r="S588" i="6"/>
  <c r="T588" i="6"/>
  <c r="U588" i="6"/>
  <c r="W588" i="6"/>
  <c r="X588" i="6"/>
  <c r="S592" i="6"/>
  <c r="T592" i="6"/>
  <c r="U592" i="6"/>
  <c r="W592" i="6"/>
  <c r="S594" i="6"/>
  <c r="T594" i="6"/>
  <c r="U594" i="6"/>
  <c r="W594" i="6"/>
  <c r="X594" i="6"/>
  <c r="S596" i="6"/>
  <c r="T596" i="6"/>
  <c r="U596" i="6"/>
  <c r="W596" i="6"/>
  <c r="X596" i="6"/>
  <c r="S598" i="6"/>
  <c r="T598" i="6"/>
  <c r="U598" i="6"/>
  <c r="X598" i="6"/>
  <c r="R598" i="6"/>
  <c r="S600" i="6"/>
  <c r="T600" i="6"/>
  <c r="U600" i="6"/>
  <c r="W600" i="6"/>
  <c r="X600" i="6"/>
  <c r="S602" i="6"/>
  <c r="T602" i="6"/>
  <c r="U602" i="6"/>
  <c r="W602" i="6"/>
  <c r="X602" i="6"/>
  <c r="S606" i="6"/>
  <c r="S603" i="6" s="1"/>
  <c r="T606" i="6"/>
  <c r="T603" i="6" s="1"/>
  <c r="U606" i="6"/>
  <c r="U603" i="6" s="1"/>
  <c r="W606" i="6"/>
  <c r="W603" i="6" s="1"/>
  <c r="X606" i="6"/>
  <c r="X603" i="6" s="1"/>
  <c r="S610" i="6"/>
  <c r="S607" i="6" s="1"/>
  <c r="T610" i="6"/>
  <c r="T607" i="6" s="1"/>
  <c r="U610" i="6"/>
  <c r="U607" i="6" s="1"/>
  <c r="X610" i="6"/>
  <c r="X607" i="6" s="1"/>
  <c r="S614" i="6"/>
  <c r="S611" i="6" s="1"/>
  <c r="T614" i="6"/>
  <c r="T611" i="6" s="1"/>
  <c r="U614" i="6"/>
  <c r="U611" i="6" s="1"/>
  <c r="W614" i="6"/>
  <c r="W611" i="6" s="1"/>
  <c r="X614" i="6"/>
  <c r="X611" i="6" s="1"/>
  <c r="S618" i="6"/>
  <c r="S615" i="6" s="1"/>
  <c r="T618" i="6"/>
  <c r="T615" i="6" s="1"/>
  <c r="U618" i="6"/>
  <c r="U615" i="6" s="1"/>
  <c r="X618" i="6"/>
  <c r="X615" i="6" s="1"/>
  <c r="T623" i="6"/>
  <c r="T619" i="6" s="1"/>
  <c r="U623" i="6"/>
  <c r="U619" i="6" s="1"/>
  <c r="W619" i="6"/>
  <c r="S623" i="6"/>
  <c r="S619" i="6" s="1"/>
  <c r="J716" i="5"/>
  <c r="K658" i="5"/>
  <c r="G658" i="5" s="1"/>
  <c r="G656" i="5"/>
  <c r="H276" i="5"/>
  <c r="I276" i="5"/>
  <c r="K276" i="5"/>
  <c r="G561" i="5"/>
  <c r="G543" i="5"/>
  <c r="H285" i="5"/>
  <c r="I285" i="5"/>
  <c r="J285" i="5"/>
  <c r="K285" i="5"/>
  <c r="J276" i="5"/>
  <c r="H127" i="5"/>
  <c r="I127" i="5"/>
  <c r="J127" i="5"/>
  <c r="H50" i="5"/>
  <c r="S491" i="6"/>
  <c r="S490" i="6" s="1"/>
  <c r="X433" i="6"/>
  <c r="H1032" i="5"/>
  <c r="I1032" i="5"/>
  <c r="K1032" i="5"/>
  <c r="H1016" i="5"/>
  <c r="I1016" i="5"/>
  <c r="K1016" i="5"/>
  <c r="T288" i="6"/>
  <c r="R288" i="6" s="1"/>
  <c r="M554" i="5"/>
  <c r="K728" i="5"/>
  <c r="H647" i="5"/>
  <c r="I647" i="5"/>
  <c r="H637" i="5"/>
  <c r="I637" i="5"/>
  <c r="H620" i="5"/>
  <c r="H619" i="5" s="1"/>
  <c r="I620" i="5"/>
  <c r="I619" i="5" s="1"/>
  <c r="J620" i="5"/>
  <c r="J619" i="5" s="1"/>
  <c r="K573" i="5"/>
  <c r="H348" i="5"/>
  <c r="H347" i="5" s="1"/>
  <c r="I348" i="5"/>
  <c r="I347" i="5" s="1"/>
  <c r="J348" i="5"/>
  <c r="J347" i="5" s="1"/>
  <c r="M270" i="5"/>
  <c r="M16" i="5" s="1"/>
  <c r="H272" i="5"/>
  <c r="I272" i="5"/>
  <c r="J272" i="5"/>
  <c r="L272" i="5"/>
  <c r="M272" i="5"/>
  <c r="K203" i="5"/>
  <c r="J203" i="5"/>
  <c r="I203" i="5"/>
  <c r="J202" i="5"/>
  <c r="I202" i="5"/>
  <c r="K201" i="5"/>
  <c r="G201" i="5"/>
  <c r="H151" i="5"/>
  <c r="I151" i="5"/>
  <c r="J151" i="5"/>
  <c r="K151" i="5"/>
  <c r="G151" i="5"/>
  <c r="G148" i="5" s="1"/>
  <c r="H112" i="5"/>
  <c r="H111" i="5" s="1"/>
  <c r="I112" i="5"/>
  <c r="I111" i="5" s="1"/>
  <c r="J112" i="5"/>
  <c r="J111" i="5" s="1"/>
  <c r="K112" i="5"/>
  <c r="K127" i="5"/>
  <c r="H62" i="5"/>
  <c r="I62" i="5"/>
  <c r="J62" i="5"/>
  <c r="K62" i="5"/>
  <c r="J96" i="5"/>
  <c r="J97" i="5"/>
  <c r="G1008" i="5"/>
  <c r="J1008" i="5"/>
  <c r="G1022" i="5"/>
  <c r="G1006" i="5" s="1"/>
  <c r="G912" i="5"/>
  <c r="G911" i="5" s="1"/>
  <c r="G856" i="5"/>
  <c r="G848" i="5" s="1"/>
  <c r="G766" i="5"/>
  <c r="G762" i="5" s="1"/>
  <c r="G682" i="5"/>
  <c r="G670" i="5" s="1"/>
  <c r="G668" i="5"/>
  <c r="G664" i="5" s="1"/>
  <c r="G603" i="5"/>
  <c r="G601" i="5" s="1"/>
  <c r="G589" i="5"/>
  <c r="G585" i="5" s="1"/>
  <c r="G583" i="5"/>
  <c r="G579" i="5" s="1"/>
  <c r="G571" i="5"/>
  <c r="G547" i="5"/>
  <c r="G514" i="5"/>
  <c r="G412" i="5"/>
  <c r="G411" i="5" s="1"/>
  <c r="G384" i="5"/>
  <c r="G385" i="5"/>
  <c r="G303" i="5"/>
  <c r="J302" i="5"/>
  <c r="G222" i="5"/>
  <c r="G221" i="5" s="1"/>
  <c r="I221" i="5"/>
  <c r="K174" i="5"/>
  <c r="K159" i="5"/>
  <c r="H269" i="5"/>
  <c r="I269" i="5"/>
  <c r="J269" i="5"/>
  <c r="K269" i="5"/>
  <c r="G269" i="5"/>
  <c r="H310" i="5"/>
  <c r="I310" i="5"/>
  <c r="J310" i="5"/>
  <c r="G312" i="5"/>
  <c r="G310" i="5" s="1"/>
  <c r="K310" i="5"/>
  <c r="G210" i="5"/>
  <c r="G203" i="5" s="1"/>
  <c r="K209" i="5"/>
  <c r="K202" i="5" s="1"/>
  <c r="J124" i="5"/>
  <c r="G125" i="5"/>
  <c r="G124" i="5" s="1"/>
  <c r="R425" i="6"/>
  <c r="T638" i="6"/>
  <c r="U638" i="6"/>
  <c r="X539" i="6"/>
  <c r="X645" i="6" s="1"/>
  <c r="X678" i="6" s="1"/>
  <c r="AC245" i="6"/>
  <c r="S626" i="6"/>
  <c r="T626" i="6"/>
  <c r="U626" i="6"/>
  <c r="V626" i="6"/>
  <c r="T459" i="6"/>
  <c r="U459" i="6"/>
  <c r="S416" i="6"/>
  <c r="T416" i="6"/>
  <c r="V416" i="6"/>
  <c r="K50" i="5"/>
  <c r="J50" i="5"/>
  <c r="H1088" i="5"/>
  <c r="I1088" i="5"/>
  <c r="H1040" i="5"/>
  <c r="I1040" i="5"/>
  <c r="K1040" i="5"/>
  <c r="H1028" i="5"/>
  <c r="I1028" i="5"/>
  <c r="J1028" i="5"/>
  <c r="H1012" i="5"/>
  <c r="I1012" i="5"/>
  <c r="J1012" i="5"/>
  <c r="H963" i="5"/>
  <c r="I963" i="5"/>
  <c r="J963" i="5"/>
  <c r="K963" i="5"/>
  <c r="H964" i="5"/>
  <c r="I964" i="5"/>
  <c r="J964" i="5"/>
  <c r="K964" i="5"/>
  <c r="H848" i="5"/>
  <c r="H775" i="5" s="1"/>
  <c r="I848" i="5"/>
  <c r="I775" i="5" s="1"/>
  <c r="J848" i="5"/>
  <c r="J775" i="5" s="1"/>
  <c r="K848" i="5"/>
  <c r="K775" i="5" s="1"/>
  <c r="H762" i="5"/>
  <c r="I762" i="5"/>
  <c r="J762" i="5"/>
  <c r="K762" i="5"/>
  <c r="H761" i="5"/>
  <c r="I761" i="5"/>
  <c r="J761" i="5"/>
  <c r="K761" i="5"/>
  <c r="H746" i="5"/>
  <c r="H450" i="5" s="1"/>
  <c r="H443" i="5" s="1"/>
  <c r="S46" i="6" s="1"/>
  <c r="I746" i="5"/>
  <c r="I450" i="5" s="1"/>
  <c r="I443" i="5" s="1"/>
  <c r="H709" i="5"/>
  <c r="I709" i="5"/>
  <c r="J709" i="5"/>
  <c r="K709" i="5"/>
  <c r="H670" i="5"/>
  <c r="I670" i="5"/>
  <c r="J670" i="5"/>
  <c r="K670" i="5"/>
  <c r="H664" i="5"/>
  <c r="I664" i="5"/>
  <c r="J664" i="5"/>
  <c r="K664" i="5"/>
  <c r="H609" i="5"/>
  <c r="I609" i="5"/>
  <c r="J609" i="5"/>
  <c r="H601" i="5"/>
  <c r="I601" i="5"/>
  <c r="J601" i="5"/>
  <c r="K601" i="5"/>
  <c r="H600" i="5"/>
  <c r="I600" i="5"/>
  <c r="J600" i="5"/>
  <c r="K600" i="5"/>
  <c r="H591" i="5"/>
  <c r="I591" i="5"/>
  <c r="J591" i="5"/>
  <c r="K591" i="5"/>
  <c r="H585" i="5"/>
  <c r="I585" i="5"/>
  <c r="J585" i="5"/>
  <c r="K585" i="5"/>
  <c r="H578" i="5"/>
  <c r="I578" i="5"/>
  <c r="H579" i="5"/>
  <c r="I579" i="5"/>
  <c r="J579" i="5"/>
  <c r="K579" i="5"/>
  <c r="S264" i="6"/>
  <c r="T264" i="6"/>
  <c r="H538" i="5"/>
  <c r="I538" i="5"/>
  <c r="J538" i="5"/>
  <c r="K538" i="5"/>
  <c r="H541" i="5"/>
  <c r="I541" i="5"/>
  <c r="K541" i="5"/>
  <c r="G508" i="5"/>
  <c r="H499" i="5"/>
  <c r="I499" i="5"/>
  <c r="H165" i="5"/>
  <c r="I165" i="5"/>
  <c r="J165" i="5"/>
  <c r="K165" i="5"/>
  <c r="H434" i="5"/>
  <c r="I434" i="5"/>
  <c r="J434" i="5"/>
  <c r="H398" i="5"/>
  <c r="I398" i="5"/>
  <c r="J398" i="5"/>
  <c r="K398" i="5"/>
  <c r="H400" i="5"/>
  <c r="H399" i="5" s="1"/>
  <c r="I400" i="5"/>
  <c r="I399" i="5" s="1"/>
  <c r="J400" i="5"/>
  <c r="J399" i="5" s="1"/>
  <c r="K400" i="5"/>
  <c r="K399" i="5" s="1"/>
  <c r="H374" i="5"/>
  <c r="I374" i="5"/>
  <c r="J374" i="5"/>
  <c r="H376" i="5"/>
  <c r="I376" i="5"/>
  <c r="J376" i="5"/>
  <c r="H362" i="5"/>
  <c r="I362" i="5"/>
  <c r="J362" i="5"/>
  <c r="K362" i="5"/>
  <c r="H364" i="5"/>
  <c r="I364" i="5"/>
  <c r="J364" i="5"/>
  <c r="H270" i="5"/>
  <c r="I270" i="5"/>
  <c r="I16" i="5" s="1"/>
  <c r="J270" i="5"/>
  <c r="H212" i="5"/>
  <c r="I212" i="5"/>
  <c r="J212" i="5"/>
  <c r="H214" i="5"/>
  <c r="H213" i="5" s="1"/>
  <c r="I214" i="5"/>
  <c r="I213" i="5" s="1"/>
  <c r="J214" i="5"/>
  <c r="J213" i="5" s="1"/>
  <c r="H201" i="5"/>
  <c r="I201" i="5"/>
  <c r="J201" i="5"/>
  <c r="H202" i="5"/>
  <c r="H203" i="5"/>
  <c r="H167" i="5"/>
  <c r="I167" i="5"/>
  <c r="I166" i="5" s="1"/>
  <c r="K167" i="5"/>
  <c r="H154" i="5"/>
  <c r="I154" i="5"/>
  <c r="J154" i="5"/>
  <c r="H156" i="5"/>
  <c r="H155" i="5" s="1"/>
  <c r="I156" i="5"/>
  <c r="I155" i="5" s="1"/>
  <c r="J156" i="5"/>
  <c r="J155" i="5" s="1"/>
  <c r="K156" i="5"/>
  <c r="K155" i="5" s="1"/>
  <c r="H110" i="5"/>
  <c r="I110" i="5"/>
  <c r="J110" i="5"/>
  <c r="K434" i="5"/>
  <c r="M709" i="5"/>
  <c r="M1036" i="5"/>
  <c r="L1032" i="5"/>
  <c r="L1016" i="5"/>
  <c r="M289" i="5"/>
  <c r="L365" i="5"/>
  <c r="L215" i="5"/>
  <c r="L212" i="5"/>
  <c r="G156" i="5"/>
  <c r="G155" i="5" s="1"/>
  <c r="G159" i="5"/>
  <c r="P333" i="6"/>
  <c r="M1070" i="5"/>
  <c r="L1070" i="5"/>
  <c r="G1070" i="5"/>
  <c r="M1069" i="5"/>
  <c r="L1069" i="5"/>
  <c r="G1069" i="5"/>
  <c r="M330" i="6"/>
  <c r="M1040" i="5"/>
  <c r="M1028" i="5"/>
  <c r="M1024" i="5"/>
  <c r="L1024" i="5"/>
  <c r="M1012" i="5"/>
  <c r="M1008" i="5"/>
  <c r="L1008" i="5"/>
  <c r="O326" i="6"/>
  <c r="O303" i="6" s="1"/>
  <c r="O302" i="6" s="1"/>
  <c r="O301" i="6" s="1"/>
  <c r="M1004" i="5"/>
  <c r="G964" i="5"/>
  <c r="G963" i="5"/>
  <c r="N320" i="6"/>
  <c r="G882" i="5"/>
  <c r="N314" i="6"/>
  <c r="N303" i="6" s="1"/>
  <c r="N302" i="6" s="1"/>
  <c r="N301" i="6" s="1"/>
  <c r="M314" i="6"/>
  <c r="M303" i="6" s="1"/>
  <c r="M302" i="6" s="1"/>
  <c r="M301" i="6" s="1"/>
  <c r="L858" i="5"/>
  <c r="L848" i="5" s="1"/>
  <c r="M848" i="5"/>
  <c r="M847" i="5"/>
  <c r="L847" i="5"/>
  <c r="G847" i="5"/>
  <c r="L819" i="5"/>
  <c r="M782" i="5"/>
  <c r="M776" i="5" s="1"/>
  <c r="L782" i="5"/>
  <c r="L776" i="5" s="1"/>
  <c r="W63" i="6" s="1"/>
  <c r="G782" i="5"/>
  <c r="G780" i="5" s="1"/>
  <c r="M779" i="5"/>
  <c r="L779" i="5"/>
  <c r="G779" i="5"/>
  <c r="M762" i="5"/>
  <c r="L762" i="5"/>
  <c r="Q287" i="6"/>
  <c r="N287" i="6"/>
  <c r="M761" i="5"/>
  <c r="L761" i="5"/>
  <c r="M756" i="5"/>
  <c r="L756" i="5"/>
  <c r="M286" i="6"/>
  <c r="M755" i="5"/>
  <c r="L755" i="5"/>
  <c r="M285" i="6"/>
  <c r="M746" i="5"/>
  <c r="L746" i="5"/>
  <c r="M745" i="5"/>
  <c r="L745" i="5"/>
  <c r="L447" i="5" s="1"/>
  <c r="M284" i="6"/>
  <c r="L738" i="5"/>
  <c r="G738" i="5"/>
  <c r="N284" i="6"/>
  <c r="L737" i="5"/>
  <c r="G737" i="5"/>
  <c r="M283" i="6"/>
  <c r="L728" i="5"/>
  <c r="M282" i="6"/>
  <c r="L710" i="5"/>
  <c r="G710" i="5"/>
  <c r="M705" i="5"/>
  <c r="L698" i="5"/>
  <c r="G698" i="5"/>
  <c r="P279" i="6"/>
  <c r="M279" i="6"/>
  <c r="L697" i="5"/>
  <c r="G697" i="5"/>
  <c r="M277" i="6"/>
  <c r="M670" i="5"/>
  <c r="L670" i="5"/>
  <c r="M669" i="5"/>
  <c r="L669" i="5"/>
  <c r="G669" i="5"/>
  <c r="M664" i="5"/>
  <c r="L664" i="5"/>
  <c r="M663" i="5"/>
  <c r="L663" i="5"/>
  <c r="G663" i="5"/>
  <c r="M645" i="5"/>
  <c r="L645" i="5"/>
  <c r="L641" i="5"/>
  <c r="M272" i="6"/>
  <c r="M637" i="5"/>
  <c r="N272" i="6"/>
  <c r="M634" i="5"/>
  <c r="L634" i="5"/>
  <c r="L631" i="5"/>
  <c r="G631" i="5"/>
  <c r="M620" i="5"/>
  <c r="M619" i="5" s="1"/>
  <c r="M618" i="5"/>
  <c r="L618" i="5"/>
  <c r="N270" i="6"/>
  <c r="Q270" i="6"/>
  <c r="M270" i="6"/>
  <c r="M269" i="6"/>
  <c r="L601" i="5"/>
  <c r="L600" i="5"/>
  <c r="G600" i="5"/>
  <c r="M268" i="6"/>
  <c r="M591" i="5"/>
  <c r="L591" i="5"/>
  <c r="M590" i="5"/>
  <c r="L590" i="5"/>
  <c r="G590" i="5"/>
  <c r="M585" i="5"/>
  <c r="L585" i="5"/>
  <c r="M584" i="5"/>
  <c r="L584" i="5"/>
  <c r="G584" i="5"/>
  <c r="M579" i="5"/>
  <c r="L579" i="5"/>
  <c r="M578" i="5"/>
  <c r="L578" i="5"/>
  <c r="G578" i="5"/>
  <c r="M573" i="5"/>
  <c r="L573" i="5"/>
  <c r="M572" i="5"/>
  <c r="L572" i="5"/>
  <c r="M557" i="5"/>
  <c r="L557" i="5"/>
  <c r="L554" i="5"/>
  <c r="M541" i="5"/>
  <c r="L541" i="5"/>
  <c r="M538" i="5"/>
  <c r="L538" i="5"/>
  <c r="L529" i="5"/>
  <c r="G529" i="5"/>
  <c r="L527" i="5"/>
  <c r="G527" i="5"/>
  <c r="L526" i="5"/>
  <c r="L524" i="5"/>
  <c r="M511" i="5"/>
  <c r="M508" i="5"/>
  <c r="L508" i="5"/>
  <c r="M260" i="6"/>
  <c r="N260" i="6"/>
  <c r="M496" i="5"/>
  <c r="L496" i="5"/>
  <c r="L493" i="5"/>
  <c r="N491" i="5"/>
  <c r="M491" i="5"/>
  <c r="L491" i="5"/>
  <c r="G491" i="5"/>
  <c r="N490" i="5"/>
  <c r="M490" i="5"/>
  <c r="L490" i="5"/>
  <c r="G490" i="5"/>
  <c r="L481" i="5"/>
  <c r="G481" i="5"/>
  <c r="L480" i="5"/>
  <c r="G480" i="5"/>
  <c r="M473" i="5"/>
  <c r="L473" i="5"/>
  <c r="G473" i="5"/>
  <c r="N257" i="6"/>
  <c r="M472" i="5"/>
  <c r="L472" i="5"/>
  <c r="G472" i="5"/>
  <c r="M463" i="5"/>
  <c r="L463" i="5"/>
  <c r="G463" i="5"/>
  <c r="M462" i="5"/>
  <c r="L462" i="5"/>
  <c r="G462" i="5"/>
  <c r="L455" i="5"/>
  <c r="G455" i="5"/>
  <c r="L454" i="5"/>
  <c r="G454" i="5"/>
  <c r="M434" i="5"/>
  <c r="L434" i="5"/>
  <c r="L431" i="5"/>
  <c r="G431" i="5"/>
  <c r="L427" i="5"/>
  <c r="G427" i="5"/>
  <c r="L423" i="5"/>
  <c r="G423" i="5"/>
  <c r="L419" i="5"/>
  <c r="G419" i="5"/>
  <c r="L417" i="5"/>
  <c r="G417" i="5"/>
  <c r="L416" i="5"/>
  <c r="G416" i="5"/>
  <c r="L414" i="5"/>
  <c r="G414" i="5"/>
  <c r="M411" i="5"/>
  <c r="L411" i="5"/>
  <c r="L407" i="5"/>
  <c r="G407" i="5"/>
  <c r="L403" i="5"/>
  <c r="G403" i="5"/>
  <c r="M401" i="5"/>
  <c r="L401" i="5"/>
  <c r="G401" i="5"/>
  <c r="M400" i="5"/>
  <c r="L400" i="5"/>
  <c r="M398" i="5"/>
  <c r="L398" i="5"/>
  <c r="G398" i="5"/>
  <c r="L395" i="5"/>
  <c r="L391" i="5"/>
  <c r="L389" i="5"/>
  <c r="G389" i="5"/>
  <c r="G387" i="5" s="1"/>
  <c r="L388" i="5"/>
  <c r="L386" i="5"/>
  <c r="G386" i="5"/>
  <c r="M371" i="5"/>
  <c r="L371" i="5"/>
  <c r="L367" i="5"/>
  <c r="G367" i="5"/>
  <c r="M365" i="5"/>
  <c r="G365" i="5"/>
  <c r="M364" i="5"/>
  <c r="L364" i="5"/>
  <c r="M362" i="5"/>
  <c r="L362" i="5"/>
  <c r="L359" i="5"/>
  <c r="L355" i="5"/>
  <c r="G355" i="5"/>
  <c r="L351" i="5"/>
  <c r="G351" i="5"/>
  <c r="M349" i="5"/>
  <c r="L349" i="5"/>
  <c r="G349" i="5"/>
  <c r="M348" i="5"/>
  <c r="L348" i="5"/>
  <c r="M346" i="5"/>
  <c r="L346" i="5"/>
  <c r="M343" i="5"/>
  <c r="L343" i="5"/>
  <c r="G343" i="5"/>
  <c r="M341" i="5"/>
  <c r="M339" i="5" s="1"/>
  <c r="L341" i="5"/>
  <c r="L339" i="5" s="1"/>
  <c r="G341" i="5"/>
  <c r="G339" i="5" s="1"/>
  <c r="M338" i="5"/>
  <c r="L338" i="5"/>
  <c r="G338" i="5"/>
  <c r="L335" i="5"/>
  <c r="G335" i="5"/>
  <c r="L331" i="5"/>
  <c r="L329" i="5"/>
  <c r="L327" i="5" s="1"/>
  <c r="G329" i="5"/>
  <c r="G327" i="5" s="1"/>
  <c r="L326" i="5"/>
  <c r="G326" i="5"/>
  <c r="M323" i="5"/>
  <c r="M319" i="5"/>
  <c r="M315" i="5"/>
  <c r="L315" i="5"/>
  <c r="G315" i="5"/>
  <c r="L310" i="5"/>
  <c r="M306" i="5"/>
  <c r="L306" i="5"/>
  <c r="G306" i="5"/>
  <c r="L302" i="5"/>
  <c r="L293" i="5"/>
  <c r="L289" i="5"/>
  <c r="G289" i="5"/>
  <c r="L285" i="5"/>
  <c r="L281" i="5"/>
  <c r="G281" i="5"/>
  <c r="L276" i="5"/>
  <c r="M276" i="5"/>
  <c r="L268" i="5"/>
  <c r="G268" i="5"/>
  <c r="M259" i="5"/>
  <c r="L259" i="5"/>
  <c r="G262" i="5"/>
  <c r="L260" i="5"/>
  <c r="G260" i="5"/>
  <c r="G259" i="5"/>
  <c r="M257" i="5"/>
  <c r="L257" i="5"/>
  <c r="G257" i="5"/>
  <c r="G250" i="5"/>
  <c r="G248" i="5"/>
  <c r="G246" i="5" s="1"/>
  <c r="L245" i="5"/>
  <c r="G245" i="5"/>
  <c r="L243" i="5"/>
  <c r="G243" i="5"/>
  <c r="L239" i="5"/>
  <c r="G239" i="5"/>
  <c r="L237" i="5"/>
  <c r="G237" i="5"/>
  <c r="L236" i="5"/>
  <c r="G236" i="5"/>
  <c r="L234" i="5"/>
  <c r="G234" i="5"/>
  <c r="L228" i="5"/>
  <c r="G228" i="5"/>
  <c r="L225" i="5"/>
  <c r="G225" i="5"/>
  <c r="L221" i="5"/>
  <c r="L217" i="5"/>
  <c r="G217" i="5"/>
  <c r="G215" i="5"/>
  <c r="L214" i="5"/>
  <c r="G212" i="5"/>
  <c r="L209" i="5"/>
  <c r="L202" i="5" s="1"/>
  <c r="M206" i="5"/>
  <c r="M202" i="5" s="1"/>
  <c r="L204" i="5"/>
  <c r="G204" i="5"/>
  <c r="L203" i="5"/>
  <c r="M201" i="5"/>
  <c r="M11" i="5" s="1"/>
  <c r="L201" i="5"/>
  <c r="L199" i="5"/>
  <c r="M195" i="5"/>
  <c r="L192" i="5"/>
  <c r="L189" i="5"/>
  <c r="G189" i="5"/>
  <c r="L186" i="5"/>
  <c r="G186" i="5"/>
  <c r="M184" i="5"/>
  <c r="L182" i="5"/>
  <c r="G184" i="5"/>
  <c r="L174" i="5"/>
  <c r="L170" i="5"/>
  <c r="G170" i="5"/>
  <c r="L168" i="5"/>
  <c r="G168" i="5"/>
  <c r="L165" i="5"/>
  <c r="G165" i="5"/>
  <c r="L163" i="5"/>
  <c r="G163" i="5"/>
  <c r="L151" i="5"/>
  <c r="L149" i="5"/>
  <c r="G149" i="5"/>
  <c r="M148" i="5"/>
  <c r="L148" i="5"/>
  <c r="M146" i="5"/>
  <c r="L146" i="5"/>
  <c r="G146" i="5"/>
  <c r="L143" i="5"/>
  <c r="L141" i="5"/>
  <c r="L139" i="5" s="1"/>
  <c r="G141" i="5"/>
  <c r="G140" i="5"/>
  <c r="G138" i="5"/>
  <c r="L135" i="5"/>
  <c r="G135" i="5"/>
  <c r="L131" i="5"/>
  <c r="G131" i="5"/>
  <c r="G127" i="5"/>
  <c r="M123" i="5"/>
  <c r="M110" i="5" s="1"/>
  <c r="L121" i="5"/>
  <c r="G119" i="5"/>
  <c r="F119" i="5"/>
  <c r="E119" i="5"/>
  <c r="D119" i="5"/>
  <c r="C119" i="5"/>
  <c r="B119" i="5"/>
  <c r="L118" i="5"/>
  <c r="F118" i="5"/>
  <c r="E118" i="5"/>
  <c r="D118" i="5"/>
  <c r="C118" i="5"/>
  <c r="B118" i="5"/>
  <c r="O117" i="5"/>
  <c r="L117" i="5"/>
  <c r="G117" i="5"/>
  <c r="F117" i="5"/>
  <c r="E117" i="5"/>
  <c r="D117" i="5"/>
  <c r="C117" i="5"/>
  <c r="B117" i="5"/>
  <c r="L115" i="5"/>
  <c r="G115" i="5"/>
  <c r="G118" i="5" s="1"/>
  <c r="M113" i="5"/>
  <c r="L113" i="5"/>
  <c r="G113" i="5"/>
  <c r="M112" i="5"/>
  <c r="G103" i="5"/>
  <c r="G99" i="5"/>
  <c r="L97" i="5"/>
  <c r="G97" i="5"/>
  <c r="L96" i="5"/>
  <c r="G96" i="5"/>
  <c r="L94" i="5"/>
  <c r="G94" i="5"/>
  <c r="M87" i="5"/>
  <c r="L87" i="5"/>
  <c r="M83" i="5"/>
  <c r="M79" i="5"/>
  <c r="L75" i="5"/>
  <c r="X68" i="5"/>
  <c r="M62" i="5"/>
  <c r="L62" i="5"/>
  <c r="W220" i="6" s="1"/>
  <c r="W218" i="6" s="1"/>
  <c r="G62" i="5"/>
  <c r="M59" i="5"/>
  <c r="L59" i="5"/>
  <c r="G59" i="5"/>
  <c r="G54" i="5"/>
  <c r="G53" i="5"/>
  <c r="M50" i="5"/>
  <c r="L50" i="5"/>
  <c r="M47" i="5"/>
  <c r="G45" i="5"/>
  <c r="M34" i="5"/>
  <c r="M32" i="5"/>
  <c r="G30" i="5"/>
  <c r="M31" i="5"/>
  <c r="M29" i="5"/>
  <c r="G29" i="5"/>
  <c r="P283" i="6"/>
  <c r="P277" i="6"/>
  <c r="L262" i="5"/>
  <c r="M262" i="5"/>
  <c r="N282" i="6"/>
  <c r="M287" i="6"/>
  <c r="O85" i="13"/>
  <c r="P84" i="13"/>
  <c r="D85" i="13"/>
  <c r="D94" i="13" s="1"/>
  <c r="J84" i="13"/>
  <c r="H89" i="13"/>
  <c r="J83" i="13"/>
  <c r="I82" i="13"/>
  <c r="H82" i="13"/>
  <c r="H88" i="13"/>
  <c r="J88" i="13" s="1"/>
  <c r="G82" i="13"/>
  <c r="F82" i="13"/>
  <c r="E82" i="13"/>
  <c r="D79" i="13"/>
  <c r="J78" i="13"/>
  <c r="J77" i="13"/>
  <c r="I72" i="13"/>
  <c r="H72" i="13"/>
  <c r="G72" i="13"/>
  <c r="F72" i="13"/>
  <c r="E72" i="13"/>
  <c r="J68" i="13"/>
  <c r="I65" i="13"/>
  <c r="I67" i="13" s="1"/>
  <c r="H65" i="13"/>
  <c r="H67" i="13"/>
  <c r="G65" i="13"/>
  <c r="G67" i="13" s="1"/>
  <c r="F65" i="13"/>
  <c r="E65" i="13"/>
  <c r="J65" i="13" s="1"/>
  <c r="K65" i="13" s="1"/>
  <c r="E66" i="13" s="1"/>
  <c r="J66" i="13" s="1"/>
  <c r="C63" i="13"/>
  <c r="H63" i="13" s="1"/>
  <c r="I62" i="13"/>
  <c r="H62" i="13"/>
  <c r="H64" i="13" s="1"/>
  <c r="H69" i="13" s="1"/>
  <c r="G62" i="13"/>
  <c r="G93" i="13" s="1"/>
  <c r="H93" i="13" s="1"/>
  <c r="I93" i="13" s="1"/>
  <c r="I94" i="13" s="1"/>
  <c r="F62" i="13"/>
  <c r="E62" i="13"/>
  <c r="E64" i="13" s="1"/>
  <c r="D62" i="13"/>
  <c r="J56" i="13"/>
  <c r="I56" i="13"/>
  <c r="H56" i="13"/>
  <c r="G56" i="13"/>
  <c r="F56" i="13"/>
  <c r="E56" i="13"/>
  <c r="D56" i="13"/>
  <c r="C56" i="13"/>
  <c r="B56" i="13"/>
  <c r="K56" i="13" s="1"/>
  <c r="J55" i="13"/>
  <c r="I55" i="13"/>
  <c r="H55" i="13"/>
  <c r="G55" i="13"/>
  <c r="F55" i="13"/>
  <c r="E55" i="13"/>
  <c r="D55" i="13"/>
  <c r="C55" i="13"/>
  <c r="B55" i="13"/>
  <c r="K55" i="13" s="1"/>
  <c r="K53" i="13"/>
  <c r="C52" i="13"/>
  <c r="B52" i="13"/>
  <c r="J51" i="13"/>
  <c r="I51" i="13"/>
  <c r="H51" i="13"/>
  <c r="G51" i="13"/>
  <c r="F51" i="13"/>
  <c r="E51" i="13"/>
  <c r="D51" i="13"/>
  <c r="C51" i="13"/>
  <c r="B51" i="13"/>
  <c r="E49" i="13"/>
  <c r="D49" i="13"/>
  <c r="C49" i="13"/>
  <c r="B49" i="13"/>
  <c r="J47" i="13"/>
  <c r="I47" i="13"/>
  <c r="H47" i="13"/>
  <c r="G47" i="13"/>
  <c r="F47" i="13"/>
  <c r="E47" i="13"/>
  <c r="D47" i="13"/>
  <c r="C47" i="13"/>
  <c r="B47" i="13"/>
  <c r="J46" i="13"/>
  <c r="I46" i="13"/>
  <c r="H46" i="13"/>
  <c r="G46" i="13"/>
  <c r="F46" i="13"/>
  <c r="E46" i="13"/>
  <c r="D46" i="13"/>
  <c r="C46" i="13"/>
  <c r="B46" i="13"/>
  <c r="J45" i="13"/>
  <c r="I45" i="13"/>
  <c r="H45" i="13"/>
  <c r="G45" i="13"/>
  <c r="F45" i="13"/>
  <c r="E45" i="13"/>
  <c r="D45" i="13"/>
  <c r="C45" i="13"/>
  <c r="B45" i="13"/>
  <c r="J44" i="13"/>
  <c r="I44" i="13"/>
  <c r="H44" i="13"/>
  <c r="G44" i="13"/>
  <c r="F44" i="13"/>
  <c r="E44" i="13"/>
  <c r="D44" i="13"/>
  <c r="C44" i="13"/>
  <c r="B44" i="13"/>
  <c r="J43" i="13"/>
  <c r="I43" i="13"/>
  <c r="H43" i="13"/>
  <c r="G43" i="13"/>
  <c r="F43" i="13"/>
  <c r="E43" i="13"/>
  <c r="D43" i="13"/>
  <c r="C43" i="13"/>
  <c r="B43" i="13"/>
  <c r="J42" i="13"/>
  <c r="I42" i="13"/>
  <c r="H42" i="13"/>
  <c r="G42" i="13"/>
  <c r="F42" i="13"/>
  <c r="E42" i="13"/>
  <c r="D42" i="13"/>
  <c r="C42" i="13"/>
  <c r="B42" i="13"/>
  <c r="J41" i="13"/>
  <c r="I41" i="13"/>
  <c r="H41" i="13"/>
  <c r="G41" i="13"/>
  <c r="F41" i="13"/>
  <c r="E41" i="13"/>
  <c r="D41" i="13"/>
  <c r="C41" i="13"/>
  <c r="B41" i="13"/>
  <c r="J40" i="13"/>
  <c r="I40" i="13"/>
  <c r="H40" i="13"/>
  <c r="G40" i="13"/>
  <c r="F40" i="13"/>
  <c r="E40" i="13"/>
  <c r="D40" i="13"/>
  <c r="C40" i="13"/>
  <c r="B40" i="13"/>
  <c r="J39" i="13"/>
  <c r="I39" i="13"/>
  <c r="H39" i="13"/>
  <c r="G39" i="13"/>
  <c r="F39" i="13"/>
  <c r="E39" i="13"/>
  <c r="D39" i="13"/>
  <c r="C39" i="13"/>
  <c r="B39" i="13"/>
  <c r="J38" i="13"/>
  <c r="I38" i="13"/>
  <c r="H38" i="13"/>
  <c r="G38" i="13"/>
  <c r="F38" i="13"/>
  <c r="E38" i="13"/>
  <c r="D38" i="13"/>
  <c r="C38" i="13"/>
  <c r="B38" i="13"/>
  <c r="J37" i="13"/>
  <c r="I37" i="13"/>
  <c r="H37" i="13"/>
  <c r="G37" i="13"/>
  <c r="F37" i="13"/>
  <c r="E37" i="13"/>
  <c r="D37" i="13"/>
  <c r="C37" i="13"/>
  <c r="B37" i="13"/>
  <c r="J36" i="13"/>
  <c r="I36" i="13"/>
  <c r="H36" i="13"/>
  <c r="G36" i="13"/>
  <c r="F36" i="13"/>
  <c r="E36" i="13"/>
  <c r="D36" i="13"/>
  <c r="C36" i="13"/>
  <c r="B36" i="13"/>
  <c r="D35" i="13"/>
  <c r="C35" i="13"/>
  <c r="J34" i="13"/>
  <c r="I34" i="13"/>
  <c r="H34" i="13"/>
  <c r="G34" i="13"/>
  <c r="F34" i="13"/>
  <c r="E34" i="13"/>
  <c r="D34" i="13"/>
  <c r="C34" i="13"/>
  <c r="B34" i="13"/>
  <c r="J33" i="13"/>
  <c r="I33" i="13"/>
  <c r="H33" i="13"/>
  <c r="G33" i="13"/>
  <c r="F33" i="13"/>
  <c r="E33" i="13"/>
  <c r="D33" i="13"/>
  <c r="C33" i="13"/>
  <c r="B33" i="13"/>
  <c r="J32" i="13"/>
  <c r="I32" i="13"/>
  <c r="H32" i="13"/>
  <c r="G32" i="13"/>
  <c r="F32" i="13"/>
  <c r="E32" i="13"/>
  <c r="D32" i="13"/>
  <c r="C32" i="13"/>
  <c r="B32" i="13"/>
  <c r="J31" i="13"/>
  <c r="I31" i="13"/>
  <c r="H31" i="13"/>
  <c r="G31" i="13"/>
  <c r="F31" i="13"/>
  <c r="E31" i="13"/>
  <c r="D31" i="13"/>
  <c r="C31" i="13"/>
  <c r="B31" i="13"/>
  <c r="J30" i="13"/>
  <c r="D30" i="13"/>
  <c r="C30" i="13"/>
  <c r="J29" i="13"/>
  <c r="I29" i="13"/>
  <c r="H29" i="13"/>
  <c r="G29" i="13"/>
  <c r="F29" i="13"/>
  <c r="E29" i="13"/>
  <c r="D29" i="13"/>
  <c r="C29" i="13"/>
  <c r="B29" i="13"/>
  <c r="J28" i="13"/>
  <c r="I28" i="13"/>
  <c r="H28" i="13"/>
  <c r="G28" i="13"/>
  <c r="F28" i="13"/>
  <c r="E28" i="13"/>
  <c r="D28" i="13"/>
  <c r="C28" i="13"/>
  <c r="B28" i="13"/>
  <c r="J27" i="13"/>
  <c r="I27" i="13"/>
  <c r="H27" i="13"/>
  <c r="G27" i="13"/>
  <c r="F27" i="13"/>
  <c r="E27" i="13"/>
  <c r="D27" i="13"/>
  <c r="C27" i="13"/>
  <c r="B27" i="13"/>
  <c r="J26" i="13"/>
  <c r="I26" i="13"/>
  <c r="H26" i="13"/>
  <c r="G26" i="13"/>
  <c r="F26" i="13"/>
  <c r="E26" i="13"/>
  <c r="D26" i="13"/>
  <c r="C26" i="13"/>
  <c r="B26" i="13"/>
  <c r="J24" i="13"/>
  <c r="I24" i="13"/>
  <c r="H24" i="13"/>
  <c r="G24" i="13"/>
  <c r="F24" i="13"/>
  <c r="E24" i="13"/>
  <c r="D24" i="13"/>
  <c r="C24" i="13"/>
  <c r="B24" i="13"/>
  <c r="J23" i="13"/>
  <c r="I23" i="13"/>
  <c r="H23" i="13"/>
  <c r="G23" i="13"/>
  <c r="F23" i="13"/>
  <c r="E23" i="13"/>
  <c r="D23" i="13"/>
  <c r="C23" i="13"/>
  <c r="B23" i="13"/>
  <c r="J22" i="13"/>
  <c r="I22" i="13"/>
  <c r="H22" i="13"/>
  <c r="G22" i="13"/>
  <c r="F22" i="13"/>
  <c r="E22" i="13"/>
  <c r="D22" i="13"/>
  <c r="C22" i="13"/>
  <c r="B22" i="13"/>
  <c r="J21" i="13"/>
  <c r="I21" i="13"/>
  <c r="H21" i="13"/>
  <c r="G21" i="13"/>
  <c r="F21" i="13"/>
  <c r="E21" i="13"/>
  <c r="D21" i="13"/>
  <c r="C21" i="13"/>
  <c r="B21" i="13"/>
  <c r="J20" i="13"/>
  <c r="I20" i="13"/>
  <c r="H20" i="13"/>
  <c r="G20" i="13"/>
  <c r="F20" i="13"/>
  <c r="E20" i="13"/>
  <c r="D20" i="13"/>
  <c r="C20" i="13"/>
  <c r="B20" i="13"/>
  <c r="J19" i="13"/>
  <c r="I19" i="13"/>
  <c r="H19" i="13"/>
  <c r="G19" i="13"/>
  <c r="F19" i="13"/>
  <c r="E19" i="13"/>
  <c r="D19" i="13"/>
  <c r="C19" i="13"/>
  <c r="B19" i="13"/>
  <c r="J18" i="13"/>
  <c r="I18" i="13"/>
  <c r="H18" i="13"/>
  <c r="G18" i="13"/>
  <c r="F18" i="13"/>
  <c r="E18" i="13"/>
  <c r="D18" i="13"/>
  <c r="C18" i="13"/>
  <c r="B18" i="13"/>
  <c r="J17" i="13"/>
  <c r="I17" i="13"/>
  <c r="H17" i="13"/>
  <c r="G17" i="13"/>
  <c r="F17" i="13"/>
  <c r="E17" i="13"/>
  <c r="D17" i="13"/>
  <c r="C17" i="13"/>
  <c r="B17" i="13"/>
  <c r="J16" i="13"/>
  <c r="I16" i="13"/>
  <c r="H16" i="13"/>
  <c r="G16" i="13"/>
  <c r="F16" i="13"/>
  <c r="E16" i="13"/>
  <c r="D16" i="13"/>
  <c r="C16" i="13"/>
  <c r="B16" i="13"/>
  <c r="J15" i="13"/>
  <c r="I15" i="13"/>
  <c r="H15" i="13"/>
  <c r="G15" i="13"/>
  <c r="F15" i="13"/>
  <c r="E15" i="13"/>
  <c r="D15" i="13"/>
  <c r="C15" i="13"/>
  <c r="B15" i="13"/>
  <c r="J13" i="13"/>
  <c r="I13" i="13"/>
  <c r="H13" i="13"/>
  <c r="G13" i="13"/>
  <c r="F13" i="13"/>
  <c r="E13" i="13"/>
  <c r="D13" i="13"/>
  <c r="C13" i="13"/>
  <c r="B13" i="13"/>
  <c r="J12" i="13"/>
  <c r="I12" i="13"/>
  <c r="H12" i="13"/>
  <c r="G12" i="13"/>
  <c r="F12" i="13"/>
  <c r="E12" i="13"/>
  <c r="D12" i="13"/>
  <c r="C12" i="13"/>
  <c r="B12" i="13"/>
  <c r="J11" i="13"/>
  <c r="I11" i="13"/>
  <c r="H11" i="13"/>
  <c r="G11" i="13"/>
  <c r="F11" i="13"/>
  <c r="E11" i="13"/>
  <c r="D11" i="13"/>
  <c r="C11" i="13"/>
  <c r="B11" i="13"/>
  <c r="J10" i="13"/>
  <c r="I10" i="13"/>
  <c r="H10" i="13"/>
  <c r="G10" i="13"/>
  <c r="F10" i="13"/>
  <c r="E10" i="13"/>
  <c r="D10" i="13"/>
  <c r="C10" i="13"/>
  <c r="B10" i="13"/>
  <c r="D9" i="13"/>
  <c r="C9" i="13"/>
  <c r="B9" i="13"/>
  <c r="J8" i="13"/>
  <c r="I8" i="13"/>
  <c r="H8" i="13"/>
  <c r="G8" i="13"/>
  <c r="F8" i="13"/>
  <c r="E8" i="13"/>
  <c r="D8" i="13"/>
  <c r="C8" i="13"/>
  <c r="B8" i="13"/>
  <c r="J7" i="13"/>
  <c r="I7" i="13"/>
  <c r="H7" i="13"/>
  <c r="G7" i="13"/>
  <c r="F7" i="13"/>
  <c r="E7" i="13"/>
  <c r="D7" i="13"/>
  <c r="C7" i="13"/>
  <c r="B7" i="13"/>
  <c r="J6" i="13"/>
  <c r="I6" i="13"/>
  <c r="H6" i="13"/>
  <c r="G6" i="13"/>
  <c r="F6" i="13"/>
  <c r="E6" i="13"/>
  <c r="D6" i="13"/>
  <c r="C6" i="13"/>
  <c r="B6" i="13"/>
  <c r="J5" i="13"/>
  <c r="I5" i="13"/>
  <c r="H5" i="13"/>
  <c r="G5" i="13"/>
  <c r="F5" i="13"/>
  <c r="E5" i="13"/>
  <c r="D5" i="13"/>
  <c r="C5" i="13"/>
  <c r="B5" i="13"/>
  <c r="P83" i="13"/>
  <c r="E88" i="13"/>
  <c r="I88" i="13"/>
  <c r="F88" i="13"/>
  <c r="P82" i="13"/>
  <c r="G88" i="13"/>
  <c r="E63" i="13"/>
  <c r="G63" i="13"/>
  <c r="G64" i="13" s="1"/>
  <c r="G69" i="13" s="1"/>
  <c r="I63" i="13"/>
  <c r="I64" i="13"/>
  <c r="I69" i="13" s="1"/>
  <c r="F67" i="13"/>
  <c r="E85" i="13"/>
  <c r="E94" i="13" s="1"/>
  <c r="G85" i="13"/>
  <c r="G94" i="13" s="1"/>
  <c r="I85" i="13"/>
  <c r="E89" i="13"/>
  <c r="G89" i="13"/>
  <c r="J89" i="13" s="1"/>
  <c r="I89" i="13"/>
  <c r="F63" i="13"/>
  <c r="F64" i="13" s="1"/>
  <c r="F69" i="13" s="1"/>
  <c r="J82" i="13"/>
  <c r="J85" i="13" s="1"/>
  <c r="F85" i="13"/>
  <c r="F94" i="13" s="1"/>
  <c r="H85" i="13"/>
  <c r="H94" i="13" s="1"/>
  <c r="F89" i="13"/>
  <c r="X679" i="6"/>
  <c r="W626" i="6"/>
  <c r="X626" i="6"/>
  <c r="X484" i="6"/>
  <c r="X482" i="6" s="1"/>
  <c r="X459" i="6"/>
  <c r="X425" i="6"/>
  <c r="X416" i="6"/>
  <c r="M508" i="6"/>
  <c r="Q508" i="6" s="1"/>
  <c r="M519" i="6"/>
  <c r="M522" i="6"/>
  <c r="Q522" i="6" s="1"/>
  <c r="M520" i="6"/>
  <c r="P520" i="6" s="1"/>
  <c r="M517" i="6"/>
  <c r="Q517" i="6" s="1"/>
  <c r="M516" i="6"/>
  <c r="Q516" i="6" s="1"/>
  <c r="M515" i="6"/>
  <c r="O515" i="6" s="1"/>
  <c r="M514" i="6"/>
  <c r="P514" i="6" s="1"/>
  <c r="M513" i="6"/>
  <c r="P513" i="6" s="1"/>
  <c r="M512" i="6"/>
  <c r="Q512" i="6" s="1"/>
  <c r="M511" i="6"/>
  <c r="P511" i="6" s="1"/>
  <c r="M510" i="6"/>
  <c r="O510" i="6" s="1"/>
  <c r="M509" i="6"/>
  <c r="Q509" i="6" s="1"/>
  <c r="M507" i="6"/>
  <c r="M506" i="6"/>
  <c r="P506" i="6" s="1"/>
  <c r="M505" i="6"/>
  <c r="O505" i="6" s="1"/>
  <c r="M504" i="6"/>
  <c r="Q504" i="6" s="1"/>
  <c r="M503" i="6"/>
  <c r="M502" i="6"/>
  <c r="Q502" i="6" s="1"/>
  <c r="M501" i="6"/>
  <c r="O501" i="6" s="1"/>
  <c r="M500" i="6"/>
  <c r="O500" i="6" s="1"/>
  <c r="M498" i="6"/>
  <c r="M497" i="6"/>
  <c r="P497" i="6" s="1"/>
  <c r="M496" i="6"/>
  <c r="O496" i="6" s="1"/>
  <c r="M495" i="6"/>
  <c r="M494" i="6"/>
  <c r="M493" i="6"/>
  <c r="Q493" i="6" s="1"/>
  <c r="M518" i="6"/>
  <c r="P518" i="6" s="1"/>
  <c r="M499" i="6"/>
  <c r="Q499" i="6" s="1"/>
  <c r="M619" i="6"/>
  <c r="M611" i="6"/>
  <c r="M607" i="6"/>
  <c r="M603" i="6"/>
  <c r="M601" i="6"/>
  <c r="M597" i="6"/>
  <c r="N597" i="6"/>
  <c r="P597" i="6" s="1"/>
  <c r="M565" i="6"/>
  <c r="M561" i="6"/>
  <c r="M557" i="6"/>
  <c r="M549" i="6"/>
  <c r="M547" i="6"/>
  <c r="M461" i="6"/>
  <c r="M459" i="6" s="1"/>
  <c r="Q497" i="6"/>
  <c r="N505" i="6"/>
  <c r="M380" i="6"/>
  <c r="Q380" i="6" s="1"/>
  <c r="N402" i="6"/>
  <c r="M383" i="6"/>
  <c r="N383" i="6" s="1"/>
  <c r="M382" i="6"/>
  <c r="P382" i="6" s="1"/>
  <c r="M381" i="6"/>
  <c r="O381" i="6" s="1"/>
  <c r="M379" i="6"/>
  <c r="Q379" i="6" s="1"/>
  <c r="M378" i="6"/>
  <c r="M377" i="6"/>
  <c r="P377" i="6" s="1"/>
  <c r="M376" i="6"/>
  <c r="P376" i="6" s="1"/>
  <c r="M374" i="6"/>
  <c r="O374" i="6" s="1"/>
  <c r="M372" i="6"/>
  <c r="M342" i="6"/>
  <c r="Q342" i="6"/>
  <c r="M288" i="6"/>
  <c r="Q288" i="6"/>
  <c r="M256" i="6"/>
  <c r="O329" i="6"/>
  <c r="P330" i="6"/>
  <c r="N326" i="6"/>
  <c r="P326" i="6"/>
  <c r="P303" i="6" s="1"/>
  <c r="P302" i="6" s="1"/>
  <c r="P301" i="6" s="1"/>
  <c r="N319" i="6"/>
  <c r="N313" i="6"/>
  <c r="P286" i="6"/>
  <c r="N285" i="6"/>
  <c r="N278" i="6"/>
  <c r="N269" i="6"/>
  <c r="N268" i="6"/>
  <c r="Q267" i="6"/>
  <c r="N258" i="6"/>
  <c r="O257" i="6"/>
  <c r="O241" i="6" s="1"/>
  <c r="O240" i="6" s="1"/>
  <c r="N256" i="6"/>
  <c r="N401" i="6"/>
  <c r="Q402" i="6"/>
  <c r="Q373" i="6"/>
  <c r="Q375" i="6"/>
  <c r="Q384" i="6"/>
  <c r="Q385" i="6"/>
  <c r="Q386" i="6"/>
  <c r="Q387" i="6"/>
  <c r="Q388" i="6"/>
  <c r="Q389" i="6"/>
  <c r="Q390" i="6"/>
  <c r="Q391" i="6"/>
  <c r="Q392" i="6"/>
  <c r="Q393" i="6"/>
  <c r="Q394" i="6"/>
  <c r="Q395" i="6"/>
  <c r="Q396" i="6"/>
  <c r="Q397" i="6"/>
  <c r="Q398" i="6"/>
  <c r="Q399" i="6"/>
  <c r="Q400" i="6"/>
  <c r="Q401" i="6"/>
  <c r="P373" i="6"/>
  <c r="P375" i="6"/>
  <c r="P384" i="6"/>
  <c r="P385" i="6"/>
  <c r="P386" i="6"/>
  <c r="P387" i="6"/>
  <c r="P388" i="6"/>
  <c r="P389" i="6"/>
  <c r="P390" i="6"/>
  <c r="P391" i="6"/>
  <c r="P392" i="6"/>
  <c r="P393" i="6"/>
  <c r="P394" i="6"/>
  <c r="P395" i="6"/>
  <c r="P396" i="6"/>
  <c r="P397" i="6"/>
  <c r="P398" i="6"/>
  <c r="P399" i="6"/>
  <c r="P400" i="6"/>
  <c r="P401" i="6"/>
  <c r="O373" i="6"/>
  <c r="O375" i="6"/>
  <c r="O384" i="6"/>
  <c r="O385" i="6"/>
  <c r="O386" i="6"/>
  <c r="O387" i="6"/>
  <c r="O388" i="6"/>
  <c r="O389" i="6"/>
  <c r="O390" i="6"/>
  <c r="O391" i="6"/>
  <c r="O392" i="6"/>
  <c r="O393" i="6"/>
  <c r="O394" i="6"/>
  <c r="O395" i="6"/>
  <c r="O396" i="6"/>
  <c r="O397" i="6"/>
  <c r="O398" i="6"/>
  <c r="O399" i="6"/>
  <c r="O400" i="6"/>
  <c r="O401" i="6"/>
  <c r="N373" i="6"/>
  <c r="N375" i="6"/>
  <c r="N384" i="6"/>
  <c r="N385" i="6"/>
  <c r="N386" i="6"/>
  <c r="N387" i="6"/>
  <c r="N388" i="6"/>
  <c r="N389" i="6"/>
  <c r="N390" i="6"/>
  <c r="N391" i="6"/>
  <c r="N392" i="6"/>
  <c r="N393" i="6"/>
  <c r="N394" i="6"/>
  <c r="N395" i="6"/>
  <c r="N396" i="6"/>
  <c r="N397" i="6"/>
  <c r="N398" i="6"/>
  <c r="N399" i="6"/>
  <c r="N400" i="6"/>
  <c r="N459" i="6"/>
  <c r="O459" i="6"/>
  <c r="P459" i="6"/>
  <c r="Q459" i="6"/>
  <c r="N416" i="6"/>
  <c r="O416" i="6"/>
  <c r="P416" i="6"/>
  <c r="Q416" i="6"/>
  <c r="N425" i="6"/>
  <c r="O425" i="6"/>
  <c r="P425" i="6"/>
  <c r="Q425" i="6"/>
  <c r="N433" i="6"/>
  <c r="O433" i="6"/>
  <c r="P433" i="6"/>
  <c r="Q433" i="6"/>
  <c r="O626" i="6"/>
  <c r="Q626" i="6"/>
  <c r="P545" i="6"/>
  <c r="Q545" i="6" s="1"/>
  <c r="P547" i="6"/>
  <c r="P549" i="6"/>
  <c r="P551" i="6"/>
  <c r="Q551" i="6" s="1"/>
  <c r="P553" i="6"/>
  <c r="Q553" i="6" s="1"/>
  <c r="P555" i="6"/>
  <c r="Q555" i="6" s="1"/>
  <c r="P557" i="6"/>
  <c r="P559" i="6"/>
  <c r="Q559" i="6" s="1"/>
  <c r="P561" i="6"/>
  <c r="P565" i="6"/>
  <c r="P567" i="6"/>
  <c r="Q567" i="6" s="1"/>
  <c r="P569" i="6"/>
  <c r="Q569" i="6" s="1"/>
  <c r="P571" i="6"/>
  <c r="Q571" i="6" s="1"/>
  <c r="P573" i="6"/>
  <c r="Q573" i="6" s="1"/>
  <c r="P575" i="6"/>
  <c r="Q575" i="6" s="1"/>
  <c r="P577" i="6"/>
  <c r="Q577" i="6" s="1"/>
  <c r="P579" i="6"/>
  <c r="Q579" i="6" s="1"/>
  <c r="P581" i="6"/>
  <c r="P583" i="6"/>
  <c r="Q583" i="6" s="1"/>
  <c r="P587" i="6"/>
  <c r="Q587" i="6" s="1"/>
  <c r="P589" i="6"/>
  <c r="Q589" i="6" s="1"/>
  <c r="P591" i="6"/>
  <c r="Q591" i="6" s="1"/>
  <c r="P593" i="6"/>
  <c r="Q593" i="6" s="1"/>
  <c r="P595" i="6"/>
  <c r="Q595" i="6" s="1"/>
  <c r="P599" i="6"/>
  <c r="Q599" i="6" s="1"/>
  <c r="P601" i="6"/>
  <c r="P603" i="6"/>
  <c r="P607" i="6"/>
  <c r="P611" i="6"/>
  <c r="P615" i="6"/>
  <c r="Q615" i="6" s="1"/>
  <c r="P619" i="6"/>
  <c r="P543" i="6"/>
  <c r="Q543" i="6" s="1"/>
  <c r="P539" i="6"/>
  <c r="P645" i="6" s="1"/>
  <c r="P678" i="6" s="1"/>
  <c r="N539" i="6"/>
  <c r="N645" i="6" s="1"/>
  <c r="N678" i="6" s="1"/>
  <c r="O539" i="6"/>
  <c r="O645" i="6" s="1"/>
  <c r="O678" i="6" s="1"/>
  <c r="L679" i="6"/>
  <c r="K679" i="6"/>
  <c r="J679" i="6"/>
  <c r="I679" i="6"/>
  <c r="H679" i="6"/>
  <c r="R674" i="6"/>
  <c r="M674" i="6"/>
  <c r="H674" i="6"/>
  <c r="R671" i="6"/>
  <c r="M671" i="6"/>
  <c r="H671" i="6"/>
  <c r="R662" i="6"/>
  <c r="M662" i="6"/>
  <c r="H662" i="6"/>
  <c r="R653" i="6"/>
  <c r="M653" i="6"/>
  <c r="H653" i="6"/>
  <c r="K645" i="6"/>
  <c r="K678" i="6" s="1"/>
  <c r="J645" i="6"/>
  <c r="J678" i="6" s="1"/>
  <c r="H645" i="6"/>
  <c r="H678" i="6" s="1"/>
  <c r="I641" i="6"/>
  <c r="L628" i="6"/>
  <c r="H628" i="6" s="1"/>
  <c r="H626" i="6" s="1"/>
  <c r="R626" i="6"/>
  <c r="M626" i="6"/>
  <c r="K626" i="6"/>
  <c r="J626" i="6"/>
  <c r="I626" i="6"/>
  <c r="H619" i="6"/>
  <c r="H615" i="6"/>
  <c r="L615" i="6" s="1"/>
  <c r="H611" i="6"/>
  <c r="L611" i="6" s="1"/>
  <c r="K607" i="6"/>
  <c r="J607" i="6"/>
  <c r="I607" i="6"/>
  <c r="H607" i="6"/>
  <c r="L603" i="6"/>
  <c r="J601" i="6"/>
  <c r="L601" i="6" s="1"/>
  <c r="K599" i="6"/>
  <c r="L599" i="6" s="1"/>
  <c r="H597" i="6"/>
  <c r="L597" i="6" s="1"/>
  <c r="K595" i="6"/>
  <c r="L595" i="6" s="1"/>
  <c r="J593" i="6"/>
  <c r="I593" i="6"/>
  <c r="L591" i="6"/>
  <c r="K589" i="6"/>
  <c r="H589" i="6"/>
  <c r="K587" i="6"/>
  <c r="L587" i="6" s="1"/>
  <c r="L583" i="6"/>
  <c r="M581" i="6"/>
  <c r="K581" i="6"/>
  <c r="L581" i="6" s="1"/>
  <c r="K579" i="6"/>
  <c r="H579" i="6"/>
  <c r="L577" i="6"/>
  <c r="K575" i="6"/>
  <c r="J575" i="6"/>
  <c r="K573" i="6"/>
  <c r="L573" i="6" s="1"/>
  <c r="J571" i="6"/>
  <c r="L571" i="6" s="1"/>
  <c r="L569" i="6"/>
  <c r="L567" i="6"/>
  <c r="H565" i="6"/>
  <c r="L565" i="6" s="1"/>
  <c r="H561" i="6"/>
  <c r="L561" i="6" s="1"/>
  <c r="L559" i="6"/>
  <c r="H557" i="6"/>
  <c r="L557" i="6" s="1"/>
  <c r="L555" i="6"/>
  <c r="L553" i="6"/>
  <c r="J551" i="6"/>
  <c r="L551" i="6" s="1"/>
  <c r="J549" i="6"/>
  <c r="H549" i="6"/>
  <c r="K547" i="6"/>
  <c r="I547" i="6"/>
  <c r="L545" i="6"/>
  <c r="J543" i="6"/>
  <c r="L543" i="6" s="1"/>
  <c r="I539" i="6"/>
  <c r="I535" i="6" s="1"/>
  <c r="L522" i="6"/>
  <c r="K522" i="6"/>
  <c r="J522" i="6"/>
  <c r="I522" i="6"/>
  <c r="L521" i="6"/>
  <c r="K521" i="6"/>
  <c r="J521" i="6"/>
  <c r="I521" i="6"/>
  <c r="L520" i="6"/>
  <c r="K520" i="6"/>
  <c r="J520" i="6"/>
  <c r="I520" i="6"/>
  <c r="L519" i="6"/>
  <c r="K519" i="6"/>
  <c r="J519" i="6"/>
  <c r="I519" i="6"/>
  <c r="L518" i="6"/>
  <c r="K518" i="6"/>
  <c r="J518" i="6"/>
  <c r="I518" i="6"/>
  <c r="L517" i="6"/>
  <c r="K517" i="6"/>
  <c r="J517" i="6"/>
  <c r="I517" i="6"/>
  <c r="L516" i="6"/>
  <c r="K516" i="6"/>
  <c r="J516" i="6"/>
  <c r="I516" i="6"/>
  <c r="L515" i="6"/>
  <c r="K515" i="6"/>
  <c r="J515" i="6"/>
  <c r="I515" i="6"/>
  <c r="L514" i="6"/>
  <c r="K514" i="6"/>
  <c r="J514" i="6"/>
  <c r="I514" i="6"/>
  <c r="L513" i="6"/>
  <c r="K513" i="6"/>
  <c r="J513" i="6"/>
  <c r="I513" i="6"/>
  <c r="L512" i="6"/>
  <c r="K512" i="6"/>
  <c r="J512" i="6"/>
  <c r="I512" i="6"/>
  <c r="L511" i="6"/>
  <c r="K511" i="6"/>
  <c r="J511" i="6"/>
  <c r="I511" i="6"/>
  <c r="L510" i="6"/>
  <c r="K510" i="6"/>
  <c r="J510" i="6"/>
  <c r="I510" i="6"/>
  <c r="L509" i="6"/>
  <c r="K509" i="6"/>
  <c r="J509" i="6"/>
  <c r="I509" i="6"/>
  <c r="L508" i="6"/>
  <c r="K508" i="6"/>
  <c r="J508" i="6"/>
  <c r="I508" i="6"/>
  <c r="L507" i="6"/>
  <c r="K507" i="6"/>
  <c r="J507" i="6"/>
  <c r="I507" i="6"/>
  <c r="L506" i="6"/>
  <c r="K506" i="6"/>
  <c r="J506" i="6"/>
  <c r="I506" i="6"/>
  <c r="L505" i="6"/>
  <c r="K505" i="6"/>
  <c r="J505" i="6"/>
  <c r="I505" i="6"/>
  <c r="L504" i="6"/>
  <c r="K504" i="6"/>
  <c r="J504" i="6"/>
  <c r="I504" i="6"/>
  <c r="L503" i="6"/>
  <c r="K503" i="6"/>
  <c r="J503" i="6"/>
  <c r="I503" i="6"/>
  <c r="L502" i="6"/>
  <c r="K502" i="6"/>
  <c r="J502" i="6"/>
  <c r="I502" i="6"/>
  <c r="L501" i="6"/>
  <c r="K501" i="6"/>
  <c r="J501" i="6"/>
  <c r="I501" i="6"/>
  <c r="L500" i="6"/>
  <c r="K500" i="6"/>
  <c r="J500" i="6"/>
  <c r="I500" i="6"/>
  <c r="L499" i="6"/>
  <c r="K499" i="6"/>
  <c r="J499" i="6"/>
  <c r="I499" i="6"/>
  <c r="L498" i="6"/>
  <c r="K498" i="6"/>
  <c r="J498" i="6"/>
  <c r="I498" i="6"/>
  <c r="L497" i="6"/>
  <c r="K497" i="6"/>
  <c r="J497" i="6"/>
  <c r="I497" i="6"/>
  <c r="L496" i="6"/>
  <c r="K496" i="6"/>
  <c r="J496" i="6"/>
  <c r="I496" i="6"/>
  <c r="L495" i="6"/>
  <c r="K495" i="6"/>
  <c r="J495" i="6"/>
  <c r="I495" i="6"/>
  <c r="L494" i="6"/>
  <c r="K494" i="6"/>
  <c r="J494" i="6"/>
  <c r="I494" i="6"/>
  <c r="L493" i="6"/>
  <c r="K493" i="6"/>
  <c r="J493" i="6"/>
  <c r="I493" i="6"/>
  <c r="W484" i="6"/>
  <c r="W482" i="6" s="1"/>
  <c r="H484" i="6"/>
  <c r="H482" i="6" s="1"/>
  <c r="H461" i="6"/>
  <c r="H459" i="6" s="1"/>
  <c r="W459" i="6"/>
  <c r="L459" i="6"/>
  <c r="K459" i="6"/>
  <c r="J459" i="6"/>
  <c r="I459" i="6"/>
  <c r="W433" i="6"/>
  <c r="M433" i="6"/>
  <c r="L433" i="6"/>
  <c r="K433" i="6"/>
  <c r="J433" i="6"/>
  <c r="I433" i="6"/>
  <c r="H433" i="6"/>
  <c r="M427" i="6"/>
  <c r="M425" i="6" s="1"/>
  <c r="H427" i="6"/>
  <c r="H425" i="6" s="1"/>
  <c r="W425" i="6"/>
  <c r="L425" i="6"/>
  <c r="K425" i="6"/>
  <c r="J425" i="6"/>
  <c r="I425" i="6"/>
  <c r="H418" i="6"/>
  <c r="H416" i="6" s="1"/>
  <c r="W416" i="6"/>
  <c r="M416" i="6"/>
  <c r="L416" i="6"/>
  <c r="K416" i="6"/>
  <c r="J416" i="6"/>
  <c r="I416" i="6"/>
  <c r="H402" i="6"/>
  <c r="H401" i="6"/>
  <c r="L401" i="6" s="1"/>
  <c r="H400" i="6"/>
  <c r="L400" i="6" s="1"/>
  <c r="H399" i="6"/>
  <c r="L399" i="6" s="1"/>
  <c r="L398" i="6"/>
  <c r="H397" i="6"/>
  <c r="L397" i="6" s="1"/>
  <c r="H396" i="6"/>
  <c r="L396" i="6" s="1"/>
  <c r="H395" i="6"/>
  <c r="L395" i="6" s="1"/>
  <c r="H394" i="6"/>
  <c r="L394" i="6" s="1"/>
  <c r="H393" i="6"/>
  <c r="L393" i="6" s="1"/>
  <c r="H392" i="6"/>
  <c r="L392" i="6" s="1"/>
  <c r="H391" i="6"/>
  <c r="L391" i="6" s="1"/>
  <c r="H390" i="6"/>
  <c r="L390" i="6" s="1"/>
  <c r="L389" i="6"/>
  <c r="H388" i="6"/>
  <c r="L388" i="6" s="1"/>
  <c r="H387" i="6"/>
  <c r="L387" i="6" s="1"/>
  <c r="H386" i="6"/>
  <c r="L386" i="6" s="1"/>
  <c r="H385" i="6"/>
  <c r="L385" i="6" s="1"/>
  <c r="H384" i="6"/>
  <c r="L384" i="6" s="1"/>
  <c r="H383" i="6"/>
  <c r="L383" i="6" s="1"/>
  <c r="H382" i="6"/>
  <c r="L382" i="6" s="1"/>
  <c r="H381" i="6"/>
  <c r="L381" i="6" s="1"/>
  <c r="H380" i="6"/>
  <c r="L380" i="6" s="1"/>
  <c r="H379" i="6"/>
  <c r="L379" i="6" s="1"/>
  <c r="L378" i="6"/>
  <c r="H377" i="6"/>
  <c r="L377" i="6" s="1"/>
  <c r="H376" i="6"/>
  <c r="L376" i="6" s="1"/>
  <c r="H375" i="6"/>
  <c r="L375" i="6" s="1"/>
  <c r="H374" i="6"/>
  <c r="L374" i="6" s="1"/>
  <c r="H373" i="6"/>
  <c r="L373" i="6" s="1"/>
  <c r="H372" i="6"/>
  <c r="L342" i="6"/>
  <c r="K342" i="6"/>
  <c r="J342" i="6"/>
  <c r="I342" i="6"/>
  <c r="H342" i="6" s="1"/>
  <c r="H339" i="6"/>
  <c r="H338" i="6"/>
  <c r="H337" i="6"/>
  <c r="H336" i="6"/>
  <c r="H332" i="6"/>
  <c r="L288" i="6"/>
  <c r="J288" i="6"/>
  <c r="I288" i="6"/>
  <c r="H288" i="6" s="1"/>
  <c r="L234" i="6"/>
  <c r="L641" i="6" s="1"/>
  <c r="H234" i="6"/>
  <c r="H641" i="6" s="1"/>
  <c r="W679" i="6"/>
  <c r="H222" i="6"/>
  <c r="J535" i="6"/>
  <c r="K535" i="6"/>
  <c r="H535" i="6"/>
  <c r="M539" i="6"/>
  <c r="M333" i="6"/>
  <c r="M329" i="6"/>
  <c r="M320" i="6"/>
  <c r="M319" i="6"/>
  <c r="M313" i="6"/>
  <c r="M267" i="6"/>
  <c r="M258" i="6"/>
  <c r="I255" i="6"/>
  <c r="H255" i="6" s="1"/>
  <c r="J255" i="6"/>
  <c r="L255" i="6"/>
  <c r="K255" i="6"/>
  <c r="I256" i="6"/>
  <c r="H256" i="6" s="1"/>
  <c r="J256" i="6"/>
  <c r="K256" i="6"/>
  <c r="L256" i="6"/>
  <c r="I257" i="6"/>
  <c r="H257" i="6" s="1"/>
  <c r="J257" i="6"/>
  <c r="K257" i="6"/>
  <c r="L257" i="6"/>
  <c r="I258" i="6"/>
  <c r="H258" i="6" s="1"/>
  <c r="J258" i="6"/>
  <c r="L258" i="6"/>
  <c r="I259" i="6"/>
  <c r="H259" i="6" s="1"/>
  <c r="J259" i="6"/>
  <c r="K259" i="6"/>
  <c r="L259" i="6"/>
  <c r="I260" i="6"/>
  <c r="H260" i="6" s="1"/>
  <c r="J260" i="6"/>
  <c r="K260" i="6"/>
  <c r="L260" i="6"/>
  <c r="I261" i="6"/>
  <c r="H261" i="6" s="1"/>
  <c r="J261" i="6"/>
  <c r="K261" i="6"/>
  <c r="L261" i="6"/>
  <c r="I263" i="6"/>
  <c r="H263" i="6" s="1"/>
  <c r="J263" i="6"/>
  <c r="L263" i="6"/>
  <c r="K263" i="6"/>
  <c r="I264" i="6"/>
  <c r="H264" i="6" s="1"/>
  <c r="J264" i="6"/>
  <c r="K264" i="6"/>
  <c r="L264" i="6"/>
  <c r="I265" i="6"/>
  <c r="H265" i="6" s="1"/>
  <c r="J265" i="6"/>
  <c r="K265" i="6"/>
  <c r="L265" i="6"/>
  <c r="I266" i="6"/>
  <c r="H266" i="6" s="1"/>
  <c r="J266" i="6"/>
  <c r="K266" i="6"/>
  <c r="L266" i="6"/>
  <c r="I267" i="6"/>
  <c r="H267" i="6" s="1"/>
  <c r="J267" i="6"/>
  <c r="K267" i="6"/>
  <c r="L267" i="6"/>
  <c r="I268" i="6"/>
  <c r="H268" i="6" s="1"/>
  <c r="K268" i="6"/>
  <c r="L268" i="6"/>
  <c r="I269" i="6"/>
  <c r="H269" i="6" s="1"/>
  <c r="J269" i="6"/>
  <c r="L269" i="6"/>
  <c r="K269" i="6"/>
  <c r="I270" i="6"/>
  <c r="H270" i="6" s="1"/>
  <c r="J270" i="6"/>
  <c r="K270" i="6"/>
  <c r="L270" i="6"/>
  <c r="I272" i="6"/>
  <c r="H272" i="6" s="1"/>
  <c r="J272" i="6"/>
  <c r="K272" i="6"/>
  <c r="L272" i="6"/>
  <c r="I273" i="6"/>
  <c r="H273" i="6" s="1"/>
  <c r="J273" i="6"/>
  <c r="K273" i="6"/>
  <c r="L273" i="6"/>
  <c r="I276" i="6"/>
  <c r="H276" i="6" s="1"/>
  <c r="J276" i="6"/>
  <c r="L276" i="6"/>
  <c r="K276" i="6"/>
  <c r="I277" i="6"/>
  <c r="H277" i="6" s="1"/>
  <c r="J277" i="6"/>
  <c r="K277" i="6"/>
  <c r="L277" i="6"/>
  <c r="I278" i="6"/>
  <c r="H278" i="6" s="1"/>
  <c r="J278" i="6"/>
  <c r="L278" i="6"/>
  <c r="K278" i="6"/>
  <c r="I279" i="6"/>
  <c r="H279" i="6" s="1"/>
  <c r="J279" i="6"/>
  <c r="K279" i="6"/>
  <c r="L279" i="6"/>
  <c r="I282" i="6"/>
  <c r="H282" i="6" s="1"/>
  <c r="J282" i="6"/>
  <c r="K282" i="6"/>
  <c r="L282" i="6"/>
  <c r="I283" i="6"/>
  <c r="H283" i="6" s="1"/>
  <c r="J283" i="6"/>
  <c r="L283" i="6"/>
  <c r="K283" i="6"/>
  <c r="I284" i="6"/>
  <c r="H284" i="6" s="1"/>
  <c r="J284" i="6"/>
  <c r="L284" i="6"/>
  <c r="K284" i="6"/>
  <c r="I285" i="6"/>
  <c r="H285" i="6" s="1"/>
  <c r="J285" i="6"/>
  <c r="K285" i="6"/>
  <c r="L285" i="6"/>
  <c r="I286" i="6"/>
  <c r="H286" i="6" s="1"/>
  <c r="J286" i="6"/>
  <c r="K286" i="6"/>
  <c r="L286" i="6"/>
  <c r="I287" i="6"/>
  <c r="H287" i="6" s="1"/>
  <c r="J287" i="6"/>
  <c r="K287" i="6"/>
  <c r="L287" i="6"/>
  <c r="I313" i="6"/>
  <c r="H313" i="6" s="1"/>
  <c r="J313" i="6"/>
  <c r="K313" i="6"/>
  <c r="L313" i="6"/>
  <c r="I314" i="6"/>
  <c r="J314" i="6"/>
  <c r="J303" i="6" s="1"/>
  <c r="J302" i="6" s="1"/>
  <c r="J301" i="6" s="1"/>
  <c r="J295" i="6" s="1"/>
  <c r="J294" i="6" s="1"/>
  <c r="J293" i="6" s="1"/>
  <c r="K314" i="6"/>
  <c r="K303" i="6" s="1"/>
  <c r="K302" i="6" s="1"/>
  <c r="K301" i="6" s="1"/>
  <c r="K295" i="6" s="1"/>
  <c r="K294" i="6" s="1"/>
  <c r="K293" i="6" s="1"/>
  <c r="L314" i="6"/>
  <c r="L303" i="6" s="1"/>
  <c r="L302" i="6" s="1"/>
  <c r="L301" i="6" s="1"/>
  <c r="L295" i="6" s="1"/>
  <c r="L294" i="6" s="1"/>
  <c r="L293" i="6" s="1"/>
  <c r="I315" i="6"/>
  <c r="H315" i="6" s="1"/>
  <c r="J315" i="6"/>
  <c r="K315" i="6"/>
  <c r="L315" i="6"/>
  <c r="I316" i="6"/>
  <c r="H316" i="6" s="1"/>
  <c r="J316" i="6"/>
  <c r="K316" i="6"/>
  <c r="L316" i="6"/>
  <c r="I319" i="6"/>
  <c r="H319" i="6" s="1"/>
  <c r="J319" i="6"/>
  <c r="L319" i="6"/>
  <c r="K319" i="6"/>
  <c r="I320" i="6"/>
  <c r="H320" i="6" s="1"/>
  <c r="J320" i="6"/>
  <c r="K320" i="6"/>
  <c r="L320" i="6"/>
  <c r="I321" i="6"/>
  <c r="H321" i="6" s="1"/>
  <c r="J321" i="6"/>
  <c r="K321" i="6"/>
  <c r="L321" i="6"/>
  <c r="I322" i="6"/>
  <c r="H322" i="6" s="1"/>
  <c r="J322" i="6"/>
  <c r="K322" i="6"/>
  <c r="L322" i="6"/>
  <c r="I323" i="6"/>
  <c r="H323" i="6" s="1"/>
  <c r="J323" i="6"/>
  <c r="K323" i="6"/>
  <c r="L323" i="6"/>
  <c r="I324" i="6"/>
  <c r="H324" i="6" s="1"/>
  <c r="J324" i="6"/>
  <c r="K324" i="6"/>
  <c r="L324" i="6"/>
  <c r="I325" i="6"/>
  <c r="H325" i="6" s="1"/>
  <c r="J325" i="6"/>
  <c r="K325" i="6"/>
  <c r="L325" i="6"/>
  <c r="I326" i="6"/>
  <c r="H326" i="6" s="1"/>
  <c r="J326" i="6"/>
  <c r="K326" i="6"/>
  <c r="L326" i="6"/>
  <c r="I329" i="6"/>
  <c r="H329" i="6" s="1"/>
  <c r="J329" i="6"/>
  <c r="K329" i="6"/>
  <c r="L329" i="6"/>
  <c r="I330" i="6"/>
  <c r="H330" i="6" s="1"/>
  <c r="J330" i="6"/>
  <c r="K330" i="6"/>
  <c r="L330" i="6"/>
  <c r="I331" i="6"/>
  <c r="H331" i="6" s="1"/>
  <c r="J331" i="6"/>
  <c r="K331" i="6"/>
  <c r="L331" i="6"/>
  <c r="I333" i="6"/>
  <c r="H333" i="6" s="1"/>
  <c r="J333" i="6"/>
  <c r="K333" i="6"/>
  <c r="L333" i="6"/>
  <c r="I340" i="6"/>
  <c r="H340" i="6" s="1"/>
  <c r="J340" i="6"/>
  <c r="L340" i="6"/>
  <c r="K340" i="6"/>
  <c r="I341" i="6"/>
  <c r="H341" i="6" s="1"/>
  <c r="J341" i="6"/>
  <c r="K341" i="6"/>
  <c r="L341" i="6"/>
  <c r="K288" i="6"/>
  <c r="K271" i="6"/>
  <c r="J268" i="6"/>
  <c r="K258" i="6"/>
  <c r="L238" i="6"/>
  <c r="H238" i="6" s="1"/>
  <c r="L241" i="6"/>
  <c r="L240" i="6" s="1"/>
  <c r="I220" i="6"/>
  <c r="J242" i="6"/>
  <c r="J234" i="6" s="1"/>
  <c r="J641" i="6" s="1"/>
  <c r="L271" i="6"/>
  <c r="I262" i="6"/>
  <c r="H262" i="6" s="1"/>
  <c r="K242" i="6"/>
  <c r="K234" i="6" s="1"/>
  <c r="K641" i="6" s="1"/>
  <c r="I271" i="6"/>
  <c r="H271" i="6" s="1"/>
  <c r="K220" i="6"/>
  <c r="J262" i="6"/>
  <c r="J271" i="6"/>
  <c r="K262" i="6"/>
  <c r="L292" i="6"/>
  <c r="H292" i="6" s="1"/>
  <c r="L262" i="6"/>
  <c r="J220" i="6"/>
  <c r="Q539" i="6"/>
  <c r="Q645" i="6" s="1"/>
  <c r="Q678" i="6" s="1"/>
  <c r="AA403" i="6"/>
  <c r="AA401" i="6"/>
  <c r="S442" i="6"/>
  <c r="T442" i="6"/>
  <c r="U442" i="6"/>
  <c r="R444" i="6"/>
  <c r="AA402" i="6"/>
  <c r="K484" i="6" l="1"/>
  <c r="K482" i="6" s="1"/>
  <c r="I484" i="6"/>
  <c r="I482" i="6" s="1"/>
  <c r="W370" i="6"/>
  <c r="W369" i="6" s="1"/>
  <c r="W363" i="6"/>
  <c r="W233" i="6" s="1"/>
  <c r="X370" i="6"/>
  <c r="X369" i="6" s="1"/>
  <c r="X363" i="6"/>
  <c r="L775" i="5"/>
  <c r="L774" i="5" s="1"/>
  <c r="W50" i="6"/>
  <c r="L440" i="5"/>
  <c r="W43" i="6"/>
  <c r="L450" i="5"/>
  <c r="G772" i="5"/>
  <c r="G1059" i="5"/>
  <c r="G1058" i="5" s="1"/>
  <c r="M450" i="5"/>
  <c r="H314" i="6"/>
  <c r="H303" i="6" s="1"/>
  <c r="H302" i="6" s="1"/>
  <c r="H301" i="6" s="1"/>
  <c r="H295" i="6" s="1"/>
  <c r="H294" i="6" s="1"/>
  <c r="H293" i="6" s="1"/>
  <c r="I303" i="6"/>
  <c r="I302" i="6" s="1"/>
  <c r="I301" i="6" s="1"/>
  <c r="I295" i="6" s="1"/>
  <c r="I294" i="6" s="1"/>
  <c r="I293" i="6" s="1"/>
  <c r="I772" i="5"/>
  <c r="X22" i="6"/>
  <c r="X30" i="6" s="1"/>
  <c r="L15" i="5"/>
  <c r="G745" i="5"/>
  <c r="K447" i="5"/>
  <c r="R264" i="6"/>
  <c r="M451" i="5"/>
  <c r="I447" i="5"/>
  <c r="I440" i="5" s="1"/>
  <c r="I451" i="5"/>
  <c r="H451" i="5"/>
  <c r="H447" i="5"/>
  <c r="H440" i="5" s="1"/>
  <c r="M447" i="5"/>
  <c r="M46" i="5"/>
  <c r="M15" i="5"/>
  <c r="K20" i="5"/>
  <c r="J94" i="13"/>
  <c r="H86" i="13"/>
  <c r="D86" i="13"/>
  <c r="J86" i="13" s="1"/>
  <c r="I86" i="13"/>
  <c r="J64" i="13"/>
  <c r="G86" i="13"/>
  <c r="J63" i="13"/>
  <c r="J72" i="13"/>
  <c r="E67" i="13"/>
  <c r="J67" i="13" s="1"/>
  <c r="E86" i="13"/>
  <c r="F86" i="13"/>
  <c r="X59" i="6"/>
  <c r="P158" i="5"/>
  <c r="AA158" i="5"/>
  <c r="K158" i="5" s="1"/>
  <c r="P173" i="5"/>
  <c r="AA173" i="5"/>
  <c r="K16" i="5"/>
  <c r="K24" i="5" s="1"/>
  <c r="T221" i="6"/>
  <c r="T218" i="6" s="1"/>
  <c r="T226" i="6" s="1"/>
  <c r="I24" i="5"/>
  <c r="I22" i="5" s="1"/>
  <c r="X26" i="6"/>
  <c r="X34" i="6" s="1"/>
  <c r="X226" i="6" s="1"/>
  <c r="M24" i="5"/>
  <c r="P126" i="5"/>
  <c r="AA126" i="5"/>
  <c r="K166" i="5"/>
  <c r="W211" i="6"/>
  <c r="J484" i="6"/>
  <c r="J482" i="6" s="1"/>
  <c r="L637" i="5"/>
  <c r="L635" i="5" s="1"/>
  <c r="L639" i="5"/>
  <c r="H772" i="5"/>
  <c r="G776" i="5"/>
  <c r="R63" i="6" s="1"/>
  <c r="W59" i="6"/>
  <c r="S62" i="6"/>
  <c r="S61" i="6" s="1"/>
  <c r="T636" i="6"/>
  <c r="J774" i="5"/>
  <c r="J772" i="5"/>
  <c r="M775" i="5"/>
  <c r="X62" i="6" s="1"/>
  <c r="I774" i="5"/>
  <c r="I363" i="5"/>
  <c r="I15" i="5"/>
  <c r="I13" i="5" s="1"/>
  <c r="H363" i="5"/>
  <c r="H15" i="5"/>
  <c r="X63" i="6"/>
  <c r="K774" i="5"/>
  <c r="V62" i="6"/>
  <c r="V61" i="6" s="1"/>
  <c r="L484" i="6"/>
  <c r="L482" i="6" s="1"/>
  <c r="G1087" i="5"/>
  <c r="G1089" i="5"/>
  <c r="G400" i="5"/>
  <c r="G399" i="5" s="1"/>
  <c r="S266" i="6"/>
  <c r="T266" i="6"/>
  <c r="T249" i="6" s="1"/>
  <c r="G728" i="5"/>
  <c r="K726" i="5"/>
  <c r="G726" i="5" s="1"/>
  <c r="G637" i="5"/>
  <c r="K635" i="5"/>
  <c r="G635" i="5" s="1"/>
  <c r="K497" i="5"/>
  <c r="G497" i="5" s="1"/>
  <c r="G499" i="5"/>
  <c r="L16" i="5"/>
  <c r="M258" i="5"/>
  <c r="L147" i="5"/>
  <c r="H11" i="5"/>
  <c r="H20" i="5" s="1"/>
  <c r="J11" i="5"/>
  <c r="J20" i="5" s="1"/>
  <c r="I11" i="5"/>
  <c r="I20" i="5" s="1"/>
  <c r="L220" i="6"/>
  <c r="Q581" i="6"/>
  <c r="O380" i="6"/>
  <c r="L539" i="6"/>
  <c r="L645" i="6" s="1"/>
  <c r="L678" i="6" s="1"/>
  <c r="M147" i="5"/>
  <c r="G415" i="5"/>
  <c r="G112" i="5"/>
  <c r="G111" i="5" s="1"/>
  <c r="L213" i="5"/>
  <c r="G348" i="5"/>
  <c r="M363" i="5"/>
  <c r="L363" i="5"/>
  <c r="J363" i="5"/>
  <c r="G209" i="5"/>
  <c r="G202" i="5" s="1"/>
  <c r="M111" i="5"/>
  <c r="N382" i="6"/>
  <c r="O499" i="6"/>
  <c r="P535" i="6"/>
  <c r="N377" i="6"/>
  <c r="P379" i="6"/>
  <c r="P517" i="6"/>
  <c r="O509" i="6"/>
  <c r="V575" i="6"/>
  <c r="V537" i="6" s="1"/>
  <c r="Q557" i="6"/>
  <c r="N497" i="6"/>
  <c r="O511" i="6"/>
  <c r="P502" i="6"/>
  <c r="N511" i="6"/>
  <c r="Q515" i="6"/>
  <c r="R433" i="6"/>
  <c r="M1088" i="5"/>
  <c r="J1040" i="5"/>
  <c r="M30" i="5"/>
  <c r="M60" i="5"/>
  <c r="L235" i="5"/>
  <c r="G214" i="5"/>
  <c r="G213" i="5" s="1"/>
  <c r="H645" i="5"/>
  <c r="G434" i="5"/>
  <c r="L415" i="5"/>
  <c r="J728" i="5"/>
  <c r="G383" i="5"/>
  <c r="G716" i="5"/>
  <c r="G709" i="5"/>
  <c r="G60" i="5"/>
  <c r="L347" i="5"/>
  <c r="L547" i="6"/>
  <c r="P381" i="6"/>
  <c r="N493" i="6"/>
  <c r="N506" i="6"/>
  <c r="O493" i="6"/>
  <c r="O497" i="6"/>
  <c r="P515" i="6"/>
  <c r="Q511" i="6"/>
  <c r="U539" i="6"/>
  <c r="U645" i="6" s="1"/>
  <c r="U678" i="6" s="1"/>
  <c r="Q611" i="6"/>
  <c r="N522" i="6"/>
  <c r="O522" i="6"/>
  <c r="O506" i="6"/>
  <c r="P493" i="6"/>
  <c r="Q506" i="6"/>
  <c r="R619" i="6"/>
  <c r="Q376" i="6"/>
  <c r="N515" i="6"/>
  <c r="N502" i="6"/>
  <c r="O502" i="6"/>
  <c r="P522" i="6"/>
  <c r="M669" i="6"/>
  <c r="Q619" i="6"/>
  <c r="N517" i="6"/>
  <c r="N374" i="6"/>
  <c r="O504" i="6"/>
  <c r="Q514" i="6"/>
  <c r="S459" i="6"/>
  <c r="L575" i="6"/>
  <c r="Q601" i="6"/>
  <c r="R416" i="6"/>
  <c r="L579" i="6"/>
  <c r="L589" i="6"/>
  <c r="Q561" i="6"/>
  <c r="V611" i="6"/>
  <c r="Q607" i="6"/>
  <c r="N379" i="6"/>
  <c r="O379" i="6"/>
  <c r="Q374" i="6"/>
  <c r="Q520" i="6"/>
  <c r="P374" i="6"/>
  <c r="O518" i="6"/>
  <c r="S576" i="6"/>
  <c r="X535" i="6"/>
  <c r="X534" i="6" s="1"/>
  <c r="N496" i="6"/>
  <c r="I375" i="5"/>
  <c r="G258" i="5"/>
  <c r="L258" i="5"/>
  <c r="M18" i="5"/>
  <c r="J511" i="5"/>
  <c r="Q326" i="6"/>
  <c r="J1032" i="5"/>
  <c r="G619" i="5"/>
  <c r="L709" i="5"/>
  <c r="K347" i="5"/>
  <c r="L166" i="5"/>
  <c r="G1020" i="5"/>
  <c r="G277" i="5"/>
  <c r="G276" i="5" s="1"/>
  <c r="K61" i="5"/>
  <c r="K359" i="5"/>
  <c r="J637" i="5"/>
  <c r="G273" i="5"/>
  <c r="H375" i="5"/>
  <c r="G575" i="5"/>
  <c r="G557" i="5"/>
  <c r="G235" i="5"/>
  <c r="K266" i="5"/>
  <c r="K60" i="5"/>
  <c r="M399" i="5"/>
  <c r="J658" i="5"/>
  <c r="J647" i="5"/>
  <c r="L30" i="5"/>
  <c r="G535" i="5"/>
  <c r="G526" i="5" s="1"/>
  <c r="G525" i="5" s="1"/>
  <c r="J526" i="5"/>
  <c r="G754" i="5"/>
  <c r="K746" i="5"/>
  <c r="K450" i="5" s="1"/>
  <c r="L1036" i="5"/>
  <c r="G1017" i="5"/>
  <c r="G1005" i="5" s="1"/>
  <c r="J1016" i="5"/>
  <c r="G147" i="5"/>
  <c r="M292" i="6"/>
  <c r="T234" i="6"/>
  <c r="T641" i="6" s="1"/>
  <c r="G364" i="5"/>
  <c r="G363" i="5" s="1"/>
  <c r="G362" i="5"/>
  <c r="J634" i="5"/>
  <c r="G634" i="5"/>
  <c r="M326" i="6"/>
  <c r="M295" i="6" s="1"/>
  <c r="M294" i="6" s="1"/>
  <c r="M293" i="6" s="1"/>
  <c r="L1088" i="5"/>
  <c r="I60" i="5"/>
  <c r="G1104" i="5"/>
  <c r="L112" i="5"/>
  <c r="L111" i="5" s="1"/>
  <c r="L60" i="5"/>
  <c r="G95" i="5"/>
  <c r="M347" i="5"/>
  <c r="Q220" i="6"/>
  <c r="Q211" i="6" s="1"/>
  <c r="K1088" i="5"/>
  <c r="L95" i="5"/>
  <c r="G375" i="5"/>
  <c r="M257" i="6"/>
  <c r="H1004" i="5"/>
  <c r="L1012" i="5"/>
  <c r="J60" i="5"/>
  <c r="H669" i="6"/>
  <c r="N381" i="6"/>
  <c r="N376" i="6"/>
  <c r="P380" i="6"/>
  <c r="Q381" i="6"/>
  <c r="P505" i="6"/>
  <c r="P496" i="6"/>
  <c r="Q518" i="6"/>
  <c r="Q505" i="6"/>
  <c r="Q496" i="6"/>
  <c r="S484" i="6"/>
  <c r="S482" i="6" s="1"/>
  <c r="R603" i="6"/>
  <c r="L593" i="6"/>
  <c r="N380" i="6"/>
  <c r="O376" i="6"/>
  <c r="N510" i="6"/>
  <c r="N501" i="6"/>
  <c r="O514" i="6"/>
  <c r="R615" i="6"/>
  <c r="L626" i="6"/>
  <c r="I241" i="6"/>
  <c r="L549" i="6"/>
  <c r="O520" i="6"/>
  <c r="P510" i="6"/>
  <c r="P501" i="6"/>
  <c r="Q510" i="6"/>
  <c r="Q501" i="6"/>
  <c r="M484" i="6"/>
  <c r="M482" i="6" s="1"/>
  <c r="T539" i="6"/>
  <c r="T645" i="6" s="1"/>
  <c r="T678" i="6" s="1"/>
  <c r="D58" i="13"/>
  <c r="H58" i="13"/>
  <c r="F58" i="13"/>
  <c r="K10" i="13"/>
  <c r="K57" i="13"/>
  <c r="B59" i="13"/>
  <c r="K31" i="13"/>
  <c r="E58" i="13"/>
  <c r="I58" i="13"/>
  <c r="G58" i="13"/>
  <c r="N535" i="6"/>
  <c r="H241" i="6"/>
  <c r="H240" i="6" s="1"/>
  <c r="L607" i="6"/>
  <c r="Q549" i="6"/>
  <c r="N500" i="6"/>
  <c r="N495" i="6"/>
  <c r="O513" i="6"/>
  <c r="O508" i="6"/>
  <c r="P500" i="6"/>
  <c r="P495" i="6"/>
  <c r="Q500" i="6"/>
  <c r="Q495" i="6"/>
  <c r="R442" i="6"/>
  <c r="J241" i="6"/>
  <c r="J240" i="6" s="1"/>
  <c r="R669" i="6"/>
  <c r="Q597" i="6"/>
  <c r="P383" i="6"/>
  <c r="Q382" i="6"/>
  <c r="Q377" i="6"/>
  <c r="N520" i="6"/>
  <c r="N514" i="6"/>
  <c r="N509" i="6"/>
  <c r="N504" i="6"/>
  <c r="N499" i="6"/>
  <c r="O517" i="6"/>
  <c r="P509" i="6"/>
  <c r="P504" i="6"/>
  <c r="P499" i="6"/>
  <c r="Q513" i="6"/>
  <c r="R607" i="6"/>
  <c r="O382" i="6"/>
  <c r="O377" i="6"/>
  <c r="N518" i="6"/>
  <c r="N513" i="6"/>
  <c r="N508" i="6"/>
  <c r="O495" i="6"/>
  <c r="P508" i="6"/>
  <c r="Q547" i="6"/>
  <c r="Q565" i="6"/>
  <c r="Q603" i="6"/>
  <c r="G139" i="5"/>
  <c r="L399" i="5"/>
  <c r="P220" i="6"/>
  <c r="P211" i="6" s="1"/>
  <c r="M220" i="6"/>
  <c r="M211" i="6" s="1"/>
  <c r="M278" i="6"/>
  <c r="S261" i="6"/>
  <c r="S249" i="6" s="1"/>
  <c r="L1040" i="5"/>
  <c r="M238" i="6"/>
  <c r="H16" i="5"/>
  <c r="H266" i="5"/>
  <c r="L525" i="5"/>
  <c r="L46" i="5"/>
  <c r="K619" i="5"/>
  <c r="S234" i="6"/>
  <c r="S641" i="6" s="1"/>
  <c r="K111" i="5"/>
  <c r="H166" i="5"/>
  <c r="J16" i="5"/>
  <c r="J266" i="5"/>
  <c r="K1004" i="5"/>
  <c r="I1004" i="5"/>
  <c r="J746" i="5"/>
  <c r="J450" i="5" s="1"/>
  <c r="L387" i="5"/>
  <c r="I266" i="5"/>
  <c r="G61" i="5"/>
  <c r="K364" i="5"/>
  <c r="I645" i="5"/>
  <c r="J167" i="5"/>
  <c r="J15" i="5" s="1"/>
  <c r="G175" i="5"/>
  <c r="J174" i="5"/>
  <c r="G655" i="5"/>
  <c r="M708" i="5"/>
  <c r="K375" i="5"/>
  <c r="J375" i="5"/>
  <c r="P295" i="6"/>
  <c r="P294" i="6" s="1"/>
  <c r="P293" i="6" s="1"/>
  <c r="O295" i="6"/>
  <c r="O294" i="6" s="1"/>
  <c r="O293" i="6" s="1"/>
  <c r="L372" i="6"/>
  <c r="W598" i="6"/>
  <c r="R491" i="6"/>
  <c r="R490" i="6" s="1"/>
  <c r="Q535" i="6"/>
  <c r="K241" i="6"/>
  <c r="M535" i="6"/>
  <c r="M645" i="6"/>
  <c r="M678" i="6" s="1"/>
  <c r="N494" i="6"/>
  <c r="Q494" i="6"/>
  <c r="P494" i="6"/>
  <c r="O494" i="6"/>
  <c r="N498" i="6"/>
  <c r="Q498" i="6"/>
  <c r="P498" i="6"/>
  <c r="O498" i="6"/>
  <c r="O503" i="6"/>
  <c r="N503" i="6"/>
  <c r="Q503" i="6"/>
  <c r="P503" i="6"/>
  <c r="O507" i="6"/>
  <c r="N507" i="6"/>
  <c r="Q507" i="6"/>
  <c r="P507" i="6"/>
  <c r="P512" i="6"/>
  <c r="O512" i="6"/>
  <c r="N512" i="6"/>
  <c r="P516" i="6"/>
  <c r="O516" i="6"/>
  <c r="N516" i="6"/>
  <c r="O519" i="6"/>
  <c r="N519" i="6"/>
  <c r="Q519" i="6"/>
  <c r="P519" i="6"/>
  <c r="U491" i="6"/>
  <c r="U490" i="6" s="1"/>
  <c r="U484" i="6" s="1"/>
  <c r="U482" i="6" s="1"/>
  <c r="O372" i="6"/>
  <c r="Q372" i="6"/>
  <c r="N372" i="6"/>
  <c r="P372" i="6"/>
  <c r="Q378" i="6"/>
  <c r="O378" i="6"/>
  <c r="P378" i="6"/>
  <c r="N378" i="6"/>
  <c r="Q383" i="6"/>
  <c r="O383" i="6"/>
  <c r="T491" i="6"/>
  <c r="T490" i="6" s="1"/>
  <c r="T484" i="6" s="1"/>
  <c r="T482" i="6" s="1"/>
  <c r="V493" i="6"/>
  <c r="V603" i="6"/>
  <c r="K619" i="6"/>
  <c r="L619" i="6" s="1"/>
  <c r="R537" i="6"/>
  <c r="R638" i="6" s="1"/>
  <c r="R548" i="6"/>
  <c r="I645" i="6"/>
  <c r="I678" i="6" s="1"/>
  <c r="N241" i="6"/>
  <c r="N240" i="6" s="1"/>
  <c r="O535" i="6"/>
  <c r="P241" i="6"/>
  <c r="P240" i="6" s="1"/>
  <c r="T248" i="6" l="1"/>
  <c r="T241" i="6"/>
  <c r="S248" i="6"/>
  <c r="S241" i="6"/>
  <c r="X362" i="6"/>
  <c r="X361" i="6" s="1"/>
  <c r="X233" i="6"/>
  <c r="M518" i="18" s="1"/>
  <c r="M517" i="18" s="1"/>
  <c r="W362" i="6"/>
  <c r="W361" i="6" s="1"/>
  <c r="W62" i="6"/>
  <c r="W61" i="6" s="1"/>
  <c r="W60" i="6" s="1"/>
  <c r="K440" i="5"/>
  <c r="V43" i="6"/>
  <c r="V50" i="6"/>
  <c r="U46" i="6"/>
  <c r="U45" i="6" s="1"/>
  <c r="J443" i="5"/>
  <c r="U53" i="6"/>
  <c r="U52" i="6" s="1"/>
  <c r="X50" i="6"/>
  <c r="X43" i="6"/>
  <c r="L443" i="5"/>
  <c r="W46" i="6" s="1"/>
  <c r="W45" i="6" s="1"/>
  <c r="W44" i="6" s="1"/>
  <c r="W53" i="6"/>
  <c r="K443" i="5"/>
  <c r="V46" i="6" s="1"/>
  <c r="V45" i="6" s="1"/>
  <c r="V53" i="6"/>
  <c r="V52" i="6" s="1"/>
  <c r="M443" i="5"/>
  <c r="X53" i="6"/>
  <c r="X52" i="6" s="1"/>
  <c r="X46" i="6"/>
  <c r="X45" i="6" s="1"/>
  <c r="V59" i="6"/>
  <c r="Q303" i="6"/>
  <c r="Q302" i="6" s="1"/>
  <c r="Q301" i="6" s="1"/>
  <c r="Q295" i="6" s="1"/>
  <c r="Q294" i="6" s="1"/>
  <c r="Q293" i="6" s="1"/>
  <c r="J13" i="5"/>
  <c r="L451" i="5"/>
  <c r="R261" i="6"/>
  <c r="G746" i="5"/>
  <c r="G450" i="5" s="1"/>
  <c r="G451" i="5"/>
  <c r="R266" i="6"/>
  <c r="J451" i="5"/>
  <c r="J447" i="5"/>
  <c r="J440" i="5" s="1"/>
  <c r="G447" i="5"/>
  <c r="M20" i="5"/>
  <c r="S25" i="6"/>
  <c r="S225" i="6" s="1"/>
  <c r="H13" i="5"/>
  <c r="K15" i="5"/>
  <c r="G158" i="5"/>
  <c r="G154" i="5" s="1"/>
  <c r="K154" i="5"/>
  <c r="K11" i="5" s="1"/>
  <c r="G11" i="5" s="1"/>
  <c r="G20" i="5" s="1"/>
  <c r="E69" i="13"/>
  <c r="J69" i="13" s="1"/>
  <c r="K67" i="13" s="1"/>
  <c r="T211" i="6"/>
  <c r="S221" i="6"/>
  <c r="S218" i="6" s="1"/>
  <c r="S226" i="6" s="1"/>
  <c r="H24" i="5"/>
  <c r="H22" i="5" s="1"/>
  <c r="U221" i="6"/>
  <c r="J24" i="5"/>
  <c r="J22" i="5" s="1"/>
  <c r="L266" i="5"/>
  <c r="L110" i="5"/>
  <c r="L11" i="5" s="1"/>
  <c r="W26" i="6"/>
  <c r="W34" i="6" s="1"/>
  <c r="W226" i="6" s="1"/>
  <c r="L24" i="5"/>
  <c r="R59" i="6"/>
  <c r="X25" i="6"/>
  <c r="X225" i="6" s="1"/>
  <c r="X227" i="6" s="1"/>
  <c r="M23" i="5"/>
  <c r="M22" i="5" s="1"/>
  <c r="V26" i="6"/>
  <c r="V34" i="6" s="1"/>
  <c r="V226" i="6" s="1"/>
  <c r="V576" i="6"/>
  <c r="G1088" i="5"/>
  <c r="G775" i="5"/>
  <c r="H774" i="5"/>
  <c r="M774" i="5"/>
  <c r="X61" i="6"/>
  <c r="X60" i="6" s="1"/>
  <c r="T642" i="6"/>
  <c r="I1189" i="5"/>
  <c r="T17" i="6" s="1"/>
  <c r="T677" i="6" s="1"/>
  <c r="M1189" i="5"/>
  <c r="X17" i="6" s="1"/>
  <c r="S642" i="6"/>
  <c r="H1189" i="5"/>
  <c r="U220" i="6"/>
  <c r="I1188" i="5"/>
  <c r="L1189" i="5"/>
  <c r="W17" i="6" s="1"/>
  <c r="M1188" i="5"/>
  <c r="H1188" i="5"/>
  <c r="K1189" i="5"/>
  <c r="V17" i="6" s="1"/>
  <c r="S539" i="6"/>
  <c r="S645" i="6" s="1"/>
  <c r="S678" i="6" s="1"/>
  <c r="S638" i="6"/>
  <c r="G1016" i="5"/>
  <c r="H449" i="5"/>
  <c r="H442" i="5" s="1"/>
  <c r="I449" i="5"/>
  <c r="I442" i="5" s="1"/>
  <c r="G16" i="5"/>
  <c r="I233" i="6"/>
  <c r="I231" i="6" s="1"/>
  <c r="L535" i="6"/>
  <c r="X234" i="6"/>
  <c r="X641" i="6" s="1"/>
  <c r="G347" i="5"/>
  <c r="K363" i="5"/>
  <c r="J525" i="5"/>
  <c r="T535" i="6"/>
  <c r="J1088" i="5"/>
  <c r="G272" i="5"/>
  <c r="G267" i="5"/>
  <c r="J233" i="6"/>
  <c r="J635" i="6" s="1"/>
  <c r="U535" i="6"/>
  <c r="O484" i="6"/>
  <c r="O482" i="6" s="1"/>
  <c r="I240" i="6"/>
  <c r="M13" i="5"/>
  <c r="M12" i="5" s="1"/>
  <c r="M21" i="5" s="1"/>
  <c r="X31" i="6" s="1"/>
  <c r="X23" i="6" s="1"/>
  <c r="M266" i="5"/>
  <c r="J1004" i="5"/>
  <c r="J645" i="5"/>
  <c r="T294" i="6"/>
  <c r="U58" i="13"/>
  <c r="S294" i="6"/>
  <c r="S233" i="6" s="1"/>
  <c r="M449" i="5"/>
  <c r="M442" i="5" s="1"/>
  <c r="K645" i="5"/>
  <c r="G167" i="5"/>
  <c r="G174" i="5"/>
  <c r="Q278" i="6"/>
  <c r="Q241" i="6" s="1"/>
  <c r="Q240" i="6" s="1"/>
  <c r="N333" i="6"/>
  <c r="N295" i="6" s="1"/>
  <c r="N294" i="6" s="1"/>
  <c r="N293" i="6" s="1"/>
  <c r="J166" i="5"/>
  <c r="V294" i="6"/>
  <c r="L1004" i="5"/>
  <c r="V491" i="6"/>
  <c r="V490" i="6" s="1"/>
  <c r="V484" i="6" s="1"/>
  <c r="V482" i="6" s="1"/>
  <c r="N484" i="6"/>
  <c r="N482" i="6" s="1"/>
  <c r="P484" i="6"/>
  <c r="K240" i="6"/>
  <c r="K233" i="6"/>
  <c r="H220" i="6"/>
  <c r="W539" i="6"/>
  <c r="W645" i="6" s="1"/>
  <c r="W678" i="6" s="1"/>
  <c r="R539" i="6"/>
  <c r="R645" i="6" s="1"/>
  <c r="R678" i="6" s="1"/>
  <c r="Q484" i="6"/>
  <c r="Q482" i="6" s="1"/>
  <c r="R484" i="6"/>
  <c r="R482" i="6" s="1"/>
  <c r="H233" i="6"/>
  <c r="L233" i="6"/>
  <c r="R249" i="6" l="1"/>
  <c r="K13" i="5"/>
  <c r="K1188" i="5"/>
  <c r="T233" i="6"/>
  <c r="I518" i="18" s="1"/>
  <c r="I517" i="18" s="1"/>
  <c r="S227" i="6"/>
  <c r="S33" i="6"/>
  <c r="S32" i="6" s="1"/>
  <c r="S16" i="6"/>
  <c r="X16" i="6"/>
  <c r="X15" i="6" s="1"/>
  <c r="R53" i="6"/>
  <c r="G443" i="5"/>
  <c r="R46" i="6" s="1"/>
  <c r="G440" i="5"/>
  <c r="R43" i="6"/>
  <c r="R50" i="6"/>
  <c r="G444" i="5"/>
  <c r="R47" i="6" s="1"/>
  <c r="R54" i="6"/>
  <c r="T47" i="6"/>
  <c r="S54" i="6"/>
  <c r="S52" i="6" s="1"/>
  <c r="S47" i="6"/>
  <c r="S45" i="6" s="1"/>
  <c r="T53" i="6"/>
  <c r="T46" i="6"/>
  <c r="T54" i="6"/>
  <c r="L449" i="5"/>
  <c r="S231" i="6"/>
  <c r="V22" i="6"/>
  <c r="R22" i="6" s="1"/>
  <c r="R30" i="6" s="1"/>
  <c r="K23" i="5"/>
  <c r="G23" i="5" s="1"/>
  <c r="F73" i="13"/>
  <c r="G76" i="13"/>
  <c r="G79" i="13" s="1"/>
  <c r="F76" i="13"/>
  <c r="F79" i="13" s="1"/>
  <c r="I76" i="13"/>
  <c r="I79" i="13" s="1"/>
  <c r="G73" i="13"/>
  <c r="I73" i="13"/>
  <c r="E73" i="13"/>
  <c r="H76" i="13"/>
  <c r="H79" i="13" s="1"/>
  <c r="H73" i="13"/>
  <c r="T25" i="6"/>
  <c r="S17" i="6"/>
  <c r="S677" i="6" s="1"/>
  <c r="X677" i="6"/>
  <c r="S211" i="6"/>
  <c r="R34" i="6"/>
  <c r="R226" i="6" s="1"/>
  <c r="T240" i="6"/>
  <c r="X33" i="6"/>
  <c r="X32" i="6" s="1"/>
  <c r="L20" i="5"/>
  <c r="W22" i="6"/>
  <c r="W30" i="6" s="1"/>
  <c r="G166" i="5"/>
  <c r="G15" i="5"/>
  <c r="X24" i="6"/>
  <c r="W25" i="6"/>
  <c r="W225" i="6" s="1"/>
  <c r="L23" i="5"/>
  <c r="L22" i="5" s="1"/>
  <c r="R26" i="6"/>
  <c r="G24" i="5"/>
  <c r="G774" i="5"/>
  <c r="G773" i="5" s="1"/>
  <c r="R62" i="6"/>
  <c r="R61" i="6" s="1"/>
  <c r="R60" i="6" s="1"/>
  <c r="T62" i="6"/>
  <c r="T26" i="6"/>
  <c r="U63" i="6"/>
  <c r="S26" i="6"/>
  <c r="S24" i="6" s="1"/>
  <c r="U62" i="6"/>
  <c r="U16" i="6" s="1"/>
  <c r="T63" i="6"/>
  <c r="J1189" i="5"/>
  <c r="U17" i="6" s="1"/>
  <c r="U218" i="6"/>
  <c r="U226" i="6" s="1"/>
  <c r="U227" i="6" s="1"/>
  <c r="V25" i="6"/>
  <c r="V225" i="6" s="1"/>
  <c r="S535" i="6"/>
  <c r="M1187" i="5"/>
  <c r="J1188" i="5"/>
  <c r="L1188" i="5"/>
  <c r="H1187" i="5"/>
  <c r="I1187" i="5"/>
  <c r="G1189" i="5"/>
  <c r="R17" i="6" s="1"/>
  <c r="K449" i="5"/>
  <c r="K442" i="5" s="1"/>
  <c r="V539" i="6"/>
  <c r="V638" i="6"/>
  <c r="L13" i="5"/>
  <c r="L12" i="5" s="1"/>
  <c r="L21" i="5" s="1"/>
  <c r="W31" i="6" s="1"/>
  <c r="W23" i="6" s="1"/>
  <c r="I635" i="6"/>
  <c r="I633" i="6" s="1"/>
  <c r="AD243" i="6"/>
  <c r="J231" i="6"/>
  <c r="V240" i="6"/>
  <c r="G266" i="5"/>
  <c r="U294" i="6"/>
  <c r="U233" i="6" s="1"/>
  <c r="J449" i="5"/>
  <c r="J442" i="5" s="1"/>
  <c r="G1004" i="5"/>
  <c r="R234" i="6"/>
  <c r="R641" i="6" s="1"/>
  <c r="U234" i="6"/>
  <c r="U641" i="6" s="1"/>
  <c r="W535" i="6"/>
  <c r="W534" i="6" s="1"/>
  <c r="O233" i="6"/>
  <c r="O231" i="6" s="1"/>
  <c r="V234" i="6"/>
  <c r="V641" i="6" s="1"/>
  <c r="V677" i="6" s="1"/>
  <c r="M241" i="6"/>
  <c r="G645" i="5"/>
  <c r="X240" i="6"/>
  <c r="X239" i="6" s="1"/>
  <c r="X640" i="6"/>
  <c r="X635" i="6" s="1"/>
  <c r="J633" i="6"/>
  <c r="J676" i="6"/>
  <c r="J675" i="6" s="1"/>
  <c r="N233" i="6"/>
  <c r="L635" i="6"/>
  <c r="L231" i="6"/>
  <c r="H231" i="6"/>
  <c r="H635" i="6"/>
  <c r="K231" i="6"/>
  <c r="K635" i="6"/>
  <c r="AA523" i="6"/>
  <c r="Q233" i="6"/>
  <c r="R535" i="6"/>
  <c r="R534" i="6" s="1"/>
  <c r="P482" i="6"/>
  <c r="P233" i="6"/>
  <c r="R241" i="6" l="1"/>
  <c r="R248" i="6"/>
  <c r="R247" i="6" s="1"/>
  <c r="T45" i="6"/>
  <c r="T225" i="6"/>
  <c r="T227" i="6" s="1"/>
  <c r="V16" i="6"/>
  <c r="V15" i="6" s="1"/>
  <c r="V227" i="6"/>
  <c r="W16" i="6"/>
  <c r="W15" i="6" s="1"/>
  <c r="W227" i="6"/>
  <c r="T33" i="6"/>
  <c r="T32" i="6" s="1"/>
  <c r="T16" i="6"/>
  <c r="T15" i="6" s="1"/>
  <c r="L448" i="5"/>
  <c r="L442" i="5"/>
  <c r="L441" i="5" s="1"/>
  <c r="W52" i="6"/>
  <c r="W51" i="6" s="1"/>
  <c r="R45" i="6"/>
  <c r="S640" i="6"/>
  <c r="S635" i="6" s="1"/>
  <c r="S633" i="6" s="1"/>
  <c r="H518" i="18"/>
  <c r="H517" i="18" s="1"/>
  <c r="T52" i="6"/>
  <c r="S240" i="6"/>
  <c r="V30" i="6"/>
  <c r="T24" i="6"/>
  <c r="V24" i="6"/>
  <c r="K22" i="5"/>
  <c r="G22" i="5"/>
  <c r="U15" i="6"/>
  <c r="J73" i="13"/>
  <c r="E74" i="13" s="1"/>
  <c r="S15" i="6"/>
  <c r="E76" i="13"/>
  <c r="G74" i="13"/>
  <c r="U677" i="6"/>
  <c r="R677" i="6"/>
  <c r="U211" i="6"/>
  <c r="X676" i="6"/>
  <c r="W24" i="6"/>
  <c r="W33" i="6"/>
  <c r="W32" i="6" s="1"/>
  <c r="V33" i="6"/>
  <c r="V32" i="6" s="1"/>
  <c r="U61" i="6"/>
  <c r="T61" i="6"/>
  <c r="V535" i="6"/>
  <c r="V645" i="6"/>
  <c r="V678" i="6" s="1"/>
  <c r="R25" i="6"/>
  <c r="R225" i="6" s="1"/>
  <c r="J1187" i="5"/>
  <c r="L1187" i="5"/>
  <c r="K1187" i="5"/>
  <c r="X633" i="6"/>
  <c r="G1188" i="5"/>
  <c r="T231" i="6"/>
  <c r="T640" i="6"/>
  <c r="T635" i="6" s="1"/>
  <c r="I676" i="6"/>
  <c r="I675" i="6" s="1"/>
  <c r="G13" i="5"/>
  <c r="U240" i="6"/>
  <c r="R294" i="6"/>
  <c r="O635" i="6"/>
  <c r="O633" i="6" s="1"/>
  <c r="X231" i="6"/>
  <c r="AD242" i="6"/>
  <c r="AD245" i="6" s="1"/>
  <c r="AD255" i="6" s="1"/>
  <c r="G449" i="5"/>
  <c r="W234" i="6"/>
  <c r="W641" i="6" s="1"/>
  <c r="W677" i="6" s="1"/>
  <c r="M240" i="6"/>
  <c r="M233" i="6"/>
  <c r="Q635" i="6"/>
  <c r="Q231" i="6"/>
  <c r="P635" i="6"/>
  <c r="P231" i="6"/>
  <c r="K633" i="6"/>
  <c r="K676" i="6"/>
  <c r="K675" i="6" s="1"/>
  <c r="H633" i="6"/>
  <c r="H676" i="6"/>
  <c r="H675" i="6" s="1"/>
  <c r="N231" i="6"/>
  <c r="N635" i="6"/>
  <c r="L633" i="6"/>
  <c r="L676" i="6"/>
  <c r="L675" i="6" s="1"/>
  <c r="R16" i="6" l="1"/>
  <c r="S676" i="6"/>
  <c r="S675" i="6" s="1"/>
  <c r="R52" i="6"/>
  <c r="R51" i="6" s="1"/>
  <c r="G442" i="5"/>
  <c r="G441" i="5" s="1"/>
  <c r="T676" i="6"/>
  <c r="T675" i="6" s="1"/>
  <c r="H74" i="13"/>
  <c r="E79" i="13"/>
  <c r="J76" i="13"/>
  <c r="F74" i="13"/>
  <c r="J74" i="13" s="1"/>
  <c r="I74" i="13"/>
  <c r="R227" i="6"/>
  <c r="R24" i="6"/>
  <c r="R293" i="6"/>
  <c r="R240" i="6"/>
  <c r="R239" i="6" s="1"/>
  <c r="R33" i="6"/>
  <c r="R32" i="6" s="1"/>
  <c r="X675" i="6"/>
  <c r="G1187" i="5"/>
  <c r="T633" i="6"/>
  <c r="U231" i="6"/>
  <c r="U640" i="6"/>
  <c r="U635" i="6" s="1"/>
  <c r="O676" i="6"/>
  <c r="O675" i="6" s="1"/>
  <c r="AB243" i="6"/>
  <c r="M635" i="6"/>
  <c r="M231" i="6"/>
  <c r="AC635" i="6"/>
  <c r="P676" i="6"/>
  <c r="P675" i="6" s="1"/>
  <c r="P633" i="6"/>
  <c r="Q633" i="6"/>
  <c r="Q676" i="6"/>
  <c r="Q675" i="6" s="1"/>
  <c r="N633" i="6"/>
  <c r="N676" i="6"/>
  <c r="N675" i="6" s="1"/>
  <c r="R15" i="6" l="1"/>
  <c r="K76" i="13"/>
  <c r="J79" i="13"/>
  <c r="E80" i="13"/>
  <c r="L518" i="18"/>
  <c r="L517" i="18" s="1"/>
  <c r="L454" i="18" s="1"/>
  <c r="W240" i="6"/>
  <c r="U633" i="6"/>
  <c r="U676" i="6"/>
  <c r="U675" i="6" s="1"/>
  <c r="M633" i="6"/>
  <c r="M676" i="6"/>
  <c r="M675" i="6" s="1"/>
  <c r="AB242" i="6" l="1"/>
  <c r="AB245" i="6" s="1"/>
  <c r="AB255" i="6" s="1"/>
  <c r="W239" i="6"/>
  <c r="D80" i="13"/>
  <c r="H80" i="13"/>
  <c r="I80" i="13"/>
  <c r="F80" i="13"/>
  <c r="G80" i="13"/>
  <c r="W640" i="6"/>
  <c r="W635" i="6" s="1"/>
  <c r="W231" i="6"/>
  <c r="V619" i="6"/>
  <c r="J80" i="13" l="1"/>
  <c r="W633" i="6"/>
  <c r="W676" i="6"/>
  <c r="W675" i="6" l="1"/>
  <c r="AA400" i="6"/>
  <c r="AA404" i="6" l="1"/>
  <c r="R459" i="6" l="1"/>
  <c r="R469" i="6"/>
  <c r="V469" i="6" s="1"/>
  <c r="V468" i="6" s="1"/>
  <c r="V459" i="6"/>
  <c r="R468" i="6" l="1"/>
  <c r="N62" i="14" l="1"/>
  <c r="N26" i="14"/>
  <c r="N31" i="14" l="1"/>
  <c r="K37" i="16" s="1"/>
  <c r="O62" i="14" l="1"/>
  <c r="O31" i="14"/>
  <c r="P37" i="16" s="1"/>
  <c r="N39" i="14"/>
  <c r="O26" i="14" l="1"/>
  <c r="O39" i="14"/>
  <c r="M26" i="14" l="1"/>
  <c r="M32" i="14"/>
  <c r="M31" i="14" s="1"/>
  <c r="M39" i="14" l="1"/>
  <c r="M62" i="14"/>
  <c r="R166" i="6" l="1"/>
  <c r="R158" i="6" s="1"/>
  <c r="R157" i="6"/>
  <c r="J57" i="15"/>
  <c r="B57" i="15" s="1"/>
  <c r="J7" i="15"/>
  <c r="J5" i="15" l="1"/>
  <c r="B5" i="15" s="1"/>
  <c r="B7" i="15"/>
  <c r="J17" i="15"/>
  <c r="B17" i="15" s="1"/>
  <c r="B19" i="15"/>
  <c r="P7" i="15" l="1"/>
  <c r="AD7" i="15"/>
  <c r="O7" i="15"/>
  <c r="AD5" i="15"/>
  <c r="P5" i="15"/>
  <c r="O5" i="15"/>
  <c r="L869" i="18" l="1"/>
  <c r="M869" i="18"/>
  <c r="S370" i="6" l="1"/>
  <c r="S362" i="6" s="1"/>
  <c r="U370" i="6"/>
  <c r="T370" i="6"/>
  <c r="R371" i="6"/>
  <c r="R370" i="6" l="1"/>
  <c r="R369" i="6" s="1"/>
  <c r="V371" i="6"/>
  <c r="AG370" i="6"/>
  <c r="R363" i="6"/>
  <c r="R233" i="6" s="1"/>
  <c r="U362" i="6"/>
  <c r="T362" i="6"/>
  <c r="R362" i="6" l="1"/>
  <c r="R361" i="6" s="1"/>
  <c r="G518" i="18"/>
  <c r="G517" i="18" s="1"/>
  <c r="G454" i="18" s="1"/>
  <c r="R640" i="6"/>
  <c r="R635" i="6" s="1"/>
  <c r="R231" i="6"/>
  <c r="U401" i="6"/>
  <c r="T377" i="6"/>
  <c r="T385" i="6"/>
  <c r="T393" i="6"/>
  <c r="T401" i="6"/>
  <c r="T397" i="6"/>
  <c r="S386" i="6"/>
  <c r="S398" i="6"/>
  <c r="U380" i="6"/>
  <c r="T380" i="6"/>
  <c r="T388" i="6"/>
  <c r="T396" i="6"/>
  <c r="S374" i="6"/>
  <c r="S390" i="6"/>
  <c r="U385" i="6"/>
  <c r="T373" i="6"/>
  <c r="T381" i="6"/>
  <c r="T389" i="6"/>
  <c r="S378" i="6"/>
  <c r="S372" i="6"/>
  <c r="U396" i="6"/>
  <c r="T376" i="6"/>
  <c r="T384" i="6"/>
  <c r="T392" i="6"/>
  <c r="T400" i="6"/>
  <c r="S382" i="6"/>
  <c r="S394" i="6"/>
  <c r="V374" i="6"/>
  <c r="V390" i="6"/>
  <c r="V375" i="6"/>
  <c r="V391" i="6"/>
  <c r="V380" i="6"/>
  <c r="V396" i="6"/>
  <c r="V381" i="6"/>
  <c r="V397" i="6"/>
  <c r="S395" i="6"/>
  <c r="S379" i="6"/>
  <c r="S397" i="6"/>
  <c r="S381" i="6"/>
  <c r="S400" i="6"/>
  <c r="S384" i="6"/>
  <c r="U377" i="6"/>
  <c r="U384" i="6"/>
  <c r="U381" i="6"/>
  <c r="U387" i="6"/>
  <c r="U372" i="6"/>
  <c r="U386" i="6"/>
  <c r="T395" i="6"/>
  <c r="T379" i="6"/>
  <c r="T394" i="6"/>
  <c r="T378" i="6"/>
  <c r="V372" i="6"/>
  <c r="V392" i="6"/>
  <c r="S399" i="6"/>
  <c r="S385" i="6"/>
  <c r="S388" i="6"/>
  <c r="U389" i="6"/>
  <c r="U390" i="6"/>
  <c r="T398" i="6"/>
  <c r="V378" i="6"/>
  <c r="V394" i="6"/>
  <c r="V379" i="6"/>
  <c r="V395" i="6"/>
  <c r="V384" i="6"/>
  <c r="V400" i="6"/>
  <c r="V385" i="6"/>
  <c r="V401" i="6"/>
  <c r="S391" i="6"/>
  <c r="S375" i="6"/>
  <c r="S393" i="6"/>
  <c r="S377" i="6"/>
  <c r="S396" i="6"/>
  <c r="S380" i="6"/>
  <c r="U388" i="6"/>
  <c r="U376" i="6"/>
  <c r="U399" i="6"/>
  <c r="U383" i="6"/>
  <c r="U398" i="6"/>
  <c r="U382" i="6"/>
  <c r="T391" i="6"/>
  <c r="T375" i="6"/>
  <c r="T390" i="6"/>
  <c r="V387" i="6"/>
  <c r="S401" i="6"/>
  <c r="U393" i="6"/>
  <c r="U391" i="6"/>
  <c r="T399" i="6"/>
  <c r="T382" i="6"/>
  <c r="V382" i="6"/>
  <c r="V398" i="6"/>
  <c r="V383" i="6"/>
  <c r="V399" i="6"/>
  <c r="V388" i="6"/>
  <c r="V373" i="6"/>
  <c r="V389" i="6"/>
  <c r="S376" i="6"/>
  <c r="S387" i="6"/>
  <c r="U374" i="6"/>
  <c r="S389" i="6"/>
  <c r="S373" i="6"/>
  <c r="S392" i="6"/>
  <c r="U373" i="6"/>
  <c r="U400" i="6"/>
  <c r="U397" i="6"/>
  <c r="U395" i="6"/>
  <c r="U379" i="6"/>
  <c r="U394" i="6"/>
  <c r="U378" i="6"/>
  <c r="T387" i="6"/>
  <c r="T372" i="6"/>
  <c r="T386" i="6"/>
  <c r="V386" i="6"/>
  <c r="V376" i="6"/>
  <c r="V377" i="6"/>
  <c r="V393" i="6"/>
  <c r="S383" i="6"/>
  <c r="T374" i="6"/>
  <c r="U392" i="6"/>
  <c r="U375" i="6"/>
  <c r="T383" i="6"/>
  <c r="V363" i="6"/>
  <c r="V233" i="6" s="1"/>
  <c r="V370" i="6"/>
  <c r="V362" i="6" l="1"/>
  <c r="K518" i="18"/>
  <c r="K517" i="18" s="1"/>
  <c r="V231" i="6"/>
  <c r="V640" i="6"/>
  <c r="V635" i="6" s="1"/>
  <c r="AA360" i="6"/>
  <c r="AA361" i="6" s="1"/>
  <c r="R676" i="6"/>
  <c r="R675" i="6" s="1"/>
  <c r="R633" i="6"/>
  <c r="V633" i="6" l="1"/>
  <c r="V676" i="6"/>
  <c r="V675" i="6" s="1"/>
</calcChain>
</file>

<file path=xl/comments1.xml><?xml version="1.0" encoding="utf-8"?>
<comments xmlns="http://schemas.openxmlformats.org/spreadsheetml/2006/main">
  <authors>
    <author>Громенко Елена Николаевна</author>
    <author>Зуева Анастасия Игоревна</author>
    <author>Половодова Марта Витальевна</author>
  </authors>
  <commentList>
    <comment ref="L11" authorId="0" shapeId="0">
      <text>
        <r>
          <rPr>
            <b/>
            <sz val="9"/>
            <color indexed="81"/>
            <rFont val="Tahoma"/>
            <family val="2"/>
            <charset val="204"/>
          </rPr>
          <t>Громенко Елена Николаевна:</t>
        </r>
        <r>
          <rPr>
            <sz val="9"/>
            <color indexed="81"/>
            <rFont val="Tahoma"/>
            <family val="2"/>
            <charset val="204"/>
          </rPr>
          <t xml:space="preserve">
31,5 км без учета приведения мостов в КМ</t>
        </r>
      </text>
    </comment>
    <comment ref="M11" authorId="0" shapeId="0">
      <text>
        <r>
          <rPr>
            <b/>
            <sz val="9"/>
            <color indexed="81"/>
            <rFont val="Tahoma"/>
            <family val="2"/>
            <charset val="204"/>
          </rPr>
          <t>Громенко Елена Николаевна:</t>
        </r>
        <r>
          <rPr>
            <sz val="9"/>
            <color indexed="81"/>
            <rFont val="Tahoma"/>
            <family val="2"/>
            <charset val="204"/>
          </rPr>
          <t xml:space="preserve">
38,8 км без учета приведения мостов в КМ</t>
        </r>
      </text>
    </comment>
    <comment ref="A78" authorId="1" shapeId="0">
      <text>
        <r>
          <rPr>
            <b/>
            <sz val="9"/>
            <color indexed="81"/>
            <rFont val="Tahoma"/>
            <family val="2"/>
            <charset val="204"/>
          </rPr>
          <t>Зуева Анастасия Игоревна:</t>
        </r>
        <r>
          <rPr>
            <sz val="9"/>
            <color indexed="81"/>
            <rFont val="Tahoma"/>
            <family val="2"/>
            <charset val="204"/>
          </rPr>
          <t xml:space="preserve">
нет объекта в приоритетных направлениях Министерства сельского х-ва</t>
        </r>
      </text>
    </comment>
    <comment ref="G104" authorId="1" shapeId="0">
      <text>
        <r>
          <rPr>
            <b/>
            <sz val="9"/>
            <color indexed="81"/>
            <rFont val="Tahoma"/>
            <family val="2"/>
            <charset val="204"/>
          </rPr>
          <t>Зуева Анастасия Игоревна:</t>
        </r>
        <r>
          <rPr>
            <sz val="9"/>
            <color indexed="81"/>
            <rFont val="Tahoma"/>
            <family val="2"/>
            <charset val="204"/>
          </rPr>
          <t xml:space="preserve">
43915,7 по  расчету стартовой цены!!!</t>
        </r>
      </text>
    </comment>
    <comment ref="A106" authorId="1" shapeId="0">
      <text>
        <r>
          <rPr>
            <b/>
            <sz val="9"/>
            <color indexed="81"/>
            <rFont val="Tahoma"/>
            <family val="2"/>
            <charset val="204"/>
          </rPr>
          <t>Зуева Анастасия Игоревна:</t>
        </r>
        <r>
          <rPr>
            <sz val="9"/>
            <color indexed="81"/>
            <rFont val="Tahoma"/>
            <family val="2"/>
            <charset val="204"/>
          </rPr>
          <t xml:space="preserve">
нет объекта в приоритетных направлениях Министерства сельского х-ва</t>
        </r>
      </text>
    </comment>
    <comment ref="O123" authorId="1" shapeId="0">
      <text>
        <r>
          <rPr>
            <b/>
            <sz val="9"/>
            <color indexed="81"/>
            <rFont val="Tahoma"/>
            <family val="2"/>
            <charset val="204"/>
          </rPr>
          <t>Зуева Анастасия Игоревна:</t>
        </r>
        <r>
          <rPr>
            <sz val="9"/>
            <color indexed="81"/>
            <rFont val="Tahoma"/>
            <family val="2"/>
            <charset val="204"/>
          </rPr>
          <t xml:space="preserve">
в файле подходы 0,08 км…по проекту 0,0766 км</t>
        </r>
      </text>
    </comment>
    <comment ref="A150" authorId="0" shapeId="0">
      <text>
        <r>
          <rPr>
            <b/>
            <sz val="9"/>
            <color indexed="81"/>
            <rFont val="Tahoma"/>
            <family val="2"/>
            <charset val="204"/>
          </rPr>
          <t>Громенко Елена Николаевна:</t>
        </r>
        <r>
          <rPr>
            <sz val="9"/>
            <color indexed="81"/>
            <rFont val="Tahoma"/>
            <family val="2"/>
            <charset val="204"/>
          </rPr>
          <t xml:space="preserve">
 на участке км 11+223  - км 26+223 </t>
        </r>
      </text>
    </comment>
    <comment ref="A198" authorId="1" shapeId="0">
      <text>
        <r>
          <rPr>
            <b/>
            <sz val="9"/>
            <color indexed="81"/>
            <rFont val="Tahoma"/>
            <family val="2"/>
            <charset val="204"/>
          </rPr>
          <t>Зуева Анастасия Игоревна:</t>
        </r>
        <r>
          <rPr>
            <sz val="9"/>
            <color indexed="81"/>
            <rFont val="Tahoma"/>
            <family val="2"/>
            <charset val="204"/>
          </rPr>
          <t xml:space="preserve">
нет объекта!
Дублирует объкт выше</t>
        </r>
      </text>
    </comment>
    <comment ref="L198" authorId="0" shapeId="0">
      <text>
        <r>
          <rPr>
            <b/>
            <sz val="9"/>
            <color indexed="81"/>
            <rFont val="Tahoma"/>
            <family val="2"/>
            <charset val="204"/>
          </rPr>
          <t>Громенко Елена Николаевна:</t>
        </r>
        <r>
          <rPr>
            <sz val="9"/>
            <color indexed="81"/>
            <rFont val="Tahoma"/>
            <family val="2"/>
            <charset val="204"/>
          </rPr>
          <t xml:space="preserve">
?????</t>
        </r>
      </text>
    </comment>
    <comment ref="O220" authorId="1" shapeId="0">
      <text>
        <r>
          <rPr>
            <b/>
            <sz val="9"/>
            <color indexed="81"/>
            <rFont val="Tahoma"/>
            <family val="2"/>
            <charset val="204"/>
          </rPr>
          <t>Зуева Анастасия Игоревна:</t>
        </r>
        <r>
          <rPr>
            <sz val="9"/>
            <color indexed="81"/>
            <rFont val="Tahoma"/>
            <family val="2"/>
            <charset val="204"/>
          </rPr>
          <t xml:space="preserve">
введем в 2016 г.</t>
        </r>
      </text>
    </comment>
    <comment ref="A230" authorId="1" shapeId="0">
      <text>
        <r>
          <rPr>
            <b/>
            <sz val="9"/>
            <color indexed="81"/>
            <rFont val="Tahoma"/>
            <family val="2"/>
            <charset val="204"/>
          </rPr>
          <t>Зуева Анастасия Игоревна:</t>
        </r>
        <r>
          <rPr>
            <sz val="9"/>
            <color indexed="81"/>
            <rFont val="Tahoma"/>
            <family val="2"/>
            <charset val="204"/>
          </rPr>
          <t xml:space="preserve">
нет объекта</t>
        </r>
      </text>
    </comment>
    <comment ref="A253" authorId="1" shapeId="0">
      <text>
        <r>
          <rPr>
            <b/>
            <sz val="9"/>
            <color indexed="81"/>
            <rFont val="Tahoma"/>
            <family val="2"/>
            <charset val="204"/>
          </rPr>
          <t>Зуева Анастасия Игоревна:</t>
        </r>
        <r>
          <rPr>
            <sz val="9"/>
            <color indexed="81"/>
            <rFont val="Tahoma"/>
            <family val="2"/>
            <charset val="204"/>
          </rPr>
          <t xml:space="preserve">
нет объекта</t>
        </r>
      </text>
    </comment>
    <comment ref="A288" authorId="0" shapeId="0">
      <text>
        <r>
          <rPr>
            <b/>
            <sz val="9"/>
            <color indexed="81"/>
            <rFont val="Tahoma"/>
            <family val="2"/>
            <charset val="204"/>
          </rPr>
          <t>Громенко Елена Николаевна:</t>
        </r>
        <r>
          <rPr>
            <sz val="9"/>
            <color indexed="81"/>
            <rFont val="Tahoma"/>
            <family val="2"/>
            <charset val="204"/>
          </rPr>
          <t xml:space="preserve">
повтор слов</t>
        </r>
      </text>
    </comment>
    <comment ref="A297" authorId="1" shapeId="0">
      <text>
        <r>
          <rPr>
            <b/>
            <sz val="9"/>
            <color indexed="81"/>
            <rFont val="Tahoma"/>
            <family val="2"/>
            <charset val="204"/>
          </rPr>
          <t>Зуева Анастасия Игоревна:</t>
        </r>
        <r>
          <rPr>
            <sz val="9"/>
            <color indexed="81"/>
            <rFont val="Tahoma"/>
            <family val="2"/>
            <charset val="204"/>
          </rPr>
          <t xml:space="preserve">
должно быть  "в Новосибирском районе Новосибирской области"</t>
        </r>
      </text>
    </comment>
    <comment ref="A305" authorId="1" shapeId="0">
      <text>
        <r>
          <rPr>
            <b/>
            <sz val="9"/>
            <color indexed="81"/>
            <rFont val="Tahoma"/>
            <family val="2"/>
            <charset val="204"/>
          </rPr>
          <t>Зуева Анастасия Игоревна:</t>
        </r>
        <r>
          <rPr>
            <sz val="9"/>
            <color indexed="81"/>
            <rFont val="Tahoma"/>
            <family val="2"/>
            <charset val="204"/>
          </rPr>
          <t xml:space="preserve">
не прописан "Новосибирский район" в нашем файле</t>
        </r>
      </text>
    </comment>
    <comment ref="O305" authorId="1" shapeId="0">
      <text>
        <r>
          <rPr>
            <b/>
            <sz val="9"/>
            <color indexed="81"/>
            <rFont val="Tahoma"/>
            <family val="2"/>
            <charset val="204"/>
          </rPr>
          <t>Зуева Анастасия Игоревна:</t>
        </r>
        <r>
          <rPr>
            <sz val="9"/>
            <color indexed="81"/>
            <rFont val="Tahoma"/>
            <family val="2"/>
            <charset val="204"/>
          </rPr>
          <t xml:space="preserve">
тоннель 157 п.м. подходы 1,0 км
</t>
        </r>
      </text>
    </comment>
    <comment ref="O322" authorId="2" shapeId="0">
      <text>
        <r>
          <rPr>
            <b/>
            <sz val="9"/>
            <color indexed="81"/>
            <rFont val="Tahoma"/>
            <family val="2"/>
            <charset val="204"/>
          </rPr>
          <t>Половодова Марта Витальевна:</t>
        </r>
        <r>
          <rPr>
            <sz val="9"/>
            <color indexed="81"/>
            <rFont val="Tahoma"/>
            <family val="2"/>
            <charset val="204"/>
          </rPr>
          <t xml:space="preserve">
подходов нет, только длина моста в п.м.</t>
        </r>
      </text>
    </comment>
    <comment ref="A378" authorId="1" shapeId="0">
      <text>
        <r>
          <rPr>
            <b/>
            <sz val="9"/>
            <color indexed="81"/>
            <rFont val="Tahoma"/>
            <family val="2"/>
            <charset val="204"/>
          </rPr>
          <t>Зуева Анастасия Игоревна:</t>
        </r>
        <r>
          <rPr>
            <sz val="9"/>
            <color indexed="81"/>
            <rFont val="Tahoma"/>
            <family val="2"/>
            <charset val="204"/>
          </rPr>
          <t xml:space="preserve">
должно быть "в Усть-Таркском районе Новосибирской области"</t>
        </r>
      </text>
    </comment>
    <comment ref="G380" authorId="1" shapeId="0">
      <text>
        <r>
          <rPr>
            <b/>
            <sz val="9"/>
            <color indexed="81"/>
            <rFont val="Tahoma"/>
            <family val="2"/>
            <charset val="204"/>
          </rPr>
          <t>Зуева Анастасия Игоревна:</t>
        </r>
        <r>
          <rPr>
            <sz val="9"/>
            <color indexed="81"/>
            <rFont val="Tahoma"/>
            <family val="2"/>
            <charset val="204"/>
          </rPr>
          <t xml:space="preserve">
263 216,4 по расчету стартовой цены</t>
        </r>
      </text>
    </comment>
    <comment ref="A382" authorId="1" shapeId="0">
      <text>
        <r>
          <rPr>
            <b/>
            <sz val="9"/>
            <color indexed="81"/>
            <rFont val="Tahoma"/>
            <family val="2"/>
            <charset val="204"/>
          </rPr>
          <t>Зуева Анастасия Игоревна:</t>
        </r>
        <r>
          <rPr>
            <sz val="9"/>
            <color indexed="81"/>
            <rFont val="Tahoma"/>
            <family val="2"/>
            <charset val="204"/>
          </rPr>
          <t xml:space="preserve">
должно быть "в Усть-Таркском районе Новосибирской области"</t>
        </r>
      </text>
    </comment>
    <comment ref="G384" authorId="1" shapeId="0">
      <text>
        <r>
          <rPr>
            <b/>
            <sz val="9"/>
            <color indexed="81"/>
            <rFont val="Tahoma"/>
            <family val="2"/>
            <charset val="204"/>
          </rPr>
          <t>Зуева Анастасия Игоревна:</t>
        </r>
        <r>
          <rPr>
            <sz val="9"/>
            <color indexed="81"/>
            <rFont val="Tahoma"/>
            <family val="2"/>
            <charset val="204"/>
          </rPr>
          <t xml:space="preserve">
263 216,4 по расчету стартовой цены</t>
        </r>
      </text>
    </comment>
    <comment ref="G435" authorId="1" shapeId="0">
      <text>
        <r>
          <rPr>
            <b/>
            <sz val="9"/>
            <color indexed="81"/>
            <rFont val="Tahoma"/>
            <family val="2"/>
            <charset val="204"/>
          </rPr>
          <t>Зуева Анастасия Игоревна:</t>
        </r>
        <r>
          <rPr>
            <sz val="9"/>
            <color indexed="81"/>
            <rFont val="Tahoma"/>
            <family val="2"/>
            <charset val="204"/>
          </rPr>
          <t xml:space="preserve">
26662,8</t>
        </r>
      </text>
    </comment>
    <comment ref="L772" authorId="0" shapeId="0">
      <text>
        <r>
          <rPr>
            <b/>
            <sz val="9"/>
            <color indexed="81"/>
            <rFont val="Tahoma"/>
            <family val="2"/>
            <charset val="204"/>
          </rPr>
          <t>Громенко Елена Николаевна:</t>
        </r>
        <r>
          <rPr>
            <sz val="9"/>
            <color indexed="81"/>
            <rFont val="Tahoma"/>
            <family val="2"/>
            <charset val="204"/>
          </rPr>
          <t xml:space="preserve">
75,3 км  в связи с изм. В Тогучинском р-не </t>
        </r>
      </text>
    </comment>
    <comment ref="G1019" authorId="1" shapeId="0">
      <text>
        <r>
          <rPr>
            <b/>
            <sz val="9"/>
            <color indexed="81"/>
            <rFont val="Tahoma"/>
            <family val="2"/>
            <charset val="204"/>
          </rPr>
          <t>Зуева Анастасия Игоревна:</t>
        </r>
        <r>
          <rPr>
            <sz val="9"/>
            <color indexed="81"/>
            <rFont val="Tahoma"/>
            <family val="2"/>
            <charset val="204"/>
          </rPr>
          <t xml:space="preserve">
2,53 по проекту</t>
        </r>
      </text>
    </comment>
  </commentList>
</comments>
</file>

<file path=xl/comments2.xml><?xml version="1.0" encoding="utf-8"?>
<comments xmlns="http://schemas.openxmlformats.org/spreadsheetml/2006/main">
  <authors>
    <author>Громенко Елена Николаевна</author>
    <author>Зуева Анастасия Игоревна</author>
    <author>Половодова Марта Витальевна</author>
  </authors>
  <commentList>
    <comment ref="L10" authorId="0" shapeId="0">
      <text>
        <r>
          <rPr>
            <b/>
            <sz val="9"/>
            <color indexed="81"/>
            <rFont val="Tahoma"/>
            <family val="2"/>
            <charset val="204"/>
          </rPr>
          <t>Громенко Елена Николаевна:</t>
        </r>
        <r>
          <rPr>
            <sz val="9"/>
            <color indexed="81"/>
            <rFont val="Tahoma"/>
            <family val="2"/>
            <charset val="204"/>
          </rPr>
          <t xml:space="preserve">
31,5 км без учета приведения мостов в КМ</t>
        </r>
      </text>
    </comment>
    <comment ref="M10" authorId="0" shapeId="0">
      <text>
        <r>
          <rPr>
            <b/>
            <sz val="9"/>
            <color indexed="81"/>
            <rFont val="Tahoma"/>
            <family val="2"/>
            <charset val="204"/>
          </rPr>
          <t>Громенко Елена Николаевна:</t>
        </r>
        <r>
          <rPr>
            <sz val="9"/>
            <color indexed="81"/>
            <rFont val="Tahoma"/>
            <family val="2"/>
            <charset val="204"/>
          </rPr>
          <t xml:space="preserve">
38,8 км без учета приведения мостов в КМ</t>
        </r>
      </text>
    </comment>
    <comment ref="O64" authorId="1" shapeId="0">
      <text>
        <r>
          <rPr>
            <b/>
            <sz val="9"/>
            <color indexed="81"/>
            <rFont val="Tahoma"/>
            <family val="2"/>
            <charset val="204"/>
          </rPr>
          <t>Зуева Анастасия Игоревна:</t>
        </r>
        <r>
          <rPr>
            <sz val="9"/>
            <color indexed="81"/>
            <rFont val="Tahoma"/>
            <family val="2"/>
            <charset val="204"/>
          </rPr>
          <t xml:space="preserve">
подходы 0,3 км</t>
        </r>
      </text>
    </comment>
    <comment ref="A68" authorId="1" shapeId="0">
      <text>
        <r>
          <rPr>
            <b/>
            <sz val="9"/>
            <color indexed="81"/>
            <rFont val="Tahoma"/>
            <family val="2"/>
            <charset val="204"/>
          </rPr>
          <t>Зуева Анастасия Игоревна:</t>
        </r>
        <r>
          <rPr>
            <sz val="9"/>
            <color indexed="81"/>
            <rFont val="Tahoma"/>
            <family val="2"/>
            <charset val="204"/>
          </rPr>
          <t xml:space="preserve">
нет объекта в приоритетных направлениях Министерства сельского х-ва</t>
        </r>
      </text>
    </comment>
    <comment ref="G96" authorId="1" shapeId="0">
      <text>
        <r>
          <rPr>
            <b/>
            <sz val="9"/>
            <color indexed="81"/>
            <rFont val="Tahoma"/>
            <family val="2"/>
            <charset val="204"/>
          </rPr>
          <t>Зуева Анастасия Игоревна:</t>
        </r>
        <r>
          <rPr>
            <sz val="9"/>
            <color indexed="81"/>
            <rFont val="Tahoma"/>
            <family val="2"/>
            <charset val="204"/>
          </rPr>
          <t xml:space="preserve">
43915,7 по  расчету стартовой цены!!!</t>
        </r>
      </text>
    </comment>
    <comment ref="A98" authorId="1" shapeId="0">
      <text>
        <r>
          <rPr>
            <b/>
            <sz val="9"/>
            <color indexed="81"/>
            <rFont val="Tahoma"/>
            <family val="2"/>
            <charset val="204"/>
          </rPr>
          <t>Зуева Анастасия Игоревна:</t>
        </r>
        <r>
          <rPr>
            <sz val="9"/>
            <color indexed="81"/>
            <rFont val="Tahoma"/>
            <family val="2"/>
            <charset val="204"/>
          </rPr>
          <t xml:space="preserve">
нет объекта в приоритетных направлениях Министерства сельского х-ва</t>
        </r>
      </text>
    </comment>
    <comment ref="O115" authorId="1" shapeId="0">
      <text>
        <r>
          <rPr>
            <b/>
            <sz val="9"/>
            <color indexed="81"/>
            <rFont val="Tahoma"/>
            <family val="2"/>
            <charset val="204"/>
          </rPr>
          <t>Зуева Анастасия Игоревна:</t>
        </r>
        <r>
          <rPr>
            <sz val="9"/>
            <color indexed="81"/>
            <rFont val="Tahoma"/>
            <family val="2"/>
            <charset val="204"/>
          </rPr>
          <t xml:space="preserve">
в файле подходы 0,08 км…по проекту 0,0766 км</t>
        </r>
      </text>
    </comment>
    <comment ref="A147" authorId="0" shapeId="0">
      <text>
        <r>
          <rPr>
            <b/>
            <sz val="9"/>
            <color indexed="81"/>
            <rFont val="Tahoma"/>
            <family val="2"/>
            <charset val="204"/>
          </rPr>
          <t>Громенко Елена Николаевна:</t>
        </r>
        <r>
          <rPr>
            <sz val="9"/>
            <color indexed="81"/>
            <rFont val="Tahoma"/>
            <family val="2"/>
            <charset val="204"/>
          </rPr>
          <t xml:space="preserve">
 на участке км 11+223  - км 26+223 </t>
        </r>
      </text>
    </comment>
    <comment ref="A195" authorId="1" shapeId="0">
      <text>
        <r>
          <rPr>
            <b/>
            <sz val="9"/>
            <color indexed="81"/>
            <rFont val="Tahoma"/>
            <family val="2"/>
            <charset val="204"/>
          </rPr>
          <t>Зуева Анастасия Игоревна:</t>
        </r>
        <r>
          <rPr>
            <sz val="9"/>
            <color indexed="81"/>
            <rFont val="Tahoma"/>
            <family val="2"/>
            <charset val="204"/>
          </rPr>
          <t xml:space="preserve">
нет объекта!
Дублирует объкт выше</t>
        </r>
      </text>
    </comment>
    <comment ref="L195" authorId="0" shapeId="0">
      <text>
        <r>
          <rPr>
            <b/>
            <sz val="9"/>
            <color indexed="81"/>
            <rFont val="Tahoma"/>
            <family val="2"/>
            <charset val="204"/>
          </rPr>
          <t>Громенко Елена Николаевна:</t>
        </r>
        <r>
          <rPr>
            <sz val="9"/>
            <color indexed="81"/>
            <rFont val="Tahoma"/>
            <family val="2"/>
            <charset val="204"/>
          </rPr>
          <t xml:space="preserve">
?????</t>
        </r>
      </text>
    </comment>
    <comment ref="A227" authorId="1" shapeId="0">
      <text>
        <r>
          <rPr>
            <b/>
            <sz val="9"/>
            <color indexed="81"/>
            <rFont val="Tahoma"/>
            <family val="2"/>
            <charset val="204"/>
          </rPr>
          <t>Зуева Анастасия Игоревна:</t>
        </r>
        <r>
          <rPr>
            <sz val="9"/>
            <color indexed="81"/>
            <rFont val="Tahoma"/>
            <family val="2"/>
            <charset val="204"/>
          </rPr>
          <t xml:space="preserve">
нет объекта</t>
        </r>
      </text>
    </comment>
    <comment ref="A250" authorId="1" shapeId="0">
      <text>
        <r>
          <rPr>
            <b/>
            <sz val="9"/>
            <color indexed="81"/>
            <rFont val="Tahoma"/>
            <family val="2"/>
            <charset val="204"/>
          </rPr>
          <t>Зуева Анастасия Игоревна:</t>
        </r>
        <r>
          <rPr>
            <sz val="9"/>
            <color indexed="81"/>
            <rFont val="Tahoma"/>
            <family val="2"/>
            <charset val="204"/>
          </rPr>
          <t xml:space="preserve">
нет объекта</t>
        </r>
      </text>
    </comment>
    <comment ref="A285" authorId="0" shapeId="0">
      <text>
        <r>
          <rPr>
            <b/>
            <sz val="9"/>
            <color indexed="81"/>
            <rFont val="Tahoma"/>
            <family val="2"/>
            <charset val="204"/>
          </rPr>
          <t>Громенко Елена Николаевна:</t>
        </r>
        <r>
          <rPr>
            <sz val="9"/>
            <color indexed="81"/>
            <rFont val="Tahoma"/>
            <family val="2"/>
            <charset val="204"/>
          </rPr>
          <t xml:space="preserve">
повтор слов</t>
        </r>
      </text>
    </comment>
    <comment ref="A293" authorId="1" shapeId="0">
      <text>
        <r>
          <rPr>
            <b/>
            <sz val="9"/>
            <color indexed="81"/>
            <rFont val="Tahoma"/>
            <family val="2"/>
            <charset val="204"/>
          </rPr>
          <t>Зуева Анастасия Игоревна:</t>
        </r>
        <r>
          <rPr>
            <sz val="9"/>
            <color indexed="81"/>
            <rFont val="Tahoma"/>
            <family val="2"/>
            <charset val="204"/>
          </rPr>
          <t xml:space="preserve">
должно быть  "в Новосибирском районе Новосибирской области"</t>
        </r>
      </text>
    </comment>
    <comment ref="A301" authorId="1" shapeId="0">
      <text>
        <r>
          <rPr>
            <b/>
            <sz val="9"/>
            <color indexed="81"/>
            <rFont val="Tahoma"/>
            <family val="2"/>
            <charset val="204"/>
          </rPr>
          <t>Зуева Анастасия Игоревна:</t>
        </r>
        <r>
          <rPr>
            <sz val="9"/>
            <color indexed="81"/>
            <rFont val="Tahoma"/>
            <family val="2"/>
            <charset val="204"/>
          </rPr>
          <t xml:space="preserve">
не прописан "Новосибирский район" в нашем файле</t>
        </r>
      </text>
    </comment>
    <comment ref="O301" authorId="1" shapeId="0">
      <text>
        <r>
          <rPr>
            <b/>
            <sz val="9"/>
            <color indexed="81"/>
            <rFont val="Tahoma"/>
            <family val="2"/>
            <charset val="204"/>
          </rPr>
          <t>Зуева Анастасия Игоревна:</t>
        </r>
        <r>
          <rPr>
            <sz val="9"/>
            <color indexed="81"/>
            <rFont val="Tahoma"/>
            <family val="2"/>
            <charset val="204"/>
          </rPr>
          <t xml:space="preserve">
тоннель 157 п.м. подходы 1,0 км
</t>
        </r>
      </text>
    </comment>
    <comment ref="O318" authorId="2" shapeId="0">
      <text>
        <r>
          <rPr>
            <b/>
            <sz val="9"/>
            <color indexed="81"/>
            <rFont val="Tahoma"/>
            <family val="2"/>
            <charset val="204"/>
          </rPr>
          <t>Половодова Марта Витальевна:</t>
        </r>
        <r>
          <rPr>
            <sz val="9"/>
            <color indexed="81"/>
            <rFont val="Tahoma"/>
            <family val="2"/>
            <charset val="204"/>
          </rPr>
          <t xml:space="preserve">
подходов нет, только длина моста в п.м.</t>
        </r>
      </text>
    </comment>
    <comment ref="O322" authorId="2" shapeId="0">
      <text>
        <r>
          <rPr>
            <b/>
            <sz val="9"/>
            <color indexed="81"/>
            <rFont val="Tahoma"/>
            <family val="2"/>
            <charset val="204"/>
          </rPr>
          <t>Половодова Марта Витальевна:</t>
        </r>
        <r>
          <rPr>
            <sz val="9"/>
            <color indexed="81"/>
            <rFont val="Tahoma"/>
            <family val="2"/>
            <charset val="204"/>
          </rPr>
          <t xml:space="preserve">
подходов нет, только длина моста в п.м.</t>
        </r>
      </text>
    </comment>
    <comment ref="O326" authorId="2" shapeId="0">
      <text>
        <r>
          <rPr>
            <b/>
            <sz val="9"/>
            <color indexed="81"/>
            <rFont val="Tahoma"/>
            <family val="2"/>
            <charset val="204"/>
          </rPr>
          <t>Половодова Марта Витальевна:</t>
        </r>
        <r>
          <rPr>
            <sz val="9"/>
            <color indexed="81"/>
            <rFont val="Tahoma"/>
            <family val="2"/>
            <charset val="204"/>
          </rPr>
          <t xml:space="preserve">
подходов нет, только длина моста в п.м.</t>
        </r>
      </text>
    </comment>
    <comment ref="G400" authorId="1" shapeId="0">
      <text>
        <r>
          <rPr>
            <b/>
            <sz val="9"/>
            <color indexed="81"/>
            <rFont val="Tahoma"/>
            <family val="2"/>
            <charset val="204"/>
          </rPr>
          <t>Зуева Анастасия Игоревна:</t>
        </r>
        <r>
          <rPr>
            <sz val="9"/>
            <color indexed="81"/>
            <rFont val="Tahoma"/>
            <family val="2"/>
            <charset val="204"/>
          </rPr>
          <t xml:space="preserve">
263 216,4 по расчету стартовой цены</t>
        </r>
      </text>
    </comment>
    <comment ref="A402" authorId="1" shapeId="0">
      <text>
        <r>
          <rPr>
            <b/>
            <sz val="9"/>
            <color indexed="81"/>
            <rFont val="Tahoma"/>
            <family val="2"/>
            <charset val="204"/>
          </rPr>
          <t>Зуева Анастасия Игоревна:</t>
        </r>
        <r>
          <rPr>
            <sz val="9"/>
            <color indexed="81"/>
            <rFont val="Tahoma"/>
            <family val="2"/>
            <charset val="204"/>
          </rPr>
          <t xml:space="preserve">
должно быть "в Усть-Таркском районе Новосибирской области"</t>
        </r>
      </text>
    </comment>
    <comment ref="G404" authorId="1" shapeId="0">
      <text>
        <r>
          <rPr>
            <b/>
            <sz val="9"/>
            <color indexed="81"/>
            <rFont val="Tahoma"/>
            <family val="2"/>
            <charset val="204"/>
          </rPr>
          <t>Зуева Анастасия Игоревна:</t>
        </r>
        <r>
          <rPr>
            <sz val="9"/>
            <color indexed="81"/>
            <rFont val="Tahoma"/>
            <family val="2"/>
            <charset val="204"/>
          </rPr>
          <t xml:space="preserve">
263 216,4 по расчету стартовой цены</t>
        </r>
      </text>
    </comment>
    <comment ref="G523" authorId="1" shapeId="0">
      <text>
        <r>
          <rPr>
            <b/>
            <sz val="9"/>
            <color indexed="81"/>
            <rFont val="Tahoma"/>
            <family val="2"/>
            <charset val="204"/>
          </rPr>
          <t>Зуева Анастасия Игоревна:</t>
        </r>
        <r>
          <rPr>
            <sz val="9"/>
            <color indexed="81"/>
            <rFont val="Tahoma"/>
            <family val="2"/>
            <charset val="204"/>
          </rPr>
          <t xml:space="preserve">
26662,8</t>
        </r>
      </text>
    </comment>
    <comment ref="L869" authorId="0" shapeId="0">
      <text>
        <r>
          <rPr>
            <b/>
            <sz val="9"/>
            <color indexed="81"/>
            <rFont val="Tahoma"/>
            <family val="2"/>
            <charset val="204"/>
          </rPr>
          <t>Громенко Елена Николаевна:</t>
        </r>
        <r>
          <rPr>
            <sz val="9"/>
            <color indexed="81"/>
            <rFont val="Tahoma"/>
            <family val="2"/>
            <charset val="204"/>
          </rPr>
          <t xml:space="preserve">
75,3 км  в связи с изм. В Тогучинском р-не </t>
        </r>
      </text>
    </comment>
    <comment ref="L872" authorId="0" shapeId="0">
      <text>
        <r>
          <rPr>
            <b/>
            <sz val="9"/>
            <color indexed="81"/>
            <rFont val="Tahoma"/>
            <family val="2"/>
            <charset val="204"/>
          </rPr>
          <t>Громенко Елена Николаевна:</t>
        </r>
        <r>
          <rPr>
            <sz val="9"/>
            <color indexed="81"/>
            <rFont val="Tahoma"/>
            <family val="2"/>
            <charset val="204"/>
          </rPr>
          <t xml:space="preserve">
75,3 км  в связи с изм. В Тогучинском р-не </t>
        </r>
      </text>
    </comment>
    <comment ref="L879" authorId="0" shapeId="0">
      <text>
        <r>
          <rPr>
            <b/>
            <sz val="9"/>
            <color indexed="81"/>
            <rFont val="Tahoma"/>
            <family val="2"/>
            <charset val="204"/>
          </rPr>
          <t>Громенко Елена Николаевна:</t>
        </r>
        <r>
          <rPr>
            <sz val="9"/>
            <color indexed="81"/>
            <rFont val="Tahoma"/>
            <family val="2"/>
            <charset val="204"/>
          </rPr>
          <t xml:space="preserve">
75,3 км  в связи с изм. В Тогучинском р-не </t>
        </r>
      </text>
    </comment>
    <comment ref="G1162" authorId="1" shapeId="0">
      <text>
        <r>
          <rPr>
            <b/>
            <sz val="9"/>
            <color indexed="81"/>
            <rFont val="Tahoma"/>
            <family val="2"/>
            <charset val="204"/>
          </rPr>
          <t>Зуева Анастасия Игоревна:</t>
        </r>
        <r>
          <rPr>
            <sz val="9"/>
            <color indexed="81"/>
            <rFont val="Tahoma"/>
            <family val="2"/>
            <charset val="204"/>
          </rPr>
          <t xml:space="preserve">
2,53 по проекту</t>
        </r>
      </text>
    </comment>
  </commentList>
</comments>
</file>

<file path=xl/comments3.xml><?xml version="1.0" encoding="utf-8"?>
<comments xmlns="http://schemas.openxmlformats.org/spreadsheetml/2006/main">
  <authors>
    <author>Эпов Сергей Витальевич</author>
  </authors>
  <commentList>
    <comment ref="D71" authorId="0" shapeId="0">
      <text>
        <r>
          <rPr>
            <b/>
            <sz val="9"/>
            <color indexed="81"/>
            <rFont val="Tahoma"/>
            <family val="2"/>
            <charset val="204"/>
          </rPr>
          <t>Эпов Сергей Витальевич:</t>
        </r>
        <r>
          <rPr>
            <sz val="9"/>
            <color indexed="81"/>
            <rFont val="Tahoma"/>
            <family val="2"/>
            <charset val="204"/>
          </rPr>
          <t xml:space="preserve">
741-р от 21.04.2016</t>
        </r>
      </text>
    </comment>
    <comment ref="D74" authorId="0" shapeId="0">
      <text>
        <r>
          <rPr>
            <b/>
            <sz val="9"/>
            <color indexed="81"/>
            <rFont val="Tahoma"/>
            <family val="2"/>
            <charset val="204"/>
          </rPr>
          <t>Эпов Сергей Витальевич:
740-р от 21.04.2016</t>
        </r>
        <r>
          <rPr>
            <sz val="9"/>
            <color indexed="81"/>
            <rFont val="Tahoma"/>
            <family val="2"/>
            <charset val="204"/>
          </rPr>
          <t xml:space="preserve">
</t>
        </r>
      </text>
    </comment>
  </commentList>
</comments>
</file>

<file path=xl/comments4.xml><?xml version="1.0" encoding="utf-8"?>
<comments xmlns="http://schemas.openxmlformats.org/spreadsheetml/2006/main">
  <authors>
    <author>Эпов Сергей Витальевич</author>
  </authors>
  <commentList>
    <comment ref="D49" authorId="0" shapeId="0">
      <text>
        <r>
          <rPr>
            <b/>
            <sz val="9"/>
            <color indexed="81"/>
            <rFont val="Tahoma"/>
            <family val="2"/>
            <charset val="204"/>
          </rPr>
          <t>Эпов Сергей Витальевич:</t>
        </r>
        <r>
          <rPr>
            <sz val="9"/>
            <color indexed="81"/>
            <rFont val="Tahoma"/>
            <family val="2"/>
            <charset val="204"/>
          </rPr>
          <t xml:space="preserve">
741-р от 21.04.2016</t>
        </r>
      </text>
    </comment>
    <comment ref="D51" authorId="0" shapeId="0">
      <text>
        <r>
          <rPr>
            <b/>
            <sz val="9"/>
            <color indexed="81"/>
            <rFont val="Tahoma"/>
            <family val="2"/>
            <charset val="204"/>
          </rPr>
          <t>Эпов Сергей Витальевич:
740-р от 21.04.2016</t>
        </r>
        <r>
          <rPr>
            <sz val="9"/>
            <color indexed="81"/>
            <rFont val="Tahoma"/>
            <family val="2"/>
            <charset val="204"/>
          </rPr>
          <t xml:space="preserve">
</t>
        </r>
      </text>
    </comment>
    <comment ref="A55" authorId="0" shapeId="0">
      <text>
        <r>
          <rPr>
            <b/>
            <sz val="9"/>
            <color indexed="81"/>
            <rFont val="Tahoma"/>
            <family val="2"/>
            <charset val="204"/>
          </rPr>
          <t>Эпов Сергей Витальевич:</t>
        </r>
        <r>
          <rPr>
            <sz val="9"/>
            <color indexed="81"/>
            <rFont val="Tahoma"/>
            <family val="2"/>
            <charset val="204"/>
          </rPr>
          <t xml:space="preserve">
</t>
        </r>
        <r>
          <rPr>
            <sz val="14"/>
            <color indexed="81"/>
            <rFont val="Tahoma"/>
            <family val="2"/>
            <charset val="204"/>
          </rPr>
          <t>прочие</t>
        </r>
        <r>
          <rPr>
            <sz val="12"/>
            <color indexed="81"/>
            <rFont val="Tahoma"/>
            <family val="2"/>
            <charset val="204"/>
          </rPr>
          <t xml:space="preserve"> затраты (ПСД, конкурсная документация, выкуп земельных участков)</t>
        </r>
      </text>
    </comment>
    <comment ref="A56" authorId="0" shapeId="0">
      <text>
        <r>
          <rPr>
            <b/>
            <sz val="9"/>
            <color indexed="81"/>
            <rFont val="Tahoma"/>
            <family val="2"/>
            <charset val="204"/>
          </rPr>
          <t>Эпов Сергей Витальевич:</t>
        </r>
        <r>
          <rPr>
            <sz val="9"/>
            <color indexed="81"/>
            <rFont val="Tahoma"/>
            <family val="2"/>
            <charset val="204"/>
          </rPr>
          <t xml:space="preserve">
</t>
        </r>
        <r>
          <rPr>
            <sz val="12"/>
            <color indexed="81"/>
            <rFont val="Tahoma"/>
            <family val="2"/>
            <charset val="204"/>
          </rPr>
          <t>капитальные затраты</t>
        </r>
      </text>
    </comment>
  </commentList>
</comments>
</file>

<file path=xl/sharedStrings.xml><?xml version="1.0" encoding="utf-8"?>
<sst xmlns="http://schemas.openxmlformats.org/spreadsheetml/2006/main" count="7047" uniqueCount="1132">
  <si>
    <t>Наименование мероприятия</t>
  </si>
  <si>
    <t>Наименование показателя</t>
  </si>
  <si>
    <t>Ответственный исполнитель</t>
  </si>
  <si>
    <t>Ожидаемый результат (краткое описание)</t>
  </si>
  <si>
    <t>ГРБС</t>
  </si>
  <si>
    <t>Рз Пр</t>
  </si>
  <si>
    <t>ЦСР</t>
  </si>
  <si>
    <t>ВР</t>
  </si>
  <si>
    <t>Значение показателя на 2016 год</t>
  </si>
  <si>
    <t xml:space="preserve">в том числе: </t>
  </si>
  <si>
    <t xml:space="preserve">областной бюджет </t>
  </si>
  <si>
    <t xml:space="preserve">местные бюджеты </t>
  </si>
  <si>
    <t>1.1.1. Обеспечение развития, сохранности и восстановления автомобильных дорог регионального, межмуниципального и местного значения  и искусственных сооружений на них в Новосибирской области</t>
  </si>
  <si>
    <t>Строительство автомобильной дороги "205 км а/д "К-01" - Стретенка" в Баганском районе Новосибирской области</t>
  </si>
  <si>
    <t>Строительство автомобильной дороги "18 км а/д "Н-0202" - Александро-Невский" в Баганском районе Новосибирской области</t>
  </si>
  <si>
    <t>0409</t>
  </si>
  <si>
    <t>61004ХХ</t>
  </si>
  <si>
    <t>Реконструкция автомобильной дороги "131 км а/д "К-22" - Игнатьевка" в Венгеровском районе Новосибирской области</t>
  </si>
  <si>
    <t>Реконструкция автомобильной дороги "106 км а/д "К-07" - Индерь (центр. усадьба)" в Доволенском районе Новосибирской области</t>
  </si>
  <si>
    <t>мост ч/р Ояш на 8 км а/д "100 км а/д "М-53" -  Сибиряк", Болотнинский район</t>
  </si>
  <si>
    <t>Строительство автомобильной дороги "Сузун - Мереть" в Сузунском районе Новосибирской области</t>
  </si>
  <si>
    <t>Строительство автомобильной дороги "Новопервомайское - Платоновка" в Татарском районе Новосибирской области</t>
  </si>
  <si>
    <t xml:space="preserve">Прочие  затраты </t>
  </si>
  <si>
    <t>мост ч/р Большеречье на 1 км а/д "Большеречье-Новопокровка", Кыштовский район</t>
  </si>
  <si>
    <t>Стоимость единицы, тыс.руб.</t>
  </si>
  <si>
    <t xml:space="preserve">Сумма затрат, тыс.руб., </t>
  </si>
  <si>
    <t>Минтранс НСО, ГКУ НСО ТУАД</t>
  </si>
  <si>
    <t>ХХХХХХХ</t>
  </si>
  <si>
    <t>ХХХ</t>
  </si>
  <si>
    <t xml:space="preserve"> в том числе по объектам:</t>
  </si>
  <si>
    <t>в том числе:</t>
  </si>
  <si>
    <t>Объем работ уточняется</t>
  </si>
  <si>
    <t>Прочие затраты</t>
  </si>
  <si>
    <t>тыс.руб.</t>
  </si>
  <si>
    <t>федеральный бюджет *</t>
  </si>
  <si>
    <t>Капитальный ремонт 1 км автодороги</t>
  </si>
  <si>
    <t>Капитальный ремонт 2,5  км автодороги</t>
  </si>
  <si>
    <t xml:space="preserve"> Капитальный ремонт 2 км автодороги</t>
  </si>
  <si>
    <t>Капитальный ремонт 2,5 км автодороги</t>
  </si>
  <si>
    <t>Капитальный ремонт 0,2 км автодороги</t>
  </si>
  <si>
    <t xml:space="preserve"> Ремонт 1 км автодороги</t>
  </si>
  <si>
    <t>в том числе по районам:</t>
  </si>
  <si>
    <t>Баганский район</t>
  </si>
  <si>
    <t>Барабинский район</t>
  </si>
  <si>
    <t>Болотнинский район</t>
  </si>
  <si>
    <t>Венгеровский район</t>
  </si>
  <si>
    <t>Доволенский район</t>
  </si>
  <si>
    <t>Здвинский район</t>
  </si>
  <si>
    <t>Искитимский район</t>
  </si>
  <si>
    <t>Карасукский район</t>
  </si>
  <si>
    <t>Каргатский район</t>
  </si>
  <si>
    <t>Колыванский район</t>
  </si>
  <si>
    <t>Коченевский район</t>
  </si>
  <si>
    <t>Кочковский район</t>
  </si>
  <si>
    <t>Краснозерский район</t>
  </si>
  <si>
    <t>Куйбышевский район</t>
  </si>
  <si>
    <t>Купинский район</t>
  </si>
  <si>
    <t>Кыштовский район</t>
  </si>
  <si>
    <t>Маслянинский район</t>
  </si>
  <si>
    <t>Мошковский район</t>
  </si>
  <si>
    <t>Новосибирский район</t>
  </si>
  <si>
    <t>Ордынский район</t>
  </si>
  <si>
    <t>Северный район</t>
  </si>
  <si>
    <t>Сузунский район</t>
  </si>
  <si>
    <t>Татарский район</t>
  </si>
  <si>
    <t>Тогучинский район</t>
  </si>
  <si>
    <t>Убинский район</t>
  </si>
  <si>
    <t>Усть-Таркский район</t>
  </si>
  <si>
    <t>Чановский район</t>
  </si>
  <si>
    <t>Черепановский район</t>
  </si>
  <si>
    <t>Чистоозерный район</t>
  </si>
  <si>
    <t>Чулымский район</t>
  </si>
  <si>
    <t>Содержание  базы  материалов  2-й  группы</t>
  </si>
  <si>
    <t>Совершенствование дорожных технологий, конструкций и материалов, разработка индивидуальных сметных норм и единичных расценок, отсутствующих в сметной нормативной базе</t>
  </si>
  <si>
    <t>Количество муниципальных образований</t>
  </si>
  <si>
    <t>г. Бердск</t>
  </si>
  <si>
    <t>г.Искитим</t>
  </si>
  <si>
    <t>р.п. Кольцово</t>
  </si>
  <si>
    <t>г.Обь</t>
  </si>
  <si>
    <t>г.Новосибирск</t>
  </si>
  <si>
    <t>внебюджетные источники*</t>
  </si>
  <si>
    <t>1.2. Задача 2: Перевод автомобильной дороги «Новосибирск – Кочки – Павлодар (в пред. РФ)» на участке Новосибирск – Ярково в Новосибирском районе Новосибирской области в 1 техническую категорию.</t>
  </si>
  <si>
    <t>1.2.1. Реконструкция автомобильной дороги «Новосибирск – Кочки – Павлодар (в пред. РФ)» на участке Новосибирск – Ярково в Новосибирском районе Новосибирской области на условиях государственно-частного партнерства</t>
  </si>
  <si>
    <t xml:space="preserve">1.2.1.1. Реконструкция автомобильной дороги «Новосибирск – Кочки – Павлодар (в пред. РФ)» на участке Новосибирск – Ярково в Новосибирском районе Новосибирской области </t>
  </si>
  <si>
    <t>Выполнение строительно-монтажных работ по реконструкции 18 км автомобильной дороги «Новосибирск – Кочки – Павлодар (в пред. РФ)» на участке Новосибирск – Ярково за счет средств частного инвестора.</t>
  </si>
  <si>
    <t xml:space="preserve">1.2.1.2. Компенсация инвестиционных и эксплуатационных затрат за реконструкцию автомобильной дороги «Новосибирск – Кочки – Павлодар (в пред. РФ)» на участке Новосибирск – Ярково в Новосибирском районе Новосибирской области </t>
  </si>
  <si>
    <t>Итого на решение задачи 2:</t>
  </si>
  <si>
    <t>Компенсация собственных и заемных средств частного инвестора, соответствующей доходности (доходность акционеров, проценты по займам), а также расходов частного инвестора на содержание и ремонт дороги из областного бюджета Новосибирской области ( в соответствии с частью 13 статьи 3 Федерального закона от 21.07.2005 № 115-ФЗ «О концессионных соглашениях»).</t>
  </si>
  <si>
    <t>Минтранс НСО, ГКУ НСО ТУАД  во взаимодействии с организациями-исполнителями</t>
  </si>
  <si>
    <t>Мощность, км</t>
  </si>
  <si>
    <t xml:space="preserve">местные бюджеты* </t>
  </si>
  <si>
    <t>Количество, км</t>
  </si>
  <si>
    <t>Капитальный ремонт 0,28 км автодороги</t>
  </si>
  <si>
    <t>Капитальный ремонт 123,1 п.м</t>
  </si>
  <si>
    <t>а/д "12 км а/д "К-12" -  Криводановка"</t>
  </si>
  <si>
    <t>а/д "992 км а/д "М-51"-Купино-Карасук", Татарский район</t>
  </si>
  <si>
    <t>Баганский район:</t>
  </si>
  <si>
    <t>Болотнинский район:</t>
  </si>
  <si>
    <t>Венгеровский район:</t>
  </si>
  <si>
    <t>Доволенский район:</t>
  </si>
  <si>
    <t>Искитимский район:</t>
  </si>
  <si>
    <t>Коченевский район:</t>
  </si>
  <si>
    <t>Кыштовский район:</t>
  </si>
  <si>
    <t>Новосибирский район:</t>
  </si>
  <si>
    <t>Ордынский район:</t>
  </si>
  <si>
    <t>Сузунский район:</t>
  </si>
  <si>
    <t>Татарский район:</t>
  </si>
  <si>
    <t>Чистоозерный район:</t>
  </si>
  <si>
    <t>а/д «Баган - Палецкое - Кучугур (в гр. района)»</t>
  </si>
  <si>
    <t>капитальный ремонт водопропускных труб</t>
  </si>
  <si>
    <t>а/д «1152 км а/д «М-51» - Таскаево - Бакмасиха»</t>
  </si>
  <si>
    <t>капремонт водопропускных труб</t>
  </si>
  <si>
    <t>а/д "127 км а/д "М-53" -  Болотное"</t>
  </si>
  <si>
    <t>а/д «52 км а/д «К-02» - Филошенка»</t>
  </si>
  <si>
    <t>а/д « 99 км а/д «К-02» - Павлово»</t>
  </si>
  <si>
    <t>а/д «Чаны - Венгерово - Кыштовка»</t>
  </si>
  <si>
    <t>Барабинский район:</t>
  </si>
  <si>
    <t>Здвинский район:</t>
  </si>
  <si>
    <t>а/д «992 км а/д «М-51» - Купино - Карасук»</t>
  </si>
  <si>
    <t>Карасукский район:</t>
  </si>
  <si>
    <t>а/д «232 км а/д «К-01» - Благодатное - Шилово-Курья - 377 км а/д «К-17р»</t>
  </si>
  <si>
    <t>мост ч/р Скалушка на 55 км а/д «Новосибирск - Колывань -Томск (в границах НСО)»</t>
  </si>
  <si>
    <t>Колыванский район:</t>
  </si>
  <si>
    <t>путепровод на 1 км автодороги "71 км а/д "М-52"-Легостаево-Чемское- 76 км а/д "К-16" (в гр. района)"</t>
  </si>
  <si>
    <t>Каргатский район:</t>
  </si>
  <si>
    <t>Краснозерский район:</t>
  </si>
  <si>
    <t>а/д «Куйбышев - Чумаково - Балман»</t>
  </si>
  <si>
    <t>Куйбышевский район:</t>
  </si>
  <si>
    <t>а/д «56 км а/д «Н-3118» - Чаинка - Тюменка»</t>
  </si>
  <si>
    <t>Купинский район:</t>
  </si>
  <si>
    <t>а/д «155 км а/д «К-02» - Межовка - гр. Северного района»</t>
  </si>
  <si>
    <t>а/д «105 км а/д «М-52» - Черепаново -  Маслянино»</t>
  </si>
  <si>
    <t>Маслянинский район:</t>
  </si>
  <si>
    <t xml:space="preserve"> Мошковский район:</t>
  </si>
  <si>
    <t>а/д «109 км а/д «К-17р»-Вагайцево-Усть-Луковка»</t>
  </si>
  <si>
    <t>а/д «Северное - Биаза - гр. Кыштовского района»</t>
  </si>
  <si>
    <t xml:space="preserve"> Северный район:</t>
  </si>
  <si>
    <t>Тогучинский район:</t>
  </si>
  <si>
    <t>Убинский район:</t>
  </si>
  <si>
    <t>Усть-Таркский район :</t>
  </si>
  <si>
    <t>Чановский район:</t>
  </si>
  <si>
    <t>Черепановский район:</t>
  </si>
  <si>
    <t xml:space="preserve"> Чулымский район:</t>
  </si>
  <si>
    <t>Код бюджетной классификации</t>
  </si>
  <si>
    <t xml:space="preserve">Значение показателя на 2015 год, </t>
  </si>
  <si>
    <t>Значение показателя на 2015 год (поквартально)</t>
  </si>
  <si>
    <t>1 кв.</t>
  </si>
  <si>
    <t>2 кв.</t>
  </si>
  <si>
    <t>3 кв.</t>
  </si>
  <si>
    <t>4 кв.</t>
  </si>
  <si>
    <t>а/д "Баган - Палецкое - Кучугур (в гр. района)"</t>
  </si>
  <si>
    <t>а/д "Здвинск - Барабинск"</t>
  </si>
  <si>
    <t>а/д "54 км а/д "М-52" - Завьялово - Факел Революции"</t>
  </si>
  <si>
    <t xml:space="preserve"> Искитимский район:</t>
  </si>
  <si>
    <t>а/д "Новосибирск-Кочки-Павлодар (в пред. РФ)"</t>
  </si>
  <si>
    <t>Кочковский район:</t>
  </si>
  <si>
    <t>а/д "Куйбышев - Северное"</t>
  </si>
  <si>
    <t>а/д "992 км а/д "М-51" - Купино - Карасук"</t>
  </si>
  <si>
    <t>а/д "Кыштовка - Малокрасноярка"</t>
  </si>
  <si>
    <t>ремонт водопропускных труб</t>
  </si>
  <si>
    <t>а/д "60 км а/д "М-53" - Мошково - Белоярка"</t>
  </si>
  <si>
    <t>Мошковский район:</t>
  </si>
  <si>
    <t>а/д "Новосибирск - Кочки - Павлодар (в пред.РФ)"</t>
  </si>
  <si>
    <t>Северный район:</t>
  </si>
  <si>
    <t>Чулымский район:</t>
  </si>
  <si>
    <t>а/д «75 км а/д «К-04» - Федоровка»</t>
  </si>
  <si>
    <t>а/д «9 км а/д «К-14» - Верх-Мильтюши - Куриловка»</t>
  </si>
  <si>
    <t>а/д «105 км а/д «М-52» - Сузун»</t>
  </si>
  <si>
    <t>а/д «105 км а/д «М-52» - Черепаново - Маслянино»</t>
  </si>
  <si>
    <t>а/д «1047 км а/д «М-51» - Блюдчанское  - Черниговка - Блюдцы»</t>
  </si>
  <si>
    <t>а/д «24 км а/д «Н-2802»-Новоникольск»</t>
  </si>
  <si>
    <t>а/д «Татарск - Зубовка»</t>
  </si>
  <si>
    <t>а/д «4 км а/д «Н-2304»-Витинск»</t>
  </si>
  <si>
    <t>а/д «Инская - Барышево - 39 км а/д «К-19р» (в гр. района)»</t>
  </si>
  <si>
    <t>а/д  «Новосибирск -   Каменка»</t>
  </si>
  <si>
    <t>а/д «127 км а/д «К-19р» -Дубровка-Маслянино»</t>
  </si>
  <si>
    <t>Мощность,                           км</t>
  </si>
  <si>
    <t>мост ч/р Амба на 61 км а/д «Новосибирск - Колывань -Томск (в границах НСО)»</t>
  </si>
  <si>
    <t>а/д «Новосибирск - Колывань - Томск» (в границах НСО)</t>
  </si>
  <si>
    <t>мост ч/р Безымянная на 62 км а/д "Новосибирск - Колывань -Томск (в границах НСО)"</t>
  </si>
  <si>
    <t>а/д «Куйбышев - Северное»</t>
  </si>
  <si>
    <t>мост ч/р Омь на 2 км а/д "66 км а/д "Н-1408"-Ушково-Михайловка"</t>
  </si>
  <si>
    <t>а/д «203км а/д»К-17р»-Каргат»</t>
  </si>
  <si>
    <t>а/д "93км а/д "К-09" - Первотроицк"</t>
  </si>
  <si>
    <t>а/д "Новосибирск-Красный Яр"</t>
  </si>
  <si>
    <t>а/д «Каргат - Маршанское»</t>
  </si>
  <si>
    <t>Реализация мероприятия позволит предотвратить или ликвидировать последствия стихийных бедствий и чрезвычайных ситуаций в сфере дорожного хозяйства  в случае их возникновения, а также позволит обеспечить финансирование возникших при этом непредвиденных расходов дорожно-строительного комплекса</t>
  </si>
  <si>
    <t>Реализация данного мероприятия позволит повысить пропускную способность и безопасность автомобильных дорог местного значения, прежде всего искусственных сооружений, а также обеспечить устойчивое транспортное сообщение с местами массовой жилищной застройки в населенных пунктах Новосибирской области</t>
  </si>
  <si>
    <t>Минтранс НСО, органы местного самоуправления</t>
  </si>
  <si>
    <t>Минтранс НСО</t>
  </si>
  <si>
    <t xml:space="preserve">Подробный перечень </t>
  </si>
  <si>
    <t xml:space="preserve">планируемых к реализации мероприятий государственной программы Новосибирской области </t>
  </si>
  <si>
    <t>Реализация мероприятия позволит обеспечить безопасное и бесперебойное движение транспорта на автомобильных дорогах общего пользования Новосибирской области</t>
  </si>
  <si>
    <t>Таблица 3</t>
  </si>
  <si>
    <t xml:space="preserve">1.2.1. Капитальный ремонт, ремонт, содержание, иные мероприятия в отношении  автомобильных дорог регионального и межмуниципального значения и искусственных сооружений на них </t>
  </si>
  <si>
    <t>1.1. Задача: Развитие и модернизация автомобильных дорог общего пользования регионального и межмуниципального значения и искусственных сооружений на них</t>
  </si>
  <si>
    <t>Ввод в эксплуатацию 2,051 км автодороги</t>
  </si>
  <si>
    <t>Ввод в эксплуатацию 2,750 км автодороги</t>
  </si>
  <si>
    <t>Ввод в эксплуатацию 2,665 км автодороги</t>
  </si>
  <si>
    <t>Ввод в эксплуатацию 2,066 км автодороги</t>
  </si>
  <si>
    <t>Ввод в эксплуатацию 1,417 км автодороги</t>
  </si>
  <si>
    <t>Ввод в эксплуатацию 2,068 км автодороги</t>
  </si>
  <si>
    <t>Строительство автомобильной дороги "102 км а/д "К-01" - Олтарь" в Чистоозерном районе Новосибирской области</t>
  </si>
  <si>
    <t>Строительство путепровода через железную дорогу "Омск - Новосибирск" на 6 км а/д "Коченево - совхоз Коченевский" в Коченевском районе Новосибирской области</t>
  </si>
  <si>
    <t xml:space="preserve">Реконструкция автомобильной дороги "Богатиха - Новорозино (в гр. района)" в Купинском районе Новосибирской области          </t>
  </si>
  <si>
    <t>Ввод в эксплуатацию 5,6 км автодороги</t>
  </si>
  <si>
    <t>Ввод в эксплуатацию 1,2 км автодороги</t>
  </si>
  <si>
    <t>строительство мостового перехода через реку Карасук на 43 км а/д "103 км а/д "К-17р" - Петровский - Большеникольское -Чулым (в гр. района)"</t>
  </si>
  <si>
    <t>Кредиторская задолженность</t>
  </si>
  <si>
    <t>а/д "217 км а/д "К-01" - Мироновка"</t>
  </si>
  <si>
    <t>Капитальный ремонт 1,14 км автодороги</t>
  </si>
  <si>
    <t>Капитальный ремонт 0,92 км автодороги</t>
  </si>
  <si>
    <t>а/д «Новосибирск - Ленинск-Кузнецкий (в границах НСО)"</t>
  </si>
  <si>
    <t>Объект введен в эксплуатацию в 2014 году</t>
  </si>
  <si>
    <t>Ввод в эксплуатацию 1,6 км автодороги</t>
  </si>
  <si>
    <t>Реконструкция автомобильной дороги "94 км а/д ""К-22"-Усть -Ламенка" в Венгеровском районе Новосибирской области</t>
  </si>
  <si>
    <t>Ввод в эксплуатацию 7,17 км автодороги</t>
  </si>
  <si>
    <t>Реконструкция автомобильной дороги "70 км а/д "К-12" - Пихтовка - Пономаревка" на участке км 79+087 - км 84+087 в Колыванском районе Новосибирской области</t>
  </si>
  <si>
    <t xml:space="preserve">Реконструкция автомобильной дороги "Куйбышев - Малинино" на участке км 5+065 - км 6+800 в Куйбышевском районе Новосибирской области </t>
  </si>
  <si>
    <t>Ввод в эксплуатацию 1,7 км автодороги</t>
  </si>
  <si>
    <t>Строительство мостового перехода через протоку Кожурла  на а/д "Купино - Новониколаевка - Новорозинская переправа" в Купинском районе Новосибирской области</t>
  </si>
  <si>
    <t>Ввод в эксплуатацию 3 км автодороги</t>
  </si>
  <si>
    <t>Реконструкция автомобильной дороги "22 км а/д "К-29" - Бобровка - Шайдурово - Чингис (в гр. района)" на участке км 41+749 - км 43+310 в Сузунском районе Новосибирской области</t>
  </si>
  <si>
    <t>Ввод в эксплуатацию 2 км автодороги</t>
  </si>
  <si>
    <t>Реконструкция автомобильной дороги "14 км а/д "Н-3203" -  Сарыкамышка" на участке км 0+000 - км 3+000 в Чулымском районе Новосибирской области.</t>
  </si>
  <si>
    <t>Капитальный ремонт 2,8 км автодороги</t>
  </si>
  <si>
    <t>Капитальный ремонт 0,5 км автодороги</t>
  </si>
  <si>
    <t>а/д "Куйбышев - Венгерово - гр. Омской области
(старый Московский тракт)"</t>
  </si>
  <si>
    <t>Капитальный ремонт 1,7 км автодороги</t>
  </si>
  <si>
    <t xml:space="preserve"> Ремонт 0,45 км автодороги</t>
  </si>
  <si>
    <t>Капитальный ремонт 1,65 км автодороги</t>
  </si>
  <si>
    <t>Капитальный ремонт 4,9 км автодороги</t>
  </si>
  <si>
    <t>Капитальный ремонт 0,8 км автодороги</t>
  </si>
  <si>
    <t>Капитальный ремонт 0,95 км автодороги</t>
  </si>
  <si>
    <t>Ввод в эксплуатацию 1,68 км автодороги</t>
  </si>
  <si>
    <t>Реконструкция автомобильной дороги "Подъезд к с.Нижнекаменка
/34 км/" в Ордынском районе Новосибирской области</t>
  </si>
  <si>
    <t>Реализация мероприятия позволит осуществлять заблаговременную подготовку  проектно-сметной документации, проведение процедуры размещения государственного заказа на строительно-монтажные работы до начала строительного сезона,   обеспечить разработку проектной и рабочей документации на первоочередные объекты  дорожной инфраструктуры Новосибирской области</t>
  </si>
  <si>
    <t>Сумма затрат (тыс.руб.), в том числе:</t>
  </si>
  <si>
    <t>Строительство моста ч/р Койниха на 7 км а/д "70 км а/д "М-52"-Евсино-Новолокти" в Искитимском районе Новосибирской области</t>
  </si>
  <si>
    <t xml:space="preserve">Строительство мостового перехода ч/р Ик на а/д "Легостаево - Новососедово - Верх-Ики ( в гр.района)" в Искитимском районе Новосибирской области </t>
  </si>
  <si>
    <t>Реконструкция автомобильной дороги "56 км а/д "Н-3118" - Чаинка - Тюменка" на участке км 16+963 - км 22+963 в Купинском районе Новосибирской области</t>
  </si>
  <si>
    <t>Строительство автомобильной дороги «Обход с.Сарапулка» с мостом ч/р Иня  в Мошковском и Тогучинском районах Новосибирской области</t>
  </si>
  <si>
    <t>Реконструкция мостового перехода ч/р Шеничный Лог на 134 км а/д "Новосибирск - Кочки - Павлодар (в пред. РФ)"в Ордынском районе Новосибирской области</t>
  </si>
  <si>
    <t>Реконструкция автомобильной дороги "79 км а/д "К-04"-Федоровка" на участке 17+900 - км 21+900  в Северном районе Новосибирской области</t>
  </si>
  <si>
    <t>Строительство моста через реку Кама на 2 км а/д "Подъезд к с. Чистое озеро /8 км/" в Венгеровском районе Новосибирской области</t>
  </si>
  <si>
    <t>Реконструкция автомобильной дороги "1 км а/д "Н-2123" - Верх-Тула -  Ленинское -ОБЬГЭС" в Новосибирском районе Новосибирской области</t>
  </si>
  <si>
    <t>Ввод в эксплуатацию 2,261 км автодороги</t>
  </si>
  <si>
    <t xml:space="preserve"> </t>
  </si>
  <si>
    <t>Сумма затрат (областной бюджет, тыс.руб.)</t>
  </si>
  <si>
    <t>областной бюджет</t>
  </si>
  <si>
    <t>федеральный бюджет*</t>
  </si>
  <si>
    <t>а/д "130 км а/д "М-53" -  Тогучин-Карпысак"</t>
  </si>
  <si>
    <t>а/д "81 км а/д "К-07" - Баклуши"</t>
  </si>
  <si>
    <t>а/д "109 км а/д "К-16" - Буготак - Репьево"</t>
  </si>
  <si>
    <t>мост ч/р Карасук на 5 км а/д "178 км а/д "К-17р" - Быструха"</t>
  </si>
  <si>
    <t xml:space="preserve"> Ремонт 5 км автодороги (в т.ч. поверхностная обработка)</t>
  </si>
  <si>
    <t>Ремонт путепровода протяженностью 48,44 п.м</t>
  </si>
  <si>
    <t>а/д "46 км а/д "М-52" - Сосновка"</t>
  </si>
  <si>
    <t>а/д "203 км а/д "К-17р"-Каргат"</t>
  </si>
  <si>
    <t>а/д "130 км а/д "М-53" - Тогучин - Карпысак"</t>
  </si>
  <si>
    <t>Капитальный ремонт 2,486 км автодороги</t>
  </si>
  <si>
    <t>Реализация мероприятия позволит осуществлять контроль качества дорожно-строительных работ на автомобильных дорогах регионального, межмуниципального и местного значения Новосибирской области</t>
  </si>
  <si>
    <t>1.2.3. Оказание услуг по независимому контролю (диагностика и оценка) состояния автомобильных дорог и тротуаров после ремонта с отбором проб и испытанием материалов покрытия</t>
  </si>
  <si>
    <t>Ввод в эксплуатацию моста протяженностью  44,72 п.м (подходы 0,42 км) **</t>
  </si>
  <si>
    <t>Ввод в эксплуатацию моста протяженностью  24,92 п.м (подходы 0,18 км) **</t>
  </si>
  <si>
    <t>Ввод в эксплуатацию моста протяженностью  23,1 п.м **</t>
  </si>
  <si>
    <t>61ХХХХХХ</t>
  </si>
  <si>
    <t>Реконструкция а/д 1 км а/д"Н-3207"- Базово - гр. Ордынского р-на" в Чулымском районе</t>
  </si>
  <si>
    <t>Значение показателя на 2016 год (поквартально)</t>
  </si>
  <si>
    <t>Мощность, км/ п.м</t>
  </si>
  <si>
    <t>Реконструкция автомобильной дороги "29 км а/д "Н-3104"-Новый Кошкуль" в Чистоозерном районе Новосибирской области</t>
  </si>
  <si>
    <t>Ввод в эксплуатацию 2,5 км автодороги</t>
  </si>
  <si>
    <t>стройка</t>
  </si>
  <si>
    <t>реконструкция</t>
  </si>
  <si>
    <t>с ИССО</t>
  </si>
  <si>
    <t>а/д</t>
  </si>
  <si>
    <t>Оплата по исполнительному листу согласно вынесенного судебного решения</t>
  </si>
  <si>
    <t>Строительство мостового перехода через реку Карасук на 43 км а/д "103 км а/д "К-17р" - Петровский - Большеникольское - Чулым (в гр.района)</t>
  </si>
  <si>
    <t>Ввод в эксплуатацию моста протяженностью 35,2 п.м (подходы 0,4 км) **</t>
  </si>
  <si>
    <t>-</t>
  </si>
  <si>
    <t>1.Цель: : Развитие и обеспечение сохранности автомобильных дорог регионального, межмуниципального и местного значения для обеспечения внутриобластных перевозок в интересах экономики и населения Новосибирской области и для усиления роли Новосибирска как крупнейшего транспортно-логистического узла азиатской части России</t>
  </si>
  <si>
    <t xml:space="preserve">а/д "Новосибирск - Колывань - Томск (в границах НСО)" </t>
  </si>
  <si>
    <t>Капитальный ремонт  автодороги 0,5 км</t>
  </si>
  <si>
    <t>Ввод в эксплуатацию 6  км автодороги</t>
  </si>
  <si>
    <t>Ввод в эксплуатацию 2,2 км автодороги</t>
  </si>
  <si>
    <t>Строительство автомобильной дороги "с.Березово-с.Гусельниково"</t>
  </si>
  <si>
    <t>Реконструкция автомобильной дороги "Искитим -Верх-Коен-Михайловка</t>
  </si>
  <si>
    <t>Реконструкция автомобильной дороги "19 км а/д "Н-0804"-Морозово"</t>
  </si>
  <si>
    <t>Реконструкция автомобильной дороги  а/д «2 км а/д «Н-1514» - Октябрьский - Хабаровский» на участке км 1+115- км 2+615 в Краснозёрском районе Новосибирской области</t>
  </si>
  <si>
    <t>Реконструкция автомобильной дороги "173 км а/д "К-01" Рождественка - Новоключи"</t>
  </si>
  <si>
    <t xml:space="preserve">Реконструкция автомобильной дороги "14 км а/д "Н-0601" - Ильинка - Дружный" </t>
  </si>
  <si>
    <t>Реконструкция автомобильной дороги "Чаны - Погорелка" на участке км 11+468 - км 13+200</t>
  </si>
  <si>
    <t xml:space="preserve">Строительство а/д с. Березово – с. Гусельниково </t>
  </si>
  <si>
    <t>Для проведения проектно -изыскательских работ</t>
  </si>
  <si>
    <t>Капитальный ремонт водопропускной трубы</t>
  </si>
  <si>
    <t>Ремонт водопропускных труб</t>
  </si>
  <si>
    <t>Капитальный ремонт 1,5 км автодороги</t>
  </si>
  <si>
    <t>Реконструкция автомобильной дороги "Барабинск-Зюзя-Квашнино"</t>
  </si>
  <si>
    <t>Реконструкция автомобильной дороги  "26 км а/д "Н-0502" - Ночка" на участке км 0+000 - км 2+674  в Венгеровском районе Новосибирской области</t>
  </si>
  <si>
    <t>Строительство моста через реку  Петушиха на 4 км а/д "Искитим-Лебедевка", Искитимский район</t>
  </si>
  <si>
    <t>Строительство автомобильной дороги "М-51"- Коченево" в Коченевском районе</t>
  </si>
  <si>
    <t>Реконструкция автомобильной дороги «332км а/д «К-17р»-ст.Зубково» на участке км 10+900 - км 12+235  в Краснозёрском районе Новосибирской области</t>
  </si>
  <si>
    <t>Ввод в эксплуатацию 1,5 км автодороги</t>
  </si>
  <si>
    <t>Реконструкция автомобильной дороги "56 км а/д "Н-3118"- Чаинка-Тюменка" на участке км 22+963 - км 27+963 в Купинском районе Новосибирской области</t>
  </si>
  <si>
    <t>Реконструкция автомобильной дороги "Кыштовка-Малокрасноярка" на участке км 29+300 - км 35+300 в Кыштовском районе Новосибирской области</t>
  </si>
  <si>
    <t>Ввод в эксплуатацию 8,5 км автодороги</t>
  </si>
  <si>
    <t>Реконструкция автомобильной дороги "Новосибирск-Ленинск-Кузнецкий" на участке км 12- км 24 в Новосибирском районе Новосибирской области</t>
  </si>
  <si>
    <t>Строительство автомобильной дороги от с. Криводановка до Северного обхода г. Новосибирска</t>
  </si>
  <si>
    <t xml:space="preserve">Строительство пешеходного моста на 1 км а/д "Новосибирск - аэропорт Толмачево" </t>
  </si>
  <si>
    <t>Реконструкция автомобильной дороги  "Новосибирск - аэропорт Толмачево" в г. Обь Новосибирской области</t>
  </si>
  <si>
    <t>Реконструкция автомобильной дороги "29 км а/д "К-29" - Заковряжино - Шипуново" на участке км 19+927 - км 20+027  (ликвидация оврагообразования) в Сузунском районе Новосибирской области</t>
  </si>
  <si>
    <t>Реконструкция автомобильной дороги  "992 км а/д "М-51" - Купино - Карасук" в Татарском районе Новосибирской области</t>
  </si>
  <si>
    <t>Реконструкция автомобильной дороги  "992 км а/д "М-51" - Купино - Карасук" в Чистоозерном районе Новосибирской области</t>
  </si>
  <si>
    <t>а/д "Подъезд к с. Здвинск /2км/ "</t>
  </si>
  <si>
    <t>а/д "1413 км а/д "М-51" - Колывань"</t>
  </si>
  <si>
    <t>Капремонт водопропускных труб</t>
  </si>
  <si>
    <t>а/д "53 км а/д "К-15" - Борково"</t>
  </si>
  <si>
    <t>Капитальный ремонт водопропускных труб</t>
  </si>
  <si>
    <t>а/д "Северное - Биаза - гр. Кыштовского района"</t>
  </si>
  <si>
    <t>Капитальный ремонт 1,25 км автодороги</t>
  </si>
  <si>
    <t>Капитальный ремонт 3,775 км автодороги</t>
  </si>
  <si>
    <t>а/д "103 км а/д "К-17р" - Петровский - Большеникольское -Чулым (в гр. района)"</t>
  </si>
  <si>
    <t>а/д "3 км а/д "К-32"-Михайловка - гр. Алтайского края"</t>
  </si>
  <si>
    <t>Ввод в эксплуатацию моста протяженностью  73,1 п.м (подходы 0,5 км) **</t>
  </si>
  <si>
    <t xml:space="preserve">Строительство моста через ручей на 2 км автомобильной дороги «2 км а/д «Н-1514» - Октябрьский - Хабаровский» </t>
  </si>
  <si>
    <t>Реконструкция автомобильной дороги  "Инская - Барышево - 39 км а/д "К-19р" (в гр. района)" на участке км 17+939 - км 21+000 в Новосибирском районе Новосибирской области</t>
  </si>
  <si>
    <t>Ввод в эксплуатацию 2,1 км автодороги</t>
  </si>
  <si>
    <t>Строительство автомобильной дороги "Барышево - Орловка - Кольцово" с автодорожным тоннелем под железной дорогой</t>
  </si>
  <si>
    <t>Ввод в эксплуатацию 5,5 км автодороги</t>
  </si>
  <si>
    <t xml:space="preserve">а/д "Здвинск-Довольное-17 км а/д "К-09" </t>
  </si>
  <si>
    <t>Капитальный ремонт 1,72 км автодороги</t>
  </si>
  <si>
    <t>Капитальный ремонт 2,0 км автодороги</t>
  </si>
  <si>
    <t xml:space="preserve">1.2. Задача: Обеспечение сохранности и восстановления автомобильных дорог регионального, межмуниципального и местного значения и искусственных сооружений на них, а также улично-дорожной сети в муниципальных образованиях  Новосибирской области. </t>
  </si>
  <si>
    <t>областной бюджет, тыс.руб.</t>
  </si>
  <si>
    <t>федеральный бюджет, тыс.руб.</t>
  </si>
  <si>
    <t>Сумма затрат  тыс.руб.</t>
  </si>
  <si>
    <t>Сумма затрат, тыс.руб.</t>
  </si>
  <si>
    <t>Обл.бюджет тыс.руб.</t>
  </si>
  <si>
    <t>Сумма затрат тыс.руб.</t>
  </si>
  <si>
    <t>Ввод в эксплуатацию  6,9 км автодороги</t>
  </si>
  <si>
    <t>Ввод в эксплуатацию 1,34 км автодороги</t>
  </si>
  <si>
    <t>Капитальный ремонт 1,45 км автодороги</t>
  </si>
  <si>
    <t>а/д "332 км а/д "К-17р" -  ст.Зубково"</t>
  </si>
  <si>
    <t>областной бюджет тыс. руб.</t>
  </si>
  <si>
    <t xml:space="preserve">Реконструкция автомобильной дороги "52 км а/д "К-02" - Филошенка" на участке км 18+109 - км 25+057 в Венгеровском районе Новосибирской области </t>
  </si>
  <si>
    <t xml:space="preserve">Реконструкция автомобильной дороги "Новосибирск-Садовый" в Новосибирском районе Новосибирской области </t>
  </si>
  <si>
    <t>Реконструкция автомобильной дороги  "Инская - Барышево - 39 км а/д "К-19р" (в гр. района)" на участке км 21+000 - км 27+158 в Новосибирском районе Новосибирской области</t>
  </si>
  <si>
    <t>Ввод в эксплуатацию 0,9 км автодороги</t>
  </si>
  <si>
    <t>федеральный бюджет *****</t>
  </si>
  <si>
    <t>федеральный бюджет, тыс.руб. *****</t>
  </si>
  <si>
    <t>***** Мероприятия приоритетного проекта "Безопасные и качественные дороги"</t>
  </si>
  <si>
    <t>а/д "Новосибирск - Сокур (в гр.района)"</t>
  </si>
  <si>
    <t>Оплата кредиторской задолженности по выполненным и принятым работам в 2016 году</t>
  </si>
  <si>
    <t>Цель: Развитие и обеспечение сохранности автомобильных дорог регионального, межмуниципального и местного значения для обеспечения внутриобластных перевозок в интересах экономики и населения Новосибирской области и для усиления роли Новосибирска как крупнейшего транспортно-логистического узла азиатской части России.</t>
  </si>
  <si>
    <t xml:space="preserve"> Оценка степени достижения целевого индикатора осуществляется по результатам выполненных работ по итогам года</t>
  </si>
  <si>
    <t>км</t>
  </si>
  <si>
    <t>%</t>
  </si>
  <si>
    <t>автомобильных дорог общего пользования местного значения</t>
  </si>
  <si>
    <t>автомобильных дорог общего пользования регионального и межмуниципального значения</t>
  </si>
  <si>
    <t>В связи с тем, что оценка степени достижения целевого индикатора осуществляется по результатам выполненных работ по итогам года, поквартальные значения индикатора не приводятся</t>
  </si>
  <si>
    <t>4.Объемы ввода в эксплуатацию после строительства и реконструкции автомобильных дорог общего пользования регионального и межмуниципального  значения**</t>
  </si>
  <si>
    <t>3.Протяженность сети автомобильных дорог общего пользования регионального и межмуниципального  значения на территории Новосибирской области</t>
  </si>
  <si>
    <t>км/тыс.кв.км</t>
  </si>
  <si>
    <t>2.Плотность автодорог регионального и межмуниципального значения с твердым покрытием (км автодорог на 1000 кв. км территории)</t>
  </si>
  <si>
    <t>1.Удельный вес автодорог с твердым покрытием в общей протяженности автодорог регионального и межмуниципального значения</t>
  </si>
  <si>
    <t>Задача 1.  Развитие и модернизация автомобильных дорог общего пользования регионального и межмуниципального значения и искусственных сооружений на них.</t>
  </si>
  <si>
    <t>Примечание</t>
  </si>
  <si>
    <t>Значение весового коэффициента целевого индикатора</t>
  </si>
  <si>
    <t>Ед. измерения</t>
  </si>
  <si>
    <t>Наименование целевого индикатора</t>
  </si>
  <si>
    <t>Цель/задачи, требующие решения для достижения цели</t>
  </si>
  <si>
    <t>Целевые индикаторы</t>
  </si>
  <si>
    <t>Таблица 1</t>
  </si>
  <si>
    <t>ПРИЛОЖЕНИЕ № 1</t>
  </si>
  <si>
    <t>к государственной программе Новосибирской области «Развитие автомобильных дорог регионального, межмуниципального и местного значения в Новосибирской области» в 2015-2022 годах</t>
  </si>
  <si>
    <t>СВЕДЕНИЯ</t>
  </si>
  <si>
    <t xml:space="preserve"> о целевых показателях государственной программы  Новосибирской области </t>
  </si>
  <si>
    <t>«Развитие автомобильных дорог регионального, межмуниципального и местного значения в Новосибирской области»</t>
  </si>
  <si>
    <t xml:space="preserve"> в 2015-2022 годах</t>
  </si>
  <si>
    <t>Показатели и индикаторы</t>
  </si>
  <si>
    <t>Единица измерения</t>
  </si>
  <si>
    <t>2003-2012 годы*</t>
  </si>
  <si>
    <t>2013 год*</t>
  </si>
  <si>
    <t>2014 год*</t>
  </si>
  <si>
    <t>2015 год</t>
  </si>
  <si>
    <t>2016 год</t>
  </si>
  <si>
    <t>2017 год</t>
  </si>
  <si>
    <t>2018 год</t>
  </si>
  <si>
    <t>2019 год</t>
  </si>
  <si>
    <t>2020 год</t>
  </si>
  <si>
    <t>2021 год</t>
  </si>
  <si>
    <t>2022 год</t>
  </si>
  <si>
    <t>Цель: развитие и обеспечение сохранности автомобильных дорог регионального, межмуниципального и местного значения для обеспечения внутриобластных перевозок в интересах экономики и населения Новосибирской области и для усиления роли Новосибирска как крупнейшего транспортно-логистического узла азиатской части России</t>
  </si>
  <si>
    <t>Задача 1. Развитие и модернизация автомобильных дорог общего пользования регионального и межмуниципального значения и искусственных сооружений на них</t>
  </si>
  <si>
    <t>км/тыс. кв. км</t>
  </si>
  <si>
    <t>*Значение целевого индикатора до начала реализации государственной программы.</t>
  </si>
  <si>
    <t>**Целевые индикаторы задачи 2 указаны укрупненно, детализация показателей указывается в плане реализации государственной программы на очередной год и плановый период.</t>
  </si>
  <si>
    <t>**Показатель "Объемы ввода в эксплуатацию после строительства и реконструкции автомобильных дорог общего пользования регионального и межмуниципального  значения" учитывает расчетную протяженность по мостам!!!</t>
  </si>
  <si>
    <t>Примечания: 1. В графах «2013» и 2014 год» указаны фактически достигнутые величины показателей за соответствующий год.</t>
  </si>
  <si>
    <t>_____________________</t>
  </si>
  <si>
    <t>Источники и направления расходов в разрезе государственных заказчиков государственной программы (главных распорядителей бюджетных средств)</t>
  </si>
  <si>
    <t>Финансовые затраты, тыс. рублей (в ценах 2014 года)</t>
  </si>
  <si>
    <t>всего</t>
  </si>
  <si>
    <t>в том числе по годам</t>
  </si>
  <si>
    <t>Министерство транспорта и дорожного хозяйства Новосибирской области</t>
  </si>
  <si>
    <t>Всего финансовых затрат, в том числе из:</t>
  </si>
  <si>
    <t>федерального бюджета &lt;*&gt;</t>
  </si>
  <si>
    <t>областного бюджета</t>
  </si>
  <si>
    <t>местных бюджетов &lt;*&gt;</t>
  </si>
  <si>
    <t>внебюджетных источников &lt;*&gt;</t>
  </si>
  <si>
    <t>Капитальные вложения, в том числе из:</t>
  </si>
  <si>
    <t>НИОКР &lt;**&gt;, в том числе из:</t>
  </si>
  <si>
    <t>Прочие расходы, в том числе из:</t>
  </si>
  <si>
    <t>ВСЕГО ПО ГОСУДАРСТВЕННОЙ ПРОГРАММЕ:</t>
  </si>
  <si>
    <t>Справочно: суммарный объем бюджетных ассигнований муниципальных дорожных фондов</t>
  </si>
  <si>
    <t>Справочно:</t>
  </si>
  <si>
    <t>объем бюджетных ассигнований Федерального дорожного фонда, направленный на реализацию мероприятий государственной программы, всего</t>
  </si>
  <si>
    <t>субсидии из федерального бюджета областному бюджету Новосибирской области на строительство и реконструкцию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в рамках реализации федеральной целевой программы "Устойчивое развитие сельских территорий на 2014 - 2017 годы и на период до 2020 года"</t>
  </si>
  <si>
    <t>иные межбюджетные трансферты из федерального бюджета областному бюджету Новосибирской области на реализацию мероприятий региональных программ в сфере дорожного хозяйства по решениям Правительства Российской Федерации в рамках подпрограммы "Дорожное хозяйство" государственной программы Российской Федерации "Развитие транспортной системы"</t>
  </si>
  <si>
    <t>иные межбюджетные трансферты из федерального бюджета областному бюджету Новосибирской области на финансовое обеспечение дорожной деятельности в рамках подпрограммы "Дорожное хозяйство" государственной программы Российской Федерации "Развитие транспортной системы"</t>
  </si>
  <si>
    <t>иные межбюджетные трансферты из федерального бюджета областному бюджету Новосибирской области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</si>
  <si>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областной бюджет на ЦМ</t>
  </si>
  <si>
    <t>внебюджет на ЦМ</t>
  </si>
  <si>
    <t>индексы-дефляторы</t>
  </si>
  <si>
    <t>в текущих ценах</t>
  </si>
  <si>
    <t>кап. грант</t>
  </si>
  <si>
    <t>обл. бюджет</t>
  </si>
  <si>
    <t>внебюджет</t>
  </si>
  <si>
    <t>Распределение по годам в %</t>
  </si>
  <si>
    <t>Стоимость моста в ценах соотвествующих лет</t>
  </si>
  <si>
    <t>Итого</t>
  </si>
  <si>
    <t>ФБ</t>
  </si>
  <si>
    <t>ОБ</t>
  </si>
  <si>
    <t>ВБ</t>
  </si>
  <si>
    <t>общ</t>
  </si>
  <si>
    <t>год</t>
  </si>
  <si>
    <t>стоимость 1 км</t>
  </si>
  <si>
    <t>кол-во усл. км</t>
  </si>
  <si>
    <t>Реконструкция автомобильной дороги "39 км а/д "К-26" - Бровничи" на участке км 0 + 000 - км 6 + 895 в Венгеровском районе Нововсибирской области</t>
  </si>
  <si>
    <t>Ввод в эксплуатацию  автодороги, автодорожного тоннеля (объем работ  уточняется)</t>
  </si>
  <si>
    <t>Ввод в эксплуатацию моста протяженностью 50,0 п.м (подходы 0,6 км)  **</t>
  </si>
  <si>
    <t xml:space="preserve">Строительство мостового перехода ч/р Каракан на 55 км а/д "54 км а/д "М-52" - Завьялово -Факел Революции" в Искитимском районе Новосибирской области </t>
  </si>
  <si>
    <t>местные бюджеты</t>
  </si>
  <si>
    <t xml:space="preserve">федеральный бюджет </t>
  </si>
  <si>
    <t xml:space="preserve">Ввод в эксплуатацию моста протяженностью  23,6 п.м (подходы 0,0766 км)** </t>
  </si>
  <si>
    <t>Ввод в эксплуатацию моста протяженностью  247,3 п.м (подходы 0,6 км) **</t>
  </si>
  <si>
    <t>Сумма затрат (тыс.руб.)</t>
  </si>
  <si>
    <t>Капитальный ремонт 1,033 км автодороги</t>
  </si>
  <si>
    <t>а/д "1 км а/д "Н-2123" - Верх-Тула -  Ленинское-ОБЬГЭС"</t>
  </si>
  <si>
    <t>Оплата бюджетных обязательства по выполненным и принятым работам в 2016 году</t>
  </si>
  <si>
    <t>Реконструкция автомобильной дороги "22 км а/д "К-08" - Сарыбалык - Даниловская Ферма" на участке км 0+003 - км 2+068 в Доволенском районе  Новосибирской области</t>
  </si>
  <si>
    <t>иные межбюджетные трансферты на реализацию   приоритетного направления стратегического развития Российской Федерации, в целях реализации приоритетного проекта «Безопасные и качественные дороги»</t>
  </si>
  <si>
    <t xml:space="preserve">Капитальный ремонт моста 34,7 п.м (подходы 0,04 км) </t>
  </si>
  <si>
    <t>Федер.бюджет тыс.руб. *</t>
  </si>
  <si>
    <t>внебюджетные источники</t>
  </si>
  <si>
    <t>Капитальный ремонт 56,65 п.м (0,9293 км)**</t>
  </si>
  <si>
    <t>Капитальный ремонт 0,3 км автодороги</t>
  </si>
  <si>
    <t>Задача 2. Обеспечение сохранности и восстановления автомобильных дорог регионального, межмуниципального и местного значения и искусственных сооружений на них, а также улично-дорожной сети в муниципальных образованиях  Новосибирской области.</t>
  </si>
  <si>
    <t>Реализация мероприятия позволит завершить государственную регистрацию права собственности Новосибирской области на автомобильные дороги и земельные участки, входящие в полосы отвода автомобильных дорог, а также права ГКУ НСО ТУАД на оперативное управление и постоянное (бессрочное) пользование</t>
  </si>
  <si>
    <t>61000R0181</t>
  </si>
  <si>
    <t>52X</t>
  </si>
  <si>
    <t>федеральный бюджет***</t>
  </si>
  <si>
    <t>федеральный бюджет ***</t>
  </si>
  <si>
    <t>федеральный бюджет ******</t>
  </si>
  <si>
    <t>52Х</t>
  </si>
  <si>
    <t>Значение показателя на 2020 год</t>
  </si>
  <si>
    <t>Ввод в эксплуатацию 12,5 км автодороги</t>
  </si>
  <si>
    <t>Ввод в эксплуатацию 2,5  км автодороги</t>
  </si>
  <si>
    <t xml:space="preserve">а/д «Сузун - Битки - Преображенка - 18 км а/д «К-13» (в гр. района)» </t>
  </si>
  <si>
    <t>а/д "53 км а/д "К-29" - Шарчино"</t>
  </si>
  <si>
    <t xml:space="preserve"> Ремонт 2,0 км автодороги</t>
  </si>
  <si>
    <t>Минтранс НСО, ГКУ НСО "Мост"</t>
  </si>
  <si>
    <t xml:space="preserve">Сумма затрат (обл.бюджет), тыс.руб., </t>
  </si>
  <si>
    <t>Количество участков</t>
  </si>
  <si>
    <t>***</t>
  </si>
  <si>
    <t>шт.</t>
  </si>
  <si>
    <t xml:space="preserve">местный бюджет </t>
  </si>
  <si>
    <t>Бюджетные обязательства по выполненным и принятым работам в 2017 году</t>
  </si>
  <si>
    <t>Предусмотрены средства на оказание услуг по осуществлению функций независимого контроля за капитальным ремонтом автомобильных дорог</t>
  </si>
  <si>
    <t>Предусмотрены средства на оказание услуг по осуществлению функций независимого контроля за ремонтом автомобильных дорог</t>
  </si>
  <si>
    <t>Предусмотрены средства для оплаты энергопотребительских систем, на содержание мониторинговых приборов, содержание метеостанций, весового контроля, мероприятия по снегоборьбе и т.д.</t>
  </si>
  <si>
    <t>Таблица 3.1</t>
  </si>
  <si>
    <t xml:space="preserve">Весовой коэффициент по целевому индикатору будет присвоен после заключения федерального соглашения и начала финансирования  </t>
  </si>
  <si>
    <t xml:space="preserve">Реконструкция автомобильной дороги "Венгерово - Минино - Верх-Красноярка - Северное (в гр. района)" в Венгеровском районе Новосибирской области       </t>
  </si>
  <si>
    <t>а/д "Сузун - Битки - Преображенка - 18 км а/д "К-13" (в гр. района) "</t>
  </si>
  <si>
    <t>а/д "1408 км а/д "М-51" - Крутологово"</t>
  </si>
  <si>
    <t>а/д "15 км а/д "К-38" - Вассино - Дергоусово"</t>
  </si>
  <si>
    <t xml:space="preserve">Реконструкция автомобильной дороги "99 км а/д "К-02" - Павлово" на участке км 10+500 - км 23+049 в Венгеровском районе Новосибирской области  </t>
  </si>
  <si>
    <t>Реконструкция автомобильной дороги "Мироновка - Петрушино" в Баганском районе Новосибирской области</t>
  </si>
  <si>
    <t>Реконструкция   автомобильной дороги  "Новосибирск - Кочки - Павлодар (в пред. РФ)" на участке Новосибирск – Ярково в Новосибирском районе Новосибирской области</t>
  </si>
  <si>
    <t>Капитальный ремонт 1,6 км автодороги</t>
  </si>
  <si>
    <t>Ввод в эксплуатацию 0,2 км автодороги</t>
  </si>
  <si>
    <t>Рз</t>
  </si>
  <si>
    <t>Пр</t>
  </si>
  <si>
    <t>04</t>
  </si>
  <si>
    <t>09</t>
  </si>
  <si>
    <t>х</t>
  </si>
  <si>
    <t>Всего, в том числе:</t>
  </si>
  <si>
    <t>Оплата кредиторской задолжности за работы, выполненные в 2017 году</t>
  </si>
  <si>
    <t>В 2018 году будут исполнены по бюджетные обязательствам по выполненным и принятым работам в 2017 году</t>
  </si>
  <si>
    <t>Стоимость единицы</t>
  </si>
  <si>
    <t>Сумма затрат всего, в том числе</t>
  </si>
  <si>
    <t>федеральный бюджет</t>
  </si>
  <si>
    <t>областной бюджет, в том числе:</t>
  </si>
  <si>
    <t>1.2.1.6.1. Научно-исследовательские и конструкторские работы  в дорожной отрасли</t>
  </si>
  <si>
    <t>1.2.1.6.2. Оплата кредиторской задолженности за работы, выполненные в 2017 году</t>
  </si>
  <si>
    <t xml:space="preserve">1.2.1.7.1.Разработка проектно-сметной документации для автомобильных дорог регионального и межмуниципального значения </t>
  </si>
  <si>
    <t>Выполнение работ по ответственному хранению материальных ценностей мобилизационного резерва</t>
  </si>
  <si>
    <t>Реконструкция автомобильной дороги  "Каргат - Маршанское" на участке км 14+008  - км 34+106 в Каргатском районе Новосибирской области</t>
  </si>
  <si>
    <t>а/д "21 км а/д "К-17р" - Верх-Тула"</t>
  </si>
  <si>
    <t>Реконструкция моста через ручей на 19 км а/д "Мальчиха - Лаптевка" в Колыванском районе Новосибирской области</t>
  </si>
  <si>
    <t>Реконструкция пешеходного моста на 8,61км а/д "Советское шоссе" в Новосибирском районе Новосибирской области</t>
  </si>
  <si>
    <t>Капитальный ремонт моста протяженностью 45,68 п.м.</t>
  </si>
  <si>
    <t>Капитальный ремонт моста протяженностью 28,97 п.м.</t>
  </si>
  <si>
    <t>Для проведения проектно -изыскательских работ.  Мостовой  переход протяженностью 56,5 п.м., подходы 0,343 км</t>
  </si>
  <si>
    <t>Для проведения проектно -изыскательских работ. Протяженность автомобильной дороги 4,0  км</t>
  </si>
  <si>
    <t>Для проведения проектно -изыскательских работ. Протяженность автомобильной дороги 22,0  км</t>
  </si>
  <si>
    <t>Капитальный ремонт автодороги 0,4 км</t>
  </si>
  <si>
    <t xml:space="preserve">Для проведения регистрации права собственности </t>
  </si>
  <si>
    <t>Предусмотрены средства на выполнение подготовительных работ для реконструкции автомобильных дорог, на оказание услуг по осуществлению функций строительного контроля за реконструкцией автомобильных дорог</t>
  </si>
  <si>
    <t xml:space="preserve"> Ремонт 3,8 км автодороги</t>
  </si>
  <si>
    <t>****** Остатки средств  федерального бюджета, неиспользованные на 1 января текущего года</t>
  </si>
  <si>
    <t>Оценка степени достижения целевого индикатора осуществляется по результатам выполненных работ по итогам года</t>
  </si>
  <si>
    <t>1.1.2.4. Непредвиденные работы (в том числе разработка раздела "мероприятия по обеспечению сохранности памятника археологии", выполнение спасательных раскопок на территории выявленного памятника археологии)</t>
  </si>
  <si>
    <t>Сумма затрат всего, в том числе:</t>
  </si>
  <si>
    <t>Значение показателя на 2021 год</t>
  </si>
  <si>
    <t>Ввод в эксплуатацию 12,67 км автодороги</t>
  </si>
  <si>
    <t xml:space="preserve">Ввод в эксплатацию автомобильной дороги 2,6 км </t>
  </si>
  <si>
    <t>Реконструкция автомобильной дороги "38 км а/д "Н-1029"- Шейнфельд - Богословка"  в Карасукском районе Новосибирской области</t>
  </si>
  <si>
    <t>Ввод в эксплуатацию 12,8  км автодороги</t>
  </si>
  <si>
    <t>Строительство автомобильной дороги "2 км автомобильной дороги "Академгородок-Ключи" - Каинская Заимка" на участке км 0+00 - км 3+000 в Новосибирском районе</t>
  </si>
  <si>
    <t>Реконструкция автомобильной дороги  "Инская - Барышево - 39 км а/д "К-19р" (в гр. района)" на участке км 26+000 - км 30+739 в Новосибирском и Тогучинском районах Новосибирской области</t>
  </si>
  <si>
    <t>Реконструкция автомобильной дороги "Чаны - Погорелка" на участке км 11+468 - км 13+200 в Чановском районе Новосибирской области</t>
  </si>
  <si>
    <t>на очередной 2019 год и плановый период 2020 и 2021 годов</t>
  </si>
  <si>
    <t>Минтранс НСО,  ГКУ НСО ТУАД</t>
  </si>
  <si>
    <t xml:space="preserve">а/д "992 км а/д "М-51 - Купино - Карасук" </t>
  </si>
  <si>
    <t>а/д "Здвинск-Довольное-17 км а/д "К-09"</t>
  </si>
  <si>
    <t xml:space="preserve"> Ремонт 3,0 км автодороги</t>
  </si>
  <si>
    <t>а/д "127км а/д "К-19р" - Дубровка - Маслянино"</t>
  </si>
  <si>
    <t xml:space="preserve"> Ремонт 5,7 км автодороги</t>
  </si>
  <si>
    <t>а/д "71 км а/д "М-52" - Легостаево - Чемское - 76 км а/д "К-16"(в гр. района)"</t>
  </si>
  <si>
    <t xml:space="preserve"> Ремонт 2,9 км автодороги </t>
  </si>
  <si>
    <t xml:space="preserve">а/д "Чаны - Погорелка" </t>
  </si>
  <si>
    <t xml:space="preserve"> Ремонт 4,4 км автодороги (в т.ч. поверхностная обработка)</t>
  </si>
  <si>
    <t xml:space="preserve"> Ремонт 1,9 км автодороги</t>
  </si>
  <si>
    <t>В 2019-2021 годах   реализация мероприятия позволит осуществлять заблаговременную подготовку  проектно-сметной документации, проведение процедуры размещения государственного заказа на строительно-монтажные работы до начала строительного сезона,   обеспечить разработку проектной и рабочей документации на первоочередные объекты  дорожной инфраструктуры Новосибирской области</t>
  </si>
  <si>
    <t>В 2019-2021 годах продолжится работа по совершенствованию дорожных технологий, конструкций и материалов, разработка индивидуальных сметных норм и единичных расценок, отсутствующих в сметной нормативной базе</t>
  </si>
  <si>
    <t>Реализация мероприятия позволит в 2019-2021 годах  обеспечить поддержание транспортно-эксплуатационных характеристик автомобильных дорог и искусственных сооружений в состоянии, соответствующем требованиям действующих отраслевых нормативов</t>
  </si>
  <si>
    <t>61004XXXXX</t>
  </si>
  <si>
    <t>6100ХXXXXX</t>
  </si>
  <si>
    <t>6100XXXXXX</t>
  </si>
  <si>
    <t>Реконструкция автомобильной дороги "67 км а/д "К-21" - Егорьевское" на участке км 0+900 - км 3+000  в Маслянинском районе Новосибирской области</t>
  </si>
  <si>
    <t>Реконструкция автомобильной дороги "Новосибирск-Ленинск-Кузнецкий" на участке км 39- км 42 в Тогучинском районе Новосибирской области</t>
  </si>
  <si>
    <t>1.1.1. Строительство и реконструкция автомобильных дорог регионального и межмуниципального значения и искусственных сооружений на них в целях увеличения их пропускной способности</t>
  </si>
  <si>
    <t xml:space="preserve">1.1.3.  Оснащение объектов транспортной инфраструктуры техническими средствами обеспечения транспортной безопасности искусственных сооружений на автомобильных дорогах общего пользования Новосибирской области </t>
  </si>
  <si>
    <t xml:space="preserve">"Развитие автомобильных дорог регионального, межмуниципального и местного значения в Новосибирской области" </t>
  </si>
  <si>
    <t>Техническая готовность объекта, %</t>
  </si>
  <si>
    <t xml:space="preserve"> Искусственные сооружения, оснащеные средствами обеспечения транспортной безопасности, ед.</t>
  </si>
  <si>
    <t>Реконструкция автомобильной дороги "8 км а/д "Н-1203"-Семеновский"  в Коченевском районе Новосибирской области</t>
  </si>
  <si>
    <t>Ввод в эксплуатацию 0,6 км автодороги</t>
  </si>
  <si>
    <t>Ввод в эксплуатацию 4,0 км автодороги</t>
  </si>
  <si>
    <t>Проведение проектно -изыскательских работ</t>
  </si>
  <si>
    <t>***** Мероприятия регионального  проекта  Новосибирской области "Безопасные и качественные дороги"</t>
  </si>
  <si>
    <t>610R153931</t>
  </si>
  <si>
    <t>Сумма затрат областного бюджета, в том числе</t>
  </si>
  <si>
    <t>Сумма зтрат (тыс.рублей)</t>
  </si>
  <si>
    <t>а/д "52 км а/д "М-52" -  Искитим"</t>
  </si>
  <si>
    <t>Кыштовка-Малокрасноярка</t>
  </si>
  <si>
    <t xml:space="preserve"> а/д "29 км а/д "К-29" - Заковряжино - Шипуново" </t>
  </si>
  <si>
    <t>1196 км а/д "М-51"- Александро-Невское</t>
  </si>
  <si>
    <t xml:space="preserve"> Ремонт 4,0 км автодороги</t>
  </si>
  <si>
    <t>Ремонт 2,0 км автодороги</t>
  </si>
  <si>
    <t>20 км а/д «Н-0104» - Абакумово</t>
  </si>
  <si>
    <t>Ремонт 4,0 км автодороги</t>
  </si>
  <si>
    <t>Бакмасиха - Старый Карапуз</t>
  </si>
  <si>
    <t>Барабинск - Куйбышев</t>
  </si>
  <si>
    <t xml:space="preserve"> Ремонт 2,9 км автодороги</t>
  </si>
  <si>
    <t>130 км а/д М-53" - Тогучин - Карпысак"</t>
  </si>
  <si>
    <t>Корнилово - Кармановка</t>
  </si>
  <si>
    <t xml:space="preserve">а/д "Чаны - Венгерово - Кыштовка" </t>
  </si>
  <si>
    <t>52 км а/д "К-02" - Филошенка</t>
  </si>
  <si>
    <t>"Куйбышев - Венгерово - гр. Омской области (старый Московский тракт)"</t>
  </si>
  <si>
    <t>а/д "Здвинск - Довольное - 17 км а/д "К-09""</t>
  </si>
  <si>
    <t xml:space="preserve">296 км а/д "К-17р" - Полойка-Травное-Довольное (в гр. района) </t>
  </si>
  <si>
    <t xml:space="preserve"> Ремонт 1,0 км автодороги</t>
  </si>
  <si>
    <t xml:space="preserve">Мощность, км   </t>
  </si>
  <si>
    <t xml:space="preserve"> Ремонт 7,0 км автодороги </t>
  </si>
  <si>
    <t>27км а/д "К-07" - Верх-Каргат - Берёзовка - Новощербаки</t>
  </si>
  <si>
    <t xml:space="preserve"> "71 км а/д "М-52"-Легостаево-Чемское- 76 км а/д "К-16" (в гр. района)"</t>
  </si>
  <si>
    <t xml:space="preserve"> Ремонт 8,5 км автодороги</t>
  </si>
  <si>
    <t>358 км а/д "К-17р - Кучугур</t>
  </si>
  <si>
    <t>а/д "203 км а/д "К-17р" - Каргат"</t>
  </si>
  <si>
    <t>10 км а/д "Н-0904" - Мусы</t>
  </si>
  <si>
    <t>1282 км а/д "М-51" - Форпост-Каргат - Верх-Каргат - Натальинский</t>
  </si>
  <si>
    <t>1286 км а/д "М-51" - Каргат (восточный)</t>
  </si>
  <si>
    <t xml:space="preserve"> Ремонт 4 км автодороги</t>
  </si>
  <si>
    <t>Ремонт 1 км автодороги</t>
  </si>
  <si>
    <t>70 км а/д "К-12" - Пихтовка - Пономаревка</t>
  </si>
  <si>
    <t>57 км а/д "К-12"- Вьюны - Новотроицк - Юрт-Акбалык</t>
  </si>
  <si>
    <t xml:space="preserve"> Ремонт 2,2 км автодороги</t>
  </si>
  <si>
    <t>Коченево - Целинное</t>
  </si>
  <si>
    <t xml:space="preserve">а/д "Новосибирск - Колывань -Томск (в границах НСО)" </t>
  </si>
  <si>
    <t>Коченево - Поваренка</t>
  </si>
  <si>
    <t>а/д "296 км а/д "К-17р" - Полойка - Травное - Довольное (в гр. района)"</t>
  </si>
  <si>
    <t>а/д "Новосибирск-Кочки-Павлодар (в пред. РФ) "</t>
  </si>
  <si>
    <t>15 км а/д "К-27" -  Луговой</t>
  </si>
  <si>
    <t>Ремонт 4,2 км автодороги</t>
  </si>
  <si>
    <t xml:space="preserve"> Ремонт 5 км автодороги</t>
  </si>
  <si>
    <t xml:space="preserve">"Абрамово - Старогребенщиково - Осинцево" </t>
  </si>
  <si>
    <t xml:space="preserve">"35 км а/д "К-22" - Новокаменево" </t>
  </si>
  <si>
    <t xml:space="preserve">"66 км а/д "Н-1408"- Ушково - Михайловка" </t>
  </si>
  <si>
    <t xml:space="preserve">"Куйбышев - Кондусла - гр.Убинского района" </t>
  </si>
  <si>
    <t xml:space="preserve">"52 км а/д "Н-1408" - Константиновка - Новоалексеевка" </t>
  </si>
  <si>
    <t xml:space="preserve"> Ремонт 0,3 км автодороги</t>
  </si>
  <si>
    <t xml:space="preserve"> Ремонт 3 км автодороги</t>
  </si>
  <si>
    <t xml:space="preserve"> Ремонт 2 км автодороги</t>
  </si>
  <si>
    <t xml:space="preserve"> Ремонт 8 км автодороги</t>
  </si>
  <si>
    <t>"Чаны-Венгерово-Кыштовка"</t>
  </si>
  <si>
    <t xml:space="preserve"> Ремонт 7,7 км автодороги</t>
  </si>
  <si>
    <t>66 км а/д "К-15"-Елбань</t>
  </si>
  <si>
    <t>31 км а/д "Н-1801" - Елбань - Загора</t>
  </si>
  <si>
    <t>Кыштовка-Орловка</t>
  </si>
  <si>
    <t>Сокур - Смоленский - Орск</t>
  </si>
  <si>
    <t>Мошково - Кайлы</t>
  </si>
  <si>
    <t>2 км а/д "Н-1910" - Новый Порос</t>
  </si>
  <si>
    <t xml:space="preserve"> Ремонт 11,9 км автодороги</t>
  </si>
  <si>
    <t xml:space="preserve"> Ремонт 1,5 км автодороги</t>
  </si>
  <si>
    <t>14 км а/д "Н-2107" - Быково</t>
  </si>
  <si>
    <t>а/д "Новосибирск - Колывань -Томск (в границах НСО)"</t>
  </si>
  <si>
    <t xml:space="preserve"> Ремонт 6,5 км автодороги </t>
  </si>
  <si>
    <t>67 км а/д "К-17р" - Верх-Ирмень - Березовка - Верх-Чик - гр.Коченевского района</t>
  </si>
  <si>
    <t xml:space="preserve"> Ремонт 2,0 км автодороги </t>
  </si>
  <si>
    <t>Чингис - Нижнекаменка - Завъялово</t>
  </si>
  <si>
    <t>Северное - Чуваши - Кордон</t>
  </si>
  <si>
    <t>"Венгерово - Минино - Верх-Красноярка - Северное (в гр. района)"</t>
  </si>
  <si>
    <t xml:space="preserve"> Ремонт 9,0 км автодороги </t>
  </si>
  <si>
    <t>22 км а/д "К-29" - Бобровка - Шайдурово - Чингис (в гр. района)</t>
  </si>
  <si>
    <t xml:space="preserve"> Ремонт 7,5 км автодороги</t>
  </si>
  <si>
    <t>а/д "992 км а/д "М-51"-Купино-Карасук"</t>
  </si>
  <si>
    <t>10 км а/д "Н-2519" - Варваровка</t>
  </si>
  <si>
    <t>18 км а/д "Н-2513" - Константиновка - Орловка</t>
  </si>
  <si>
    <t xml:space="preserve"> Ремонт 10,0 км автодороги</t>
  </si>
  <si>
    <t xml:space="preserve"> Ремонт 0,8 км автодороги</t>
  </si>
  <si>
    <t>а/д "Новосибирск - Ленинск-Кузнецкий (в границах НСО)"</t>
  </si>
  <si>
    <t xml:space="preserve"> Ремонт 5,0 км автодороги</t>
  </si>
  <si>
    <t>Убинское - Кундран</t>
  </si>
  <si>
    <t>1234 км а/д "М-51" - Крещенское</t>
  </si>
  <si>
    <t xml:space="preserve"> Ремонт 7,0 км автодороги</t>
  </si>
  <si>
    <t>13 км а/д "К-14" - Карагужево</t>
  </si>
  <si>
    <t>105 км а/д "М-52" - Сузун</t>
  </si>
  <si>
    <t xml:space="preserve"> Ремонт 4,8 км автодороги</t>
  </si>
  <si>
    <t>Ремонт 3,0 км автодороги</t>
  </si>
  <si>
    <t>а/д "65 км а/д "К-30"-Осиновский-Сидоркино"</t>
  </si>
  <si>
    <t>103 км а/д "К-17р" - Петровский - Большеникольское -Чулым (в гр. района)</t>
  </si>
  <si>
    <t xml:space="preserve">Подъезд к г. Чулыму   </t>
  </si>
  <si>
    <t>Ремонт 6,6 км автодороги</t>
  </si>
  <si>
    <t>Шерстобитово - Залесный - 99 км а/д "К-30"</t>
  </si>
  <si>
    <t>Ремонт 1,8 км автодороги</t>
  </si>
  <si>
    <t>Ремонт 1,0 км автодороги</t>
  </si>
  <si>
    <t>Сумма затрат по региональному проекту</t>
  </si>
  <si>
    <t>24Х</t>
  </si>
  <si>
    <t>610R153933</t>
  </si>
  <si>
    <t>610R153932</t>
  </si>
  <si>
    <r>
      <t xml:space="preserve">областной бюджет </t>
    </r>
    <r>
      <rPr>
        <b/>
        <sz val="10"/>
        <rFont val="Calibri"/>
        <family val="2"/>
        <charset val="204"/>
      </rPr>
      <t>¹</t>
    </r>
  </si>
  <si>
    <r>
      <t xml:space="preserve">федеральный бюджет </t>
    </r>
    <r>
      <rPr>
        <b/>
        <sz val="10"/>
        <rFont val="Calibri"/>
        <family val="2"/>
        <charset val="204"/>
      </rPr>
      <t>¹</t>
    </r>
  </si>
  <si>
    <r>
      <t xml:space="preserve">федеральный бюджет </t>
    </r>
    <r>
      <rPr>
        <b/>
        <sz val="10"/>
        <rFont val="Calibri"/>
        <family val="2"/>
        <charset val="204"/>
      </rPr>
      <t>²</t>
    </r>
  </si>
  <si>
    <t>610ХХХХХХХ</t>
  </si>
  <si>
    <t>Отчет по итогам археологических исследований по результату выполнения спасательных полевых археологических работ (раскопок)</t>
  </si>
  <si>
    <t xml:space="preserve">Стоимость единицы, тыс.руб. </t>
  </si>
  <si>
    <t xml:space="preserve">областной бюджет   </t>
  </si>
  <si>
    <t>Количество ⁴</t>
  </si>
  <si>
    <r>
      <t xml:space="preserve">федеральный бюджет </t>
    </r>
    <r>
      <rPr>
        <b/>
        <sz val="10"/>
        <rFont val="Calibri"/>
        <family val="2"/>
        <charset val="204"/>
      </rPr>
      <t>¹</t>
    </r>
    <r>
      <rPr>
        <b/>
        <sz val="10"/>
        <rFont val="Times New Roman"/>
        <family val="1"/>
        <charset val="204"/>
      </rPr>
      <t xml:space="preserve"> </t>
    </r>
  </si>
  <si>
    <t>областной бюджет ¹</t>
  </si>
  <si>
    <t xml:space="preserve">местный  бюджет </t>
  </si>
  <si>
    <r>
      <rPr>
        <sz val="11"/>
        <rFont val="Calibri"/>
        <family val="2"/>
        <charset val="204"/>
      </rPr>
      <t>¹</t>
    </r>
    <r>
      <rPr>
        <sz val="11"/>
        <rFont val="Times New Roman"/>
        <family val="1"/>
        <charset val="204"/>
      </rPr>
      <t xml:space="preserve"> Расчетная протяженность объекта строительства (реконструкции) искусственного сооружения определяется в соответствии с Методикой оценки вклада субъекта Российской Федерации в решение задач по удвоению в 2013-2022 годах объемов строительства автомобильных дорог по сравнению с предыдущим десятилетием (2003-2012 годы), разработанной Минтрансом России.</t>
    </r>
  </si>
  <si>
    <r>
      <t>Ввод в эксплуатацию моста протяженностью  42,85 п.м (подходы 0,3 км)</t>
    </r>
    <r>
      <rPr>
        <sz val="9"/>
        <rFont val="Calibri"/>
        <family val="2"/>
        <charset val="204"/>
      </rPr>
      <t>¹</t>
    </r>
  </si>
  <si>
    <r>
      <t>Ввод  в эксплуатацию моста протяженностью  63,83 п.м (подходы 0,3 км)</t>
    </r>
    <r>
      <rPr>
        <sz val="9"/>
        <rFont val="Calibri"/>
        <family val="2"/>
        <charset val="204"/>
      </rPr>
      <t>¹</t>
    </r>
  </si>
  <si>
    <r>
      <t xml:space="preserve">В 2019 году ввод в эксплуатацию  путепровода протяженностью 121,4 п.м  </t>
    </r>
    <r>
      <rPr>
        <sz val="9"/>
        <rFont val="Calibri"/>
        <family val="2"/>
        <charset val="204"/>
      </rPr>
      <t>¹</t>
    </r>
  </si>
  <si>
    <r>
      <t xml:space="preserve">Ввод в эксплуатацию моста протяженностью 68 п.м (подходы 0,4 км) </t>
    </r>
    <r>
      <rPr>
        <sz val="9"/>
        <rFont val="Calibri"/>
        <family val="2"/>
        <charset val="204"/>
      </rPr>
      <t>¹</t>
    </r>
  </si>
  <si>
    <t xml:space="preserve">24. Общая протяженность автомобильных дорог общего пользования местного значения с покрытием переходного типа на территории  Новосибирской области   </t>
  </si>
  <si>
    <t>соот рекон мест 14-25</t>
  </si>
  <si>
    <t>строит нов мест 15-25</t>
  </si>
  <si>
    <t>стрйк+рекон мест 13-25</t>
  </si>
  <si>
    <t>увел. Мест.15-25</t>
  </si>
  <si>
    <t>опорна сеть</t>
  </si>
  <si>
    <t>18.Удельный вес автодорог регионального значения с твердым покрытием (опорная сеть), не соответствующих нормативным требованиям</t>
  </si>
  <si>
    <t>увел мест 15-25</t>
  </si>
  <si>
    <t>увел рег 15-25</t>
  </si>
  <si>
    <t>доля все соот нопрм 15-25</t>
  </si>
  <si>
    <t>соот мест кап.рем+рем 15-25</t>
  </si>
  <si>
    <t>соот рег кап.рем+рем 15-25</t>
  </si>
  <si>
    <t>увел все после кап.рем+рем 15-25</t>
  </si>
  <si>
    <t>увел прот рег соот 15-25</t>
  </si>
  <si>
    <t>увел все соот.норм треб 15-25</t>
  </si>
  <si>
    <t xml:space="preserve">12. Протяженность автомобильных дорог общего пользования регионального или межмуниципального значения с покрытием переходного типа на территории  Новосибирской области   </t>
  </si>
  <si>
    <t xml:space="preserve">11.Доля протяженности автомобильных дорог общего пользования, относящихся к собственности Новосибирской области, не отвечающих нормативным требованиям, в общей протяженности автомобильных дорог общего пользования, относящихся к собственности Новосибирской области </t>
  </si>
  <si>
    <t>П2. Объем работ, выполненных в ходе строительства мостового перехода через р. Обь в створе ул. Ипподромской       г. Новосибирска на условиях государственно-частного партнерства**</t>
  </si>
  <si>
    <t>П1.Количество изымаемых земельных участков, попадающих в зону строительства в собственность субъекта РФ, с последующей передачей концессионеру</t>
  </si>
  <si>
    <t>10. Непревышение планового значения доли средств федерального бюджета в годовом объеме инвестиций, направленных на строительство (реконструкцию)  объекта, предусмотренного мероприятиями по строительству (реконструкции) автомобильных дорог (участков автомобильных дорог и (или) искусственных сооружений), реализуемых с применением механизмов  государственно-частного партнерства</t>
  </si>
  <si>
    <t>стройка+рекон рег 15-25</t>
  </si>
  <si>
    <t>9. Техническая готовность объекта, предусмотренного мероприятиями по строительству (реконструкции) автомобильных дорог (участков автомобильных дорог и (или) искусственных сооружений), реализуемых с применением механизмов  государственно-частного партнерства</t>
  </si>
  <si>
    <t>увел после рекон все 15-25</t>
  </si>
  <si>
    <t>8.Ввод в эксплуатацию автомобильных дорог общего пользования после строительства или реконструкции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t>
  </si>
  <si>
    <t>реконст.рег 15-25</t>
  </si>
  <si>
    <t>7.Прирост протяженности автомобильных дорог общего пользования регионального и межмуниципального значения на территории Новосибирской области, соответствующих нормативным требованиям к транспортно-эксплуатационным показателям, в результате реконструкции автомобильных дорог</t>
  </si>
  <si>
    <t>строит рег 15-25</t>
  </si>
  <si>
    <t>6.Прирост протяженности сети автомобильных дорог регионального и межмуниципального  значения на территории Новосибирской области в результате строительства новых автомобильных дорог</t>
  </si>
  <si>
    <t>увел после строит все 15-25</t>
  </si>
  <si>
    <t>ввод после строит+реконст все 13-25</t>
  </si>
  <si>
    <t>5. Количество искусственных сооружений оснащаемых средствами обеспечения транспортной безопасности</t>
  </si>
  <si>
    <t>увеличение протяж-ти с 15-25</t>
  </si>
  <si>
    <t>15-25</t>
  </si>
  <si>
    <t>увелич. Плот дор 15-25</t>
  </si>
  <si>
    <t>увелич.удельн.вес 15-25</t>
  </si>
  <si>
    <t>2025 год</t>
  </si>
  <si>
    <t>2024 год</t>
  </si>
  <si>
    <t>2023 год</t>
  </si>
  <si>
    <t>2013-2025 годы</t>
  </si>
  <si>
    <t>Иные межбюджетные трансферты Т3 предоставляются в целях достижения целевых показателей региональных программ, предусматривающих мероприятия по строительству (реконструкции) автомобильных дорог (участков автомобильных дорог (или) искусственных дорожных сооружений) в рамках концессионных соглашений, заключаемых в соответствии с Федеральным законом "О концессионных соглашениях", подлежащих эксплуатации на платной основе</t>
  </si>
  <si>
    <t>Справочно:объем бюджетных ассигнований Федерального дорожного фонда, направленный на реализацию мероприятий государственной программы, всего</t>
  </si>
  <si>
    <t>иные межбюджетные трансферты на реализацию   приоритетного направления стратегического развития Российской Федерации, в целях реализации национального проекта «Безопасные и качественные автомобильные  дороги»</t>
  </si>
  <si>
    <t>7. Прирост протяженности автомобильных дорог общего пользования регионального и межмуниципального значения на территории Новосибирской области, соответствующих нормативным требованиям к транспортно-эксплуатационным показателям в результате реконструкции автомобильных дорог</t>
  </si>
  <si>
    <t>8. Ввод в эксплуатацию автомобильных дорог общего пользования после строительства или реконструкции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t>
  </si>
  <si>
    <t>П1. Количество изъятых земельных участков, попадающих в зону строительства, передаваемых в собственность субъекта РФ, с последующей передачей концессионеру</t>
  </si>
  <si>
    <t>П2. Объем работ, выполненных в ходе строительства мостового перехода через р. Обь в створе ул. Ипподромской г. Новосибирска на условиях государственно-частного партнерства**</t>
  </si>
  <si>
    <t xml:space="preserve">11.Доля протяженности автомобильных дорог общего пользования, относящихся к государственной собственности Новосибирской области, не отвечающих нормативным требованиям, в общей протяженности автомобильных дорог общего пользования, относящихся к государственной собственности Новосибирской области </t>
  </si>
  <si>
    <t xml:space="preserve"> Оценка степени достижения целевого индикатора осуществляется по результатам выполненных работ по итогам строительства</t>
  </si>
  <si>
    <t>5. Количество искусственных сооружений, оснащенных средствами обеспечения транспортной безопасности</t>
  </si>
  <si>
    <t>Ввод в эксплуатацию моста протяженностью 1,9 п.м. (подходы 0,1 км) ¹</t>
  </si>
  <si>
    <t>Строительство моста через р. Карасук на 5 км автодороги"Майское-Чернаки" в Краснозерском районе Новосибирской области</t>
  </si>
  <si>
    <t>Реконструкция автомобильной дороги «2 км а/д «Н-1514» - Октябрьский - Хабаровский»  в Краснозёрском районе Новосибирской области</t>
  </si>
  <si>
    <t>мост ч/р Каргат на 27,285 км а/д "Здвинск-Довольное-17 км а/д "К-09""</t>
  </si>
  <si>
    <t xml:space="preserve">а/д "Убинское - Кундран" </t>
  </si>
  <si>
    <t>1411 км а/д "М-51" - Новокремлевское км 0+000 - км 0+686, км 1+583 - км 18+958</t>
  </si>
  <si>
    <t>Прочие затраты по капитальному ремонту</t>
  </si>
  <si>
    <t>Прочие затраты по ремонту</t>
  </si>
  <si>
    <t>1.2.2. Обеспечение восстановления и развития автодорог местного значения, в том числе мероприятия по созданию, восстановлению и содержанию элементов обустройства автомобильных дорог за счет субсидий местным бюджетам на осуществление дорожной деятельности в отношении автомобильных дорог местного значения</t>
  </si>
  <si>
    <t>Расчет для 4 целевого индикатора</t>
  </si>
  <si>
    <t>Государственная программа Новосибирской области "Развитие автомобильных дорог регионального, межмуниципального и местного значения в Новосибирской области"</t>
  </si>
  <si>
    <t>610R15393Х</t>
  </si>
  <si>
    <t xml:space="preserve">1.2.1.3. Выполнение работ по инвентаризации и паспортизации автомобильных дорог регионального и межмуниципального значения и искусственных сооружений на них  </t>
  </si>
  <si>
    <t xml:space="preserve">1.2.1.4. Аварийно-восстановительные работы на автомобильных дорогах регионального и межмуниципального значения и искусственных сооружений на них </t>
  </si>
  <si>
    <t xml:space="preserve">1.2.1.7. Планово-предупредительный ремонт автомобильных дорог общего пользования  регионального и межмуниципального значения и сооружений на них </t>
  </si>
  <si>
    <t>Кап. рем.</t>
  </si>
  <si>
    <t>Количество объектов, шт.</t>
  </si>
  <si>
    <t>Капитальный ремонт автодороги 2020-2 км, 2021-3 км</t>
  </si>
  <si>
    <t>Капитальный ремонт в 2020 году 1,5 км  автодороги</t>
  </si>
  <si>
    <t>Капитальный ремонт в 2019 году 0,6 км автодороги</t>
  </si>
  <si>
    <t xml:space="preserve">Капитальный ремонт автодороги в 2020 году 2,5 км,                              2021 году 3 км </t>
  </si>
  <si>
    <t>Капитальный ремонт автодороги в 2019 году  2,0 км</t>
  </si>
  <si>
    <t>Капитальный ремонт в 2019 году 3,8 км автодороги</t>
  </si>
  <si>
    <t>Капитальный ремонт в 2019 году  0,4 км автодороги</t>
  </si>
  <si>
    <t>Капитальный ремонт в 2021 году  4,0 км автодороги</t>
  </si>
  <si>
    <t>Капитальный ремонт в 2021 году 3,0 км автодороги</t>
  </si>
  <si>
    <t>Капитальный ремонт 1 водопропускной трубы</t>
  </si>
  <si>
    <t>Окончательный расчет за выполненные работы</t>
  </si>
  <si>
    <t>Окончательная оплата за выполненные работы</t>
  </si>
  <si>
    <t>Капитальный ремонт 2 водопропускных труб</t>
  </si>
  <si>
    <t>П2.Количество объектов на автомобильных дорог регионального, межмуниципального значения , на которых произведен капитальный ремонт</t>
  </si>
  <si>
    <t>1.1.2.1. Строительство объекта капитального строительства "Мостовой переход через р. Обь в створе ул. Ипподромской г. Новосибирска. Этап 0. Подготовительные работы. Этап 1. Строительство мостового перехода через р. Обь. Этап 2. Строительство транспортной развязки в створе ул. Станиславского" в рамках концессионного соглашения, заключенного в соответствии с Федеральным законом от 21.07.2005  № 115-ФЗ "О концессионных соглашениях", подлежащего эксплуатации на платной основе</t>
  </si>
  <si>
    <t>ед.</t>
  </si>
  <si>
    <t>П2.Количество объектов на автомобильных дорогах регионального, межмуниципального значения , на которых произведен капитальный ремонт***</t>
  </si>
  <si>
    <r>
      <t xml:space="preserve">Ввод в эксплуатацию надземного пешеходного перехода  протяженностью 72,2 п.м  </t>
    </r>
    <r>
      <rPr>
        <sz val="9"/>
        <rFont val="Calibri"/>
        <family val="2"/>
        <charset val="204"/>
      </rPr>
      <t>¹</t>
    </r>
    <r>
      <rPr>
        <sz val="9"/>
        <rFont val="Times New Roman"/>
        <family val="1"/>
        <charset val="204"/>
      </rPr>
      <t xml:space="preserve"> </t>
    </r>
  </si>
  <si>
    <t>Увеличить долю протяженности дорожной сети Новосибирской агломерации, соответствующей нормативным требованиям,  к 2021 году до 69,2%</t>
  </si>
  <si>
    <r>
      <t xml:space="preserve">Обл.бюджет тыс.руб. </t>
    </r>
    <r>
      <rPr>
        <sz val="10"/>
        <rFont val="Calibri"/>
        <family val="2"/>
        <charset val="204"/>
      </rPr>
      <t>¹</t>
    </r>
  </si>
  <si>
    <r>
      <t xml:space="preserve">Федер.бюджет тыс.руб. </t>
    </r>
    <r>
      <rPr>
        <sz val="10"/>
        <rFont val="Calibri"/>
        <family val="2"/>
        <charset val="204"/>
      </rPr>
      <t>¹</t>
    </r>
  </si>
  <si>
    <r>
      <t>Федер.бюджет тыс.руб.</t>
    </r>
    <r>
      <rPr>
        <sz val="10"/>
        <rFont val="Calibri"/>
        <family val="2"/>
        <charset val="204"/>
      </rPr>
      <t>¹</t>
    </r>
  </si>
  <si>
    <r>
      <t xml:space="preserve">федеральный бюджет </t>
    </r>
    <r>
      <rPr>
        <sz val="10"/>
        <rFont val="Calibri"/>
        <family val="2"/>
        <charset val="204"/>
      </rPr>
      <t>²</t>
    </r>
  </si>
  <si>
    <r>
      <t>областной бюджет</t>
    </r>
    <r>
      <rPr>
        <b/>
        <sz val="10"/>
        <rFont val="Calibri"/>
        <family val="2"/>
        <charset val="204"/>
      </rPr>
      <t>¹</t>
    </r>
  </si>
  <si>
    <r>
      <t>федеральный бюджет</t>
    </r>
    <r>
      <rPr>
        <b/>
        <sz val="10"/>
        <rFont val="Calibri"/>
        <family val="2"/>
        <charset val="204"/>
      </rPr>
      <t>¹</t>
    </r>
  </si>
  <si>
    <r>
      <t xml:space="preserve">Количество </t>
    </r>
    <r>
      <rPr>
        <b/>
        <sz val="10"/>
        <rFont val="Calibri"/>
        <family val="2"/>
        <charset val="204"/>
      </rPr>
      <t>³</t>
    </r>
  </si>
  <si>
    <t>Количество муниципальных образований ⁴</t>
  </si>
  <si>
    <r>
      <rPr>
        <sz val="11"/>
        <rFont val="Calibri"/>
        <family val="2"/>
        <charset val="204"/>
      </rPr>
      <t>³</t>
    </r>
    <r>
      <rPr>
        <sz val="11"/>
        <rFont val="Times New Roman"/>
        <family val="1"/>
        <charset val="204"/>
      </rPr>
      <t xml:space="preserve"> Количественное значение не устанавливается,  объем выполняемых работ по инвентаризации и паспортизации автомобильных дорог и дорожных сооружений на них, аварийно-восстановительных работ, НИОКР в дорожной отрасли, по разработке проектно-сметной документации для автомобильных дорог регионального и межмуниципального значения на них на очередной финансовый год определяется Минтрансом НСО совместно с ГКУ НСО ТУАД, исходя  из существующей потребности дорожной отрасли и имеющихся объемов финансирования на соответствующий год.</t>
    </r>
  </si>
  <si>
    <t>⁴ Количество муниципальных образований, в которых осуществляется независимый контроль состояния автомобильных дорог после ремонта на очередной год,  определяется Минтрансом исходя  из существующей потребности дорожной отрасли и имеющихся объемов финансирования на соответствующий год.</t>
  </si>
  <si>
    <t xml:space="preserve">ПЛАН РЕАЛИЗАЦИИ МЕРОПРИЯТИЙ
</t>
  </si>
  <si>
    <t xml:space="preserve">Приведение в нормативное состояние  автомобильных дорог и исскуственных сооружений на них  (подробный перечень объектов указан в Таблице 3.1 плана реализации)
</t>
  </si>
  <si>
    <r>
      <rPr>
        <sz val="11"/>
        <rFont val="Calibri"/>
        <family val="2"/>
        <charset val="204"/>
      </rPr>
      <t>²</t>
    </r>
    <r>
      <rPr>
        <sz val="11"/>
        <rFont val="Times New Roman"/>
        <family val="1"/>
        <charset val="204"/>
      </rPr>
      <t xml:space="preserve"> Прогнозные значения федерального бюджета, в рамках концессионных соглашений,заключаемых в соответствии с Федеральным законом "О концесионных соглашениях", подлежащих эксплуатации на платной основе</t>
    </r>
  </si>
  <si>
    <t>4.Объемы ввода в эксплуатацию после строительства и реконструкции автомобильных дорог общего пользования регионального и межмуниципального  значения*</t>
  </si>
  <si>
    <t>*Значения целевых индикаторов с учетом расчетной протяженности конкретных объектов строительства и реконструкции искусственных сооружений, введенных в эксплуатацию в отчетном году</t>
  </si>
  <si>
    <t>** Индикатор введен с 2019 года</t>
  </si>
  <si>
    <t xml:space="preserve">государственной программы Новосибирской области "Развитие автомобильных дорог регионального, межмуниципального и местного значения в Новосибирской области"    </t>
  </si>
  <si>
    <t>Значение целевого индикатора</t>
  </si>
  <si>
    <t>1.1.2.Мероприятия по строительству (реконструкции) автомобильных дорог (участков автомобильных дорог (или) искусственных дорожных сооружений) в рамках концессионных соглашений, заключаемых в соответствии с Федеральным законом «О концессионных соглашениях», подлежащих эксплуатации на платной основе. Строительство объекта капитального строительства «Мостовой переход через р. Обь в створе ул. Ипподромской г. Новосибирска. Этап 0. Подготовительные работы. Этап 1. Строительство мостового перехода через р. Обь. Этап 2. Строительство транспортной развязки в створе ул. Станиславского» в рамках концессионного соглашения, заключенного в соответствии с Федеральным законом от 21.07.2005  № 115-ФЗ «О концессионных соглашениях», подлежащего эксплуатации на платной основе»</t>
  </si>
  <si>
    <t>Минтранс НСО, Минстрой НСО, ГКУ НСО "Арена"</t>
  </si>
  <si>
    <t>Пешеходный мост на  8,61 км  а/д "Советское шоссе"</t>
  </si>
  <si>
    <t xml:space="preserve"> Ремонт 0,5 км автодороги (в т.ч. поверхностная обработка)</t>
  </si>
  <si>
    <t xml:space="preserve">а/д "Новосибирск - Ленинск-Кузнецкий (в границах НСО)" </t>
  </si>
  <si>
    <t>а/д "Советсткое шоссе"</t>
  </si>
  <si>
    <t xml:space="preserve"> Ремонт 0,5 км автодороги</t>
  </si>
  <si>
    <t xml:space="preserve">федеральный бюджет, тыс.руб. </t>
  </si>
  <si>
    <t>федеральный  бюджет, тыс.руб.</t>
  </si>
  <si>
    <t>Устранение выявленных нарушений по ремонту автомобильной дороги</t>
  </si>
  <si>
    <t>Применяемые сокращения: 
ГКУ НСО ТУАД – государственное казенное учреждение Новосибирской области «Территориальное управление автомобильных дорог Новосибирской области»;                                                                                                                                                                                                                                                                   ГКУ НСО "Мост" – государственное казенное учреждение Новосибирской области "Мост";                                                                                                                                                                                                                                                                                                                                                                                 ГКУ НСО "Арена" – государственное казенное учреждение Новосибирской области "Арена";
км – километр;
Минтранс НСО – министерство транспорта и дорожного хозяйства Новосибирской области;                                                                                                                                                                                                                                                                                                                                                 Минстрой НСО – министерство строительства Новосибирской области;
НСО – Новосибирская область;                                                                                                                                                                                                                                                                                                                                                                                                                                                                                            п.м – погонные метры;                                                                                                                                                                                                                                                                                                                                                                                                                                                                                                         РФ  – Российская Федерация;                                                                                                                                                                                                                                                                                                                                                                                                                                                                                           тыс. руб. – тысяча рублей;                                                                                                                                                                                                                                                                                                                                                                                                                                                                                                                                                                                                                                                                                                                                                                                                                                                                                                                                                                      шт. –  штука.</t>
  </si>
  <si>
    <t>Капитальный ремонт моста (72,246 п.м.) 0,1 км</t>
  </si>
  <si>
    <t>субсидии из федерального бюджета областному бюджету Новосибирской области на строительство и реконструкцию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в рамках реализации подпрограммы «Устойчивое развитие сельских территорий на 2014-2017 годы и на период до 2020 года» государственной программы развития сельского хозяйства и регулирования рынков сельскохозяйственной продукции, сырья и продовольствия, утвержденной постановлением Правительства Российской Федерации от 14.07.2012 № 717</t>
  </si>
  <si>
    <t>Капитальный ремонт автодороги в 2019 году 5,0 км</t>
  </si>
  <si>
    <t>Ввод в эксплуатацию 1,3 км автодороги</t>
  </si>
  <si>
    <t>Министерство строительства Новосибирской области</t>
  </si>
  <si>
    <t>федерального бюджета</t>
  </si>
  <si>
    <t>местных бюджетов</t>
  </si>
  <si>
    <t>внебюджетных источников</t>
  </si>
  <si>
    <t xml:space="preserve">1.2.1.7.1. Планово-предупредительный ремонт автомобильных дорог общего пользования  регионального и межмуниципального значения и сооружений на них </t>
  </si>
  <si>
    <t>1.2.1.7.2. Оплата кредиторской задолженности за работы, выполненные в 2018 году</t>
  </si>
  <si>
    <t xml:space="preserve"> «Региональный проект «Дорожная сеть» (Новосибирская область)» </t>
  </si>
  <si>
    <t xml:space="preserve">Подробный перечень объектов общепрограммного  мероприятия </t>
  </si>
  <si>
    <t xml:space="preserve">Строительство автомобильных дорог общего пользования с вводом в эксплуатацию в 2022 году </t>
  </si>
  <si>
    <r>
      <rPr>
        <sz val="11"/>
        <rFont val="Calibri"/>
        <family val="2"/>
        <charset val="204"/>
      </rPr>
      <t xml:space="preserve">¹ </t>
    </r>
    <r>
      <rPr>
        <sz val="11"/>
        <rFont val="Times New Roman"/>
        <family val="1"/>
        <charset val="204"/>
      </rPr>
      <t xml:space="preserve">Мероприятия в рамках реализации подпрограммы «Устойчивое развитие сельских территорий на 2014-2017 годы и на период до 2020 года» государственной программы Российской Федерации «Государственная программа развития сельского хозяйства и регулирования рынков сельскохозяйственной продукции, сырья и продовольствия». Протяженность в рамках данного мероприятия учитывается для достижения регионального проекта "Дорожная сеть (Новосибирская область)". </t>
    </r>
  </si>
  <si>
    <t>Количество контрактов, шт.</t>
  </si>
  <si>
    <t>О1.1. Строительство и реконструкция автомобильных дорог регионального и межмуниципального значения и искусственных сооружений на них</t>
  </si>
  <si>
    <t>О1.1.1. Строительство и реконструкция автомобильных дорог регионального и межмуниципального значения и искусственных сооружений на них</t>
  </si>
  <si>
    <t>О1.2. Капитальный ремонт автомобильных дорог регионального и межмуниципального значения и искусственных сооружений на них</t>
  </si>
  <si>
    <t xml:space="preserve">О1.3. Ремонт   автомобильных дорог регионального и межмуниципального значения и искусственных сооружений на них </t>
  </si>
  <si>
    <t>О1.4. Обеспечение восстановления и развития автодорог местного значения за счет субсидий местным бюджетам на осуществление дорожной деятельности в отношении автомобильных дорог местного значения</t>
  </si>
  <si>
    <t xml:space="preserve">О2. Общепрограммное мероприятие  «Региональный проект «Общесистемные меры развития дорожного хозяйства  (Новосибирская область)»                                   </t>
  </si>
  <si>
    <t>О2.1. Заключение контрактов, предусматривающих использование новых технологий и материалов, включенных в Рееестр новых и наилучших технологий, материалов и технологических решений повторного применения</t>
  </si>
  <si>
    <t>О2.2. Заключение контрактов, предусматривающих выполнение работ на принципах контрактов жизненного цикла</t>
  </si>
  <si>
    <t>Минтранс НСО, органы местного самоуправления НСО</t>
  </si>
  <si>
    <t>В 2019 году будут исполнены  бюджетные обязательствам по выполненным и принятым работам в 2018 году</t>
  </si>
  <si>
    <t>Долгосрочная реализация в будущих периодах. Протяженность автомобильной дороги 10,0  км</t>
  </si>
  <si>
    <t>Усть-Таркский район:</t>
  </si>
  <si>
    <t xml:space="preserve">Мероприятия по строительству (реконструкции) автомобильных дорог (участков автомобильных дорог (или) искусственных сооружений), реализуемых с применением механизмов государственно-частного партнерства
</t>
  </si>
  <si>
    <t>Таблица 3.2</t>
  </si>
  <si>
    <t xml:space="preserve">Подробный перечень объектов  строительства, реконструкции, капитального ремонта и ремонта автомобильных дорог общего пользования регионального и межмуниципального значения </t>
  </si>
  <si>
    <t xml:space="preserve">Баганский район.                                              </t>
  </si>
  <si>
    <r>
      <rPr>
        <b/>
        <sz val="10"/>
        <rFont val="Times New Roman"/>
        <family val="1"/>
        <charset val="204"/>
      </rPr>
      <t>Венгеровский район.</t>
    </r>
    <r>
      <rPr>
        <sz val="10"/>
        <rFont val="Times New Roman"/>
        <family val="1"/>
        <charset val="204"/>
      </rPr>
      <t xml:space="preserve">                                 </t>
    </r>
  </si>
  <si>
    <r>
      <rPr>
        <b/>
        <sz val="10"/>
        <rFont val="Times New Roman"/>
        <family val="1"/>
        <charset val="204"/>
      </rPr>
      <t xml:space="preserve">Карасукский район.                                             </t>
    </r>
    <r>
      <rPr>
        <sz val="10"/>
        <rFont val="Times New Roman"/>
        <family val="1"/>
        <charset val="204"/>
      </rPr>
      <t xml:space="preserve"> </t>
    </r>
  </si>
  <si>
    <t xml:space="preserve">О1. Общепрограммное мероприятие «Региональный проект «Дорожная сеть (Новосибирская область)»  (подробный перечень объектов указан в Таблице 3.1 плана реализации)                                  </t>
  </si>
  <si>
    <t>1.1.1. Строительство и реконструкция автомобильных дорог регионального и межмуниципального значения и искусственных сооружений на них в целях увеличения их пропускной способности (подробный перечень объектов указан в Таблице 3.2 плана реализации)</t>
  </si>
  <si>
    <t>Капитальный ремонт автодороги в 2019 году  3,2 км</t>
  </si>
  <si>
    <t>Будет осуществлен независимый контроль за капитальным ремонтом  автомобильных дорог</t>
  </si>
  <si>
    <t>а/д "Сокур - Смоленский - Орск"</t>
  </si>
  <si>
    <t xml:space="preserve"> Ремонт 0,5 км автодороги </t>
  </si>
  <si>
    <t>а/д "Новосибирск  - аэропорт Толмачево"</t>
  </si>
  <si>
    <t>а/д "Новосибирск-Садовый"</t>
  </si>
  <si>
    <t>П2. Техническая готовность объекта "Строительство автомобильной дороги от пляжа "Наутилус" вдоль территории "Многофункциональной ледовой арены" с заездом на дамбу Октябрьского моста в Кировском и Лениском районах"</t>
  </si>
  <si>
    <t>П3. Техническая готовность объекта "Строительство автомобильной дороги от ул. Немировича- Данченко до территории "Многофункциональной ледовой арены" в Кировском районе"</t>
  </si>
  <si>
    <t xml:space="preserve">12. Общая протяженность грунтовых автомобильных дорог общего пользования регионального или межмуниципального значения  на территории  Новосибирской области   </t>
  </si>
  <si>
    <t>13.Общая протяженность автомобильных дорог общего пользования регионального, межмуниципального и местного значения, соответствующих нормативным требованиям к транспортно-эксплуатационным показателям на 31 декабря отчетного года, в том числе:</t>
  </si>
  <si>
    <t xml:space="preserve">14.Прирост протяженности автомобильных дорог регионального, межмуниципального и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 в том числе: </t>
  </si>
  <si>
    <t xml:space="preserve">15. Объемы ввода в эксплуатацию в результате планово-предупредительного ремонта автомобильных дорог общего пользования  регионального и межмуниципального значения и сооружений на них </t>
  </si>
  <si>
    <t xml:space="preserve">12. Общая протяженность грунтовых автомобильных дорог общего пользования регионального и межмуниципального значения  на территории  Новосибирской области   </t>
  </si>
  <si>
    <t xml:space="preserve">14. Прирост протяженности автомобильных дорог регионального, межмуниципального и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 в том числе: </t>
  </si>
  <si>
    <t xml:space="preserve">15. Объемы ввода в результате планово-предупредительного ремонта автомобильных дорог общего пользования  регионального и межмуниципального значения и сооружений на них </t>
  </si>
  <si>
    <t xml:space="preserve">22. Общая протяженность автомобильных дорог общего пользования местного значения с покрытием переходного типа на территории  Новосибирской области   </t>
  </si>
  <si>
    <t>П2. Техническая готовность объекта "Строительство автомобильной дороги от пляжа "Наутилус" вдоль территории "Многофункциональной ледовой арены" с заездом на дамбу Октябрьского моста в Кировском и Ленинском районах"</t>
  </si>
  <si>
    <t>1.2.1.1.2. Ремонт автомобильных дорог регионального и межмуниципального значения и искусственных сооружений на них</t>
  </si>
  <si>
    <t>Капитальный ремонт моста в 2020 году  0,1 км ( 45,8 п.м.)</t>
  </si>
  <si>
    <t>Реконструкция автомобильной дороги "Кушаги-Мураши" в Усть-Таркском районе Новосибирской области</t>
  </si>
  <si>
    <t>Оплата выполненных работ в соответствии с заключенным котрактом</t>
  </si>
  <si>
    <t>Реконструкция автомобильной дороги "Подъезд к г. Куйбышев /5 км/" в Куйбышевском районе Новосибирской области</t>
  </si>
  <si>
    <t>Строительство моста через Протоку на а/д "11 км а/д "Н-1612"-Шаитик" в Купинском районе Новосибирской области</t>
  </si>
  <si>
    <t>Строительство автомобильной дороги "Подъездные автомобильные дороги в промышленно-логистическом парке Новосибирской области" в Новосибирском районе</t>
  </si>
  <si>
    <t>Реконструкция автомобильной дороги "Советское  шоссе" в Новосибирском районе Новосибирской области</t>
  </si>
  <si>
    <t>Строительство автомобильной дороги "Барышево - Орловка - Кольцово" с автодорожным тоннелем под железной дорогой (II очередь)</t>
  </si>
  <si>
    <t xml:space="preserve">Оснащение моста через р.Издревая на 22+493 км автомобильной дороге "Новосибирск - Ленинск-Кузнецкий (в границах НСО)" в Новосибирском районе техническими средствами обеспечения транспортной безопасности </t>
  </si>
  <si>
    <t>Строительство магистральной дороги непрерывного движения на продолжении магистрали М-51 «Байкал» от городской черты Новосибирска до примыкания к магистрали М-52 «Чуйский тракт» с мостовым переходом через реку Обь в г.Новосибирске (Юго-западный транзит с мостовым переходом через р.Обь в городе Новосибирске)</t>
  </si>
  <si>
    <t xml:space="preserve">Оснащение моста через ж/д "Инская-Сокур" на 22+215 км автомобильной дороге "Новосибирск - Ленинск-Кузнецкий (в границах НСО)" в Новосибирском районе техническими средствами обеспечения транспортной безопасности </t>
  </si>
  <si>
    <t xml:space="preserve">Оснащение моста через  р. Быструха на км 3+464 автомобильной дороге "120 км а/д "К-17р" - Камень-на-Оби (в границах НСО)" в Ордынском районе техническими средствами обеспечения транспортной безопасности </t>
  </si>
  <si>
    <t xml:space="preserve">Оснащение моста через р. Кирзушка на км 11+667 автомобильной дороге "120 км а/д "К-17р" - Камень-на-Оби (в границах НСО)" в Ордынском районе техническими средствами обеспечения транспортной безопасности </t>
  </si>
  <si>
    <t xml:space="preserve">Оснащение моста через р. Орда на км 129+805  автомобильной дороге "Новосибирск -Кочки - Павлодар (в пред. РФ)" в Ордынском районе техническими средствами обеспечения транспортной безопасности </t>
  </si>
  <si>
    <t>Реконструкция автомобильной дороги "Северное - Биаза - гр. Кыштовского района" в Северном районе Новосибирской области</t>
  </si>
  <si>
    <t xml:space="preserve">Оснащение моста через ж/д  "Обь-Проектная"  на 35+958 км автомобильной дороге "Новосибирск - Ленинск-Кузнецкий (в границах НСО)" в Тогучинском районе техническими средствами обеспечения транспортной безопасности </t>
  </si>
  <si>
    <t>Реконструкция автомобильной дороги "Яркуль-Матюшкино - Майский" в Усть-Таркском районе Новосибирской области</t>
  </si>
  <si>
    <t>Областной бюджет</t>
  </si>
  <si>
    <t>6100ХХХХХХ</t>
  </si>
  <si>
    <t>областной бюджет по софинансированию</t>
  </si>
  <si>
    <t>1.1.3.  Оснащение объектов транспортной инфраструктуры техническими средствами обеспечения транспортной безопасности искусственных сооружений на автомобильных дорогах общего пользования Новосибирской области  (подробный перечень объектов указан в Таблице 3.2 плана реализации)</t>
  </si>
  <si>
    <t>Количество, шт.</t>
  </si>
  <si>
    <t>Оснащение моста средствами транспортной безопасности</t>
  </si>
  <si>
    <t>Оснащение трех  мостов средствами транспортной безопасности</t>
  </si>
  <si>
    <t xml:space="preserve">Прочие: оснащение объектов транспортной инфраструктуры техническими средствами обеспечения транспортной безопасности искусственных сооружений на автомобильных дорогах общего пользования Новосибирской области </t>
  </si>
  <si>
    <t>Искусственные сооружения, оснащеные средствами обеспечения транспортной безопасности, ед.</t>
  </si>
  <si>
    <t>Привеведение автомобильных мостов длиной более 25 м к требованиям транспортной безопасности в соответствии с Федеральным законом от 09.02.2007 № 16-ФЗ «О транспортной безопасности»</t>
  </si>
  <si>
    <t xml:space="preserve">Капитальный ремонт автодороги в 2019 - 5 км                                              </t>
  </si>
  <si>
    <t>Капитальный ремонт в 2020 году 0,8 км автодороги</t>
  </si>
  <si>
    <t>а/д Кыштовка-Малокрасноярка</t>
  </si>
  <si>
    <t>Ремонт 4,3 км автодороги</t>
  </si>
  <si>
    <t xml:space="preserve"> Ремонт 6,0 км автодороги (в т.ч. поверхностная обработка)</t>
  </si>
  <si>
    <t xml:space="preserve"> Ремонт 11,5 км автодороги </t>
  </si>
  <si>
    <t>Ремонт автомобильных дорог и мостовых сооружений (планово-предупредительный ремонт)</t>
  </si>
  <si>
    <t xml:space="preserve"> Ремонт 2,5 км автодороги</t>
  </si>
  <si>
    <t xml:space="preserve"> Оплата в соответствии с заключенным контрактом</t>
  </si>
  <si>
    <t>Оплата в соответствии с заключенным контрактом</t>
  </si>
  <si>
    <t>В 2019 году реализация данного мероприятия позволит устранить деформации и повреждения покрытия проезжей части автомобильных дорог и элементов искусственных дорожных сооружений, восстановить продольный и поперечный профиль проезжей части автомобильных дорог с щебеночным покрытием, в том числе путем добавления нового материала</t>
  </si>
  <si>
    <t>Перенос ввода в эксплуатацию моста протяженностью  42,85 п.м (подходы 0,3 км)¹ на 2020 год в связи с расторжением контракта</t>
  </si>
  <si>
    <t>13. Утратил силу</t>
  </si>
  <si>
    <t>18.Утранил силу</t>
  </si>
  <si>
    <t>Строительство автомобильной дороги от ул. Немировича-Данченко до территории  «Многофункциональной ледовой арены»  в Кировском районе г. Новосибирска</t>
  </si>
  <si>
    <t>Строительство автомобильной дороги от пляжа «Наутилус» вдоль территории «Многофункциональной ледовой арены» с заездом на дамбу Октябрьского моста в Кировском и Ленинском районах г. Новосибирска</t>
  </si>
  <si>
    <t>Строительство объектов дорожной инфраструктуры для многофункциональной ледовой арены по улице Немировича-Данченко в г. Новосибирске</t>
  </si>
  <si>
    <r>
      <t>федеральный бюджет</t>
    </r>
    <r>
      <rPr>
        <b/>
        <sz val="10"/>
        <rFont val="Calibri"/>
        <family val="2"/>
        <charset val="204"/>
      </rPr>
      <t>⁵</t>
    </r>
    <r>
      <rPr>
        <b/>
        <sz val="10"/>
        <rFont val="Times New Roman"/>
        <family val="1"/>
        <charset val="204"/>
      </rPr>
      <t xml:space="preserve"> </t>
    </r>
  </si>
  <si>
    <r>
      <rPr>
        <sz val="11"/>
        <rFont val="Calibri"/>
        <family val="2"/>
        <charset val="204"/>
      </rPr>
      <t>⁵</t>
    </r>
    <r>
      <rPr>
        <sz val="11"/>
        <rFont val="Times New Roman"/>
        <family val="1"/>
        <charset val="204"/>
      </rPr>
      <t xml:space="preserve"> Реализация мероприятий  регионального проекта "Дорожная сеть (Новосибирская область)" Минстроем НСО совместно с ГКУ НСО "Арена"</t>
    </r>
  </si>
  <si>
    <t xml:space="preserve">Строительство автомобильной дороги "Гусельниково-Линево" в Искитимском районе
</t>
  </si>
  <si>
    <t>61001ХХХХХ</t>
  </si>
  <si>
    <t>1.2.1.1.1.Капитальный ремонт  автомобильных дорог регионального и межмуниципального значения и искусственных сооружений на них, в том числе:</t>
  </si>
  <si>
    <t xml:space="preserve"> Ремонт 14,0 км автодороги</t>
  </si>
  <si>
    <t>Минтранс НСО, ГКУ НСО ТУАД, Минстрой НСО, ГКУ НСО "Арена", органы местного самоуправления НСО</t>
  </si>
  <si>
    <t>Минтранс НСО, ГКУ НСО ТУАД, Минстрой НСО, ГКУ НСО "Арена"</t>
  </si>
  <si>
    <t>В 2019 году предусмотрено устройство земельного полотна, укрепление откосов, устройство ливневой канализация и дорожное покрытие в щебневом исполнении.  В 2021 году продолжение строительства автомобильной дороги (после окончания строительства ледовой арены), будет произведено устройство  асфальто-бетонного полотна протяженностью 0,645 км.  Лимиты областного бюджета периода 2020-2021 годов будут определены при внесении очередных изменений в бюджет 2019-2021 годов. Ввод в эксплуатацию в 2022 году.</t>
  </si>
  <si>
    <t xml:space="preserve"> В 2019 году предусмотрены подготовительные работы (устройство земельного полотна, гидроизоляция и засыпка фундаментов опор моста, устройство армогрунтовой стенки), строительство ливневой канализации.  В 2021 году продолжение строительства автомобильной дороги (после окончания строительства ледовой арены), будет произведено устройство  асфальто-бетонного полотна протяженностью 2,25 км. Лимиты областного бюджета периода 2020-2021 годов будут определены при внесении очередных изменений в бюджет 2019-2021 годов. Ввод в эксплуатацию в 2022 году.</t>
  </si>
  <si>
    <t>Кадастровые работы 20 т.р. + ПСД 2480 т.р.</t>
  </si>
  <si>
    <t>В 2020 году ПСД  4 112,8 т.р., выкуп земель 400 т.р. В 2021 году ПСД 6 431,1 т.р., выкуп земель 600 т.р.</t>
  </si>
  <si>
    <t xml:space="preserve">ввод 2022 году </t>
  </si>
  <si>
    <t>Корректировка ПСД  в 2020 г. 15 000 т.р.</t>
  </si>
  <si>
    <t>псд</t>
  </si>
  <si>
    <t>Осуществление технологического присоединеия энерго-принимающих устройств заявителя</t>
  </si>
  <si>
    <t>Разработка проектно-сметной документации в 2020-2021 годах, выкуп земель в 2021 году,  ввод 12,6 км в  2022 году</t>
  </si>
  <si>
    <t>Кадастровые работы и разработка проектно-сметной документации</t>
  </si>
  <si>
    <t>В 2019-2021 годах обоснование инвестиций. В 2022 году  разработка рабочей документации</t>
  </si>
  <si>
    <t>В 2019-2021 годах обоснование инвестиций. В 2022 году рабочая документация</t>
  </si>
  <si>
    <t>Проведение проектно-изыскательских работ</t>
  </si>
  <si>
    <t>Ввод в эксплуатацию 12,486 км автодороги</t>
  </si>
  <si>
    <r>
      <t>Строительство моста протяженностью  63,83 п.м (подходы 0,3 км)</t>
    </r>
    <r>
      <rPr>
        <sz val="9"/>
        <rFont val="Calibri"/>
        <family val="2"/>
        <charset val="204"/>
      </rPr>
      <t>¹</t>
    </r>
  </si>
  <si>
    <t>Разработка проектно-сметной документации в 2020-2021 годах, выкуп земель в 2021 году</t>
  </si>
  <si>
    <t xml:space="preserve">Выкуп земель под объект </t>
  </si>
  <si>
    <t>Разработка проектно-сметной документации</t>
  </si>
  <si>
    <t>Оплата работ в соответствии с заключенным контрактом</t>
  </si>
  <si>
    <t xml:space="preserve">                                                                       Приложение к приказу Минтранса НСО  от   .   .2020  № </t>
  </si>
  <si>
    <t xml:space="preserve">государственной программы Новосибирской области "Развитие автомобильных дорог регионального, межмуниципального и местного значения в Новосибирской области"                                                                                                                 на очередной 2020 год и плановый период 2021 и 2022 годов                                                                                                                                                                                                                                                 (на основании государственной программы в редакции постановления Правительства Новосибирской области от ..2020 № )
</t>
  </si>
  <si>
    <t>На очередной финансовый 2020 год</t>
  </si>
  <si>
    <t>На 2020 год, в том числе поквартально</t>
  </si>
  <si>
    <t xml:space="preserve">Приложение к приказу Минтранса НСО   от   .  .2020 № </t>
  </si>
  <si>
    <t>на очередной 2020 год и плановый период 2021 и 2022 годов</t>
  </si>
  <si>
    <t>Значение показателя на 2020 год (поквартально)</t>
  </si>
  <si>
    <t>Значение показателя на 2022 год</t>
  </si>
  <si>
    <t>О1.1.2. Оплата кредиторской задолженности за работы, выполненные в 2019 году</t>
  </si>
  <si>
    <t>В 2020 году будут исполнены бюджетные обязательства по выполненным и принятым работам в 2019 году</t>
  </si>
  <si>
    <t>Ввод в эксплуатацию 3,0 км автодороги</t>
  </si>
  <si>
    <t>Реконструкция автомобильной дороги "992 км а/д "М-51" - Купино - Карасук" в Карасукском районе Новосибирской области</t>
  </si>
  <si>
    <t>Ввод в эксплуатацию 5,3  км автодороги</t>
  </si>
  <si>
    <t>Ввод в эксплуатацию 1,0 км автодороги</t>
  </si>
  <si>
    <t>Ввод в эксплуатацию 3,9 км автодороги</t>
  </si>
  <si>
    <t>Ввод в  2021 году в эксплуатацию  автодороги протяженностью 8,7 км. Ввод в  2022 году в эксплуатацию  автодороги протяженностью 4,5 км.</t>
  </si>
  <si>
    <t>Ввод 2021 году в эксплуатацию протяженностью 1,9 км автодороги. В 2022 году выполняется основание под укладку асфальтобетона, ввод в 2023 году 3,2 км а/д.</t>
  </si>
  <si>
    <t>В 2020 году оплата работ в соответствии с заключенным контактом.</t>
  </si>
  <si>
    <r>
      <t xml:space="preserve">В 2020 году  ввод эксплуатацию  путепровода протяженностью 121,4 п.м  </t>
    </r>
    <r>
      <rPr>
        <sz val="9"/>
        <rFont val="Calibri"/>
        <family val="2"/>
        <charset val="204"/>
      </rPr>
      <t xml:space="preserve">¹ </t>
    </r>
  </si>
  <si>
    <t>Строительство автомобильной дороги "2 км автомобильной дороги "Академгородок-Ключи" - Каинская Заимка" на участке км 0+000 - км 2+200 в Новосибирском районе Новосибирской области</t>
  </si>
  <si>
    <t>Реконструкция автомобильной дороги "Новосибирск-Кочки-Павлодар (в пред. РФ)" на участке обход с. Ярково  в Новосибирском районе Новосибирской области</t>
  </si>
  <si>
    <t>Долгосрочная реализация в будущих периодах. Протяженность автомобильной дороги 10,0  км. В 2021 году выполнение земляных работ. В 2022  строительство моста и путепровода.</t>
  </si>
  <si>
    <t>Реконструкция автомобильной дороги "1196 км а/д "М-51"- Александро-Невское" на участке км 5+350 - км 6+850 в Убинском районе Новосибирской области</t>
  </si>
  <si>
    <t>61001R3720</t>
  </si>
  <si>
    <t>Обл.бюджет тыс.руб. ¹</t>
  </si>
  <si>
    <t>Федер.бюджет тыс.руб.¹</t>
  </si>
  <si>
    <t xml:space="preserve">Капитальный ремонт 3,1 км автодороги  </t>
  </si>
  <si>
    <t>а/д "203 км а/д"К-17р"-Каргат"</t>
  </si>
  <si>
    <t>а/д "1282 км а/д "М-51" - Форпост-Каргат - Верх-Каргат - Натальинский"</t>
  </si>
  <si>
    <t>Капитальный ремонт                                       в  2020 - 0,4 км автодороги</t>
  </si>
  <si>
    <t>а/д "Сузун - Битки - Преображенка - 18 км а/д "К-13" (в гр. района)"</t>
  </si>
  <si>
    <t>а/д "Мошково - Кайлы"</t>
  </si>
  <si>
    <t>Капитальный ремонт в 2021 году 2,0 км автодороги</t>
  </si>
  <si>
    <t>а/д "Барабинск - Куйбышев"</t>
  </si>
  <si>
    <t>а/д  "54 км а/д "М-52"-Завьялово - Факел Революции"</t>
  </si>
  <si>
    <t>Капитальный ремонт автодороги 0,2 км</t>
  </si>
  <si>
    <t>Капитальный ремонт 4,1 км автодороги</t>
  </si>
  <si>
    <t>а/д "1 км а/д "Н-2123" - Верх-Тула -  Ленинское - ОБЬГЭС"</t>
  </si>
  <si>
    <t>а/д "Инская - Барышево - 39 км а/д "К-19р" (в гр. района)"</t>
  </si>
  <si>
    <t>а/д "Чаны - Венгерово - Кыштовка"</t>
  </si>
  <si>
    <t>Капитальный ремонт 0,2 км  автодороги</t>
  </si>
  <si>
    <t>Капитальный ремонт автодороги в 2020-3 км, в 2022-3,7 км</t>
  </si>
  <si>
    <t>Капитальный ремонт 1  водопропускной трубы</t>
  </si>
  <si>
    <t>Ремонт 8,2 км автодороги</t>
  </si>
  <si>
    <t xml:space="preserve"> Ремонт 12,0 км автодороги</t>
  </si>
  <si>
    <t xml:space="preserve"> Ремонт 2,5 км автодороги </t>
  </si>
  <si>
    <t>Ремонт 6 км автодороги</t>
  </si>
  <si>
    <t>63 км а/д "К-09" - Сумы</t>
  </si>
  <si>
    <t>Ремонт 4,8 км автодороги</t>
  </si>
  <si>
    <t xml:space="preserve"> Ремонт 4,0 км автодороги (в т.ч. поверхностная обработка)</t>
  </si>
  <si>
    <t xml:space="preserve">Ремонт 2,5 км автодороги </t>
  </si>
  <si>
    <t xml:space="preserve">Ремонт 4,0 км автодороги </t>
  </si>
  <si>
    <t xml:space="preserve"> Ремонт 3,1 км автодороги</t>
  </si>
  <si>
    <t>1 км а/д "Н-1212"-1 км а/д "Н-1206"(объездная р.п. Коченево)</t>
  </si>
  <si>
    <t xml:space="preserve"> Ремонт 12,5 км автодороги </t>
  </si>
  <si>
    <t>а/д "182 км а/д "К-17р" -  Республиканский"</t>
  </si>
  <si>
    <t>242 км а/д "К-17р"-Черновка-Троицкий</t>
  </si>
  <si>
    <t>Ремонт 8,0 км автодороги</t>
  </si>
  <si>
    <t>а/д "37 км а/д "К-22" - Булатово - аул Омь"</t>
  </si>
  <si>
    <t xml:space="preserve"> Ремонт 1,1 км автодороги</t>
  </si>
  <si>
    <t xml:space="preserve"> Ремонт 5,9 км автодороги</t>
  </si>
  <si>
    <t xml:space="preserve"> Ремонт 1,3 км автодороги</t>
  </si>
  <si>
    <t>49 км а/д "К-15"-Березово</t>
  </si>
  <si>
    <t xml:space="preserve"> Ремонт 3,9 км автодороги</t>
  </si>
  <si>
    <t xml:space="preserve"> Ремонт 19,5 км автодороги </t>
  </si>
  <si>
    <t>Оплата бюджетных обязательств по выполненным и принятым аварийно-восстановительным работам в 2019 году</t>
  </si>
  <si>
    <t>1.2.1.1.2.2. Оплата кредиторской задолженности за аварийно-восстановительные работы, выполненные в 2019 году</t>
  </si>
  <si>
    <t>1.2.1.1.2.1. Ремонт автомобильных дорог регионального и межмуниципального значения и искусственных сооружений на них, в том числе:</t>
  </si>
  <si>
    <t>1.2.1.1.2.3. Оплата кредиторской задолженности за ремонтные работы, выполненные в 2019 году</t>
  </si>
  <si>
    <t>Оплата бюджетных обязательств по выполненным и принятым ремонтным работам в 2019 году</t>
  </si>
  <si>
    <t xml:space="preserve">Разработка проектно-сметной документации </t>
  </si>
  <si>
    <t>Реконструкция автомобильной дороги  "Инская - Барышево - 39 км а/д "К-19р" (в гр. района)" на участке км 5+555 - км 11+555 в Новосибирском районе Новосибирской области</t>
  </si>
  <si>
    <t>Реконструкция автомобильной дороги "53 км а/д "К-17р" - Новошилово - Шилово" в Новосибирском районе Новосибирской области</t>
  </si>
  <si>
    <t xml:space="preserve">Ввод в эксплуатацию автомобильных дорог общего пользования после строительства или реконструкции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(рассчитанных в соответствии с методикой):                                                                                                                                                                                                                                                                                                                                                                                                в 2020 году -16,586 км;                                            в 2021 году - 16,0 км                     в 2021 году - 15,1 км     </t>
  </si>
  <si>
    <t xml:space="preserve">Ввод в эксплуатацию автомобильных дорог общего пользования после строительства или реконструкции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(рассчитанных в соответствии с методикой):                                                                                                                                                                                                                                                                                                                                                                                                в 2020 году - 16,586 км;                                            в 2021 году - 16,0 км                     в 2022 году - 15,1 км                     </t>
  </si>
  <si>
    <t>О1.2.2. Оплата кредиторской задолженности за работы, выполненные в 2019 году</t>
  </si>
  <si>
    <t xml:space="preserve">Капитальный ремонт                            в 2020 - 3,1 км автодороги  </t>
  </si>
  <si>
    <t>Капитальный ремонт автодороги                                2021 - 3 км, 2022  - перевод объекта из кап. ремонта в реконструкцию в связи с переводом дороги из IV категории во вторую категорию по интенсивности движения. (Мнение госэкспертизы)</t>
  </si>
  <si>
    <t>Капитальный ремонт   автомобильных дорог регионального и межмуниципального значения и искусственных сооружений на них  в 2020 -6,4 км, 2021- 15,0  км.</t>
  </si>
  <si>
    <t>Прирост протяженности автомобильных дорог регионального и межмуниципального  значения, соответствующих нормативным требованиям, к транспортно-эксплуатационным показателям в результате капитального ремонта автомобильных дорог в 2020 -6,4 км,               2021- 15,0  км.</t>
  </si>
  <si>
    <t>Значение показателя на  очередной финансовый 2020 год (поквартально)</t>
  </si>
  <si>
    <t>Путепровод через ж/д пути на 387 км а/д "Новосибирск-Кочки-Павлодар (в пред. РФ) "</t>
  </si>
  <si>
    <t>Мост через р. Орда на км 104+000 "автодороги Новосибирск -Кочки - Павлодар (в пред. РФ)" (транспортная безопасность)</t>
  </si>
  <si>
    <t>Мост через р. Быструха на км 3+464 автодороги "120 км а/д "К-17р" - Камень-на-Оби (в границах НСО )" (транспортная безопасность)</t>
  </si>
  <si>
    <t>Мост через р. Кирзушка на км 11+667 автодороги "120 км а/д "К-17рм - Камень-на-Оби (в границах НСО) " (транспортная безопасность)</t>
  </si>
  <si>
    <t>Мост через р. Алеус на км 32+345 автодороги "120 км а/д "К-17р" - Камень-на-Оби (в границах НСО)"  (транспортная безопасность)</t>
  </si>
  <si>
    <t>Мост через р. Орда на км 129+805 автодороги "Новосибирск -Кочки - Павлодар (в пред. РФ)"  (транспортная безопасность)</t>
  </si>
  <si>
    <t xml:space="preserve">Оснащение моста техническими средствами обеспечения транспортной безопасности </t>
  </si>
  <si>
    <t>Капитальный ремонт автодороги в 2020 - 3 км, 2022-2 км</t>
  </si>
  <si>
    <t>1.2.1.1.1. Капитальный автомобильных дорог регионального и межмуниципального значения и искусственных сооружений на них</t>
  </si>
  <si>
    <t>1.2.1.1.1.1. Оплата кредиторской задолженности за работы, выполненные в 2019 году</t>
  </si>
  <si>
    <t>О1.2.1. Капитальный ремонт автомобильных дорог регионального и межмуниципального значения и искусственных сооружений на них</t>
  </si>
  <si>
    <t>1.2.1.1.Капитальный ремонт автомобильных дорог регионального и межмуниципального значения и искусственных сооружений на них</t>
  </si>
  <si>
    <t>Капитальный ремонт путепровода   68,17 пог.м со сроком сдачи  в 2021 году</t>
  </si>
  <si>
    <t>1.2.1.1.Капитальный ремонт автомобильных дорог регионального и межмуниципального значения и искусственных сооружений на них (подробный перечень объектов указан в Таблице 3.2 плана реализации)</t>
  </si>
  <si>
    <t>Капитальный ремонт   автомобильных дорог регионального и межмуниципального значения и искусственных сооружений на них в 2020-8,4 км, 2021-5 км, 2022- 10,8 км;  капитальный ремонт водопропускных труб - в 2020-4 шт.; оснащение 5 мостов в 2020 году средствами технической безопасности</t>
  </si>
  <si>
    <t xml:space="preserve"> Ремонт 5,0 км автодороги </t>
  </si>
  <si>
    <t xml:space="preserve"> Ремонт 11,0 км автодороги </t>
  </si>
  <si>
    <t xml:space="preserve"> Ремонт 16,0 км автодороги </t>
  </si>
  <si>
    <t xml:space="preserve"> Ремонт 20,0 км автодороги</t>
  </si>
  <si>
    <t xml:space="preserve"> Ремонт 18,0 км автодороги </t>
  </si>
  <si>
    <t xml:space="preserve"> Ремонт 8,0 км автодороги</t>
  </si>
  <si>
    <t xml:space="preserve"> Ремонт 15 км автодороги</t>
  </si>
  <si>
    <t xml:space="preserve"> Ремонт 19,1 км автодороги</t>
  </si>
  <si>
    <t xml:space="preserve"> Ремонт 13,0 км автодороги</t>
  </si>
  <si>
    <t>Ремонт 5,7 км автодороги</t>
  </si>
  <si>
    <t>а/д "17 км а/д "Н-3105" - Чаячье - Елизаветинка"</t>
  </si>
  <si>
    <t>Ремонт 2,3 км автодороги</t>
  </si>
  <si>
    <t>27 км а/д "Н-3108"-Павловка-Мироновка-Мухино</t>
  </si>
  <si>
    <t>Ремонт 5,5 км автодороги</t>
  </si>
  <si>
    <t>Ремонт 10,9 км автодороги</t>
  </si>
  <si>
    <t>"Здвинск-Барабинск"</t>
  </si>
  <si>
    <t>Ремонт 7,0 км автодороги</t>
  </si>
  <si>
    <t>а/д "Корнилово - Кармановка"</t>
  </si>
  <si>
    <t>а/д "296 км а/д "К-17р" - Полойка-Травное-Довольное (в гр. района) "</t>
  </si>
  <si>
    <t>а/д "Здвинск-Верх-Урюм-Лянино-Мамон"</t>
  </si>
  <si>
    <t xml:space="preserve"> Ремонт 6 км автодороги</t>
  </si>
  <si>
    <t>а/д "358 км а/д "К-17р" - Кучугур"</t>
  </si>
  <si>
    <t>а/д "57 км а/д "К-12"- Вьюны - Новотроицк - Юрт-Акбалык"</t>
  </si>
  <si>
    <t>а/д "Коченево - Поваренка"</t>
  </si>
  <si>
    <t>Ремонт 4 км автодороги</t>
  </si>
  <si>
    <t>а/д "Здвинск-157 км а/д "К-01"</t>
  </si>
  <si>
    <t>Ремонт 11 км автодороги</t>
  </si>
  <si>
    <t>а/д  "Кыштовка-Орловка"</t>
  </si>
  <si>
    <t>Ремонт 2,5 км автодорог, мостовых сооружений</t>
  </si>
  <si>
    <t>а/2 км а/д "Н-1910" - Новый Порос</t>
  </si>
  <si>
    <t>а/д "Чингис - Нижнекаменка - Завъялово"</t>
  </si>
  <si>
    <t>а/д "105 км а/д "М-52"-Сузун"</t>
  </si>
  <si>
    <t xml:space="preserve"> Ремонт 1,4 км автодороги </t>
  </si>
  <si>
    <t>Ремонт в 2020 году 6,2 км автодорог, в 2022 году -  оплата в соответствии с заключенным контрактом</t>
  </si>
  <si>
    <t>Ремонт в 2020 году 3,0 км автодорог, в 2022 году -  оплата в соответствии с заключенным контрактом</t>
  </si>
  <si>
    <t>Аварийно-восстановительные работы в местах ликвидации последствий чрезвычайных ситуаций</t>
  </si>
  <si>
    <t>Предусмотрены средства для ликвидации последствий в местаз ликвидации чрезвычаных ситуаций</t>
  </si>
  <si>
    <t>1.2.1.1.2.1. Ремонт автомобильных дорог регионального и межмуниципального значения и искусственных сооружений на них</t>
  </si>
  <si>
    <t>в 2020 году выплаты размера возмещения правообладателям при изъятии земельных участков и имущества, расположенного на них, изъятие 38 участков с последующей передачей коцессионеру, согласно утвержденному графику предоставления земельных участков (подлежит корректировке в случае внесения изменений в проект межевания и проект планировки территории). Разработка рабочей документации (концессионер). В период с 2020 по 2022 годы выполнение строительно- монтажных работ по подготовке территории строительства, учитывая комплекс мероприятий по охране окружающей среды, сносу строений, переустройству инженерных коммуникаций, а также строительство объекта.</t>
  </si>
  <si>
    <t>1.2.1.2.1.1. Содержание автомобильных дорог регионального и межмуниципального значения и искусственных сооружений на них</t>
  </si>
  <si>
    <t>1.2.1.2.Содержание автомобильных дорог регионального и межмуниципального значения и искусственных сооружений на них</t>
  </si>
  <si>
    <t>1.2.1.2.2. Оплата кредиторской задолженности за работы, выполненные в 2019 году</t>
  </si>
  <si>
    <t>Оплата бюджетных обязательств по выполненным и принятым работам в 2019 году</t>
  </si>
  <si>
    <t>1.2.1.4. Научно-исследовательские и конструкторские работы  в дорожной отрасли</t>
  </si>
  <si>
    <t xml:space="preserve">1.2.1.5. Разработка проектно-сметной документации для автомобильных дорог регионального и межмуниципального значения </t>
  </si>
  <si>
    <t>За период 2020-2022 годов будет заключено 114 контракта с целью повышения качества выполняемых дорожных работ.</t>
  </si>
  <si>
    <t>За период 2020-2022 годов будет заключено 55 контракта.</t>
  </si>
  <si>
    <t>За период 2020-2022 годов будет заключено 59 контрактов</t>
  </si>
  <si>
    <t>налоговые расходы</t>
  </si>
  <si>
    <t>субсидии из федерального бюджета областному бюджету Новосибирской области на   строительство и реконструкцию автомобильных дорог общего пользования  с твердым покрытием, ведущим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 в рамках подпрограммы "Создание и развитие инфраструктуры на сельских территориях" государственной программы Российской Федерации "Комплексное развитие сельских территорий", утвержденной постановления Правительства Российской Федерации от 31.05.2019 № 696</t>
  </si>
  <si>
    <t>иные межбюджетные трансферты, имеющие целевое назначение в целях внедрения автоматизированных и роботизированных технологий организации дорожного движения и контроля за соблюдением правил дорожного движения в рамках реализации федерального проекта "Общесистемные меры развития дорожного хозяйства" национального проекта «Безопасные и качественные автомобильные  дороги»</t>
  </si>
  <si>
    <t xml:space="preserve">Строительство объекта капитального строительства «Мостовой переход через р. Обь в створе ул. Ипподромской 
г. Новосибирска. Этап 0. Подготовительные работы. Этап 1. Строительство мостового перехода через р. Обь. Этап 2. Строительство транспортной развязки в створе ул. Станиславского» в рамках концессионного соглашения, заключенного в соответствии с Федеральным законом от 21 июля 2005 г. № 115-ФЗ «О концессионных соглашениях», подлежащего эксплуатации на платной основе
</t>
  </si>
  <si>
    <t xml:space="preserve">Строительство объекта капитального строительства «Мостовой переход через р. Обь в створе ул. Ипподромской г. Новосибирска. Этап 0. Подготовительные работы. Этап 1. Строительство мостового перехода через р. Обь. Этап 2. Строительство транспортной развязки в створе ул. Станиславского» в рамках концессионного соглашения, заключенного в соответствии с Федеральным законом от 21 июля 2005 г. № 115-ФЗ «О концессионных соглашениях», подлежащего эксплуатации на платной основе.
Этап 1. Строительство мостового перехода через р. Обь. 
Этап 2. Строительство транспортной развязки в створе ул. Станиславского
</t>
  </si>
  <si>
    <t xml:space="preserve"> Ремонт 2,1 км автодороги</t>
  </si>
  <si>
    <t>Ремонт 1,8 км автодороги, мостовых сооружений</t>
  </si>
  <si>
    <t>В 2020- ремонт 2,1 км автодороги, в 2022 - оплата в соответствии с заключенным контрактом</t>
  </si>
  <si>
    <t xml:space="preserve"> Ремонт 2,2 км автодороги, мостовых сооружений</t>
  </si>
  <si>
    <t>Ремонт 4,3 км автодороги, мостовых сооружений</t>
  </si>
  <si>
    <t>Ремонт 2,2 км автодороги, мостовых сооружений</t>
  </si>
  <si>
    <t>Ремонт 2,3 км автодороги, мостовых сооружений</t>
  </si>
  <si>
    <t>Ремонт 1,8 км автодорог, мостовых сооружений</t>
  </si>
  <si>
    <t>Ремонт 2,4 км автодорог, мостовых сооружений</t>
  </si>
  <si>
    <t>Ремонт 2,2 км автодорог, мостовых сооружений</t>
  </si>
  <si>
    <t>Ремонт 2,6 км автодорог, мостовых сооружений</t>
  </si>
  <si>
    <t>Ремонт 2,0 км автодорог, мостовых сооружений</t>
  </si>
  <si>
    <t xml:space="preserve"> Ремонт 3,0 км автодорог, мостовых сооружений</t>
  </si>
  <si>
    <t xml:space="preserve"> Ремонт 2,6 км автодорог, мостовых сооружений</t>
  </si>
  <si>
    <t xml:space="preserve"> Ремонт 2,1 км автодорог, мостовых сооружений</t>
  </si>
  <si>
    <t xml:space="preserve"> Ремонт 2,4 км автодорог, мостовых сооружений</t>
  </si>
  <si>
    <t xml:space="preserve"> Ремонт 2,9 км автодорог, мостовых сооружений</t>
  </si>
  <si>
    <t xml:space="preserve"> Ремонт 2,3 км автодорог, мостовых сооружений</t>
  </si>
  <si>
    <t xml:space="preserve"> Ремонт 2,2 км автодорог, мостовых сооружений</t>
  </si>
  <si>
    <t xml:space="preserve">  Ремонт 2,0 км автодорог, мостовых сооружений</t>
  </si>
  <si>
    <t>Ремонт 2,1 км автодорог, мостовых сооружений</t>
  </si>
  <si>
    <t>Ремонт 2,3 км автодорог, мостовых сооружений</t>
  </si>
  <si>
    <t>1.1.4. Строительство объектов дорожной инфраструктуры для многофункциональной ледовой арены по улице Немировича-Данченко в г. Новосибирске</t>
  </si>
  <si>
    <t>1.1.4.1. Строительство автомобильной дороги от пляжа "Наутилус" вдоль территории "Многофункциональной ледовой арены" с заездом на дамбу Октябрьского моста в Кировском и Ленинском районах г.Новосибирска</t>
  </si>
  <si>
    <t>1.1.4.2. Строительство автомобильной дороги от ул.Немировича-Данченко до территории "Многофункциональной ледовой арены" в Кировском районе г.Новосибирска</t>
  </si>
  <si>
    <t xml:space="preserve">Ввод в эксплуатацию законченных строительством и реконструкцией автодорог общего пользования регионального и межмуниципального значения и искусственных сооружений на них:                                                   в 2020 году - 17,9 км;                                         в 2021 году -15,3 км;                                            в 2022 году - 17,0 км.                 </t>
  </si>
  <si>
    <t>Ввод в эксплуатацию законченных строительством и реконструкцией в период 2020-2022 годов автодорог общего пользования регионального и межмуниципального значения; ввод в эксплуатацию искусственных сооружений (рассчитанных в соответствии с методикой):   в 2020-17,9 км; в 2021-15,3 км; 2022-17,0 км</t>
  </si>
  <si>
    <t xml:space="preserve">Ввод в эксплуатацию законченных строительством и реконструкцией автодорог общего пользования регионального и межмуниципального значения и искусственных сооружений на них:                                                   в 2020 году -17,9 км;                                         в 2021 году -15,3 км;                                            в 2022 году - 17,0 км.                                          </t>
  </si>
  <si>
    <t>налогоые расходы</t>
  </si>
  <si>
    <t>Итогона решение задачи 1.2. цели 1. государственной программы</t>
  </si>
  <si>
    <t>Итого на решение  задачи 1.1 цели 1. государственной программы</t>
  </si>
  <si>
    <t>Итого по государственной программе</t>
  </si>
  <si>
    <t xml:space="preserve"> В 2020 году предусмотрены по устройству ливневой канализации и отсыпке песка в полном объеме.  В 2021 году продолжение строительства автомобильной дороги (после окончания строительства ледовой арены), будет произведено устройство  асфальто-бетонного полотна протяженностью 2,25 км. Ввод в эксплуатацию в 2022 году.</t>
  </si>
  <si>
    <t>В 2020 году планируются работы по устройству  ливневой канализации,окончанию работ по отсыпке земляного полотна, отсыпке первого слоя щебня.  В 2021 году ввод в эксплуатацию в 2022 году  протяженностью 0,645 км.</t>
  </si>
  <si>
    <t>Строительство автомобильных дорог общего пользования с вводом в эксплуатацию в 2021 году 0,645 км, в 2022 году 2,25 км</t>
  </si>
  <si>
    <t>15. Доля протяженности автомобильных дорог регионального, межмуниципального и местного значения, соответствующих нормативным требованиям к транспортно-эксплуатационным показателям на 31 декабря отчетного периода, в том числе:</t>
  </si>
  <si>
    <t>15.Доля протяженности автомобильных дорог регионального, межмуниципального и местного значения, соответствующих нормативным требованиям к транспортно-эксплуатационным показателям на 31 декабря отчетного периода, в том числе:</t>
  </si>
  <si>
    <t>16.Удельный вес мостовых сооружений на автодорогах регионального и межмуниципального значения, находящихся в неудовлетворительном техническом состоянии и не соответствующих нормативным требованиям</t>
  </si>
  <si>
    <t>17.Протяженность сети автомобильных дорог общего пользования местного значения на территории Новосибирской области</t>
  </si>
  <si>
    <t>18.Объемы ввода в эксплуатацию после строительства и реконструкции автомобильных дорог общего пользования местного значения</t>
  </si>
  <si>
    <t>19.Прирост протяженности сети автомобильных дорог местного значения на территории Новосибирской области в результате строительства новых автомобильных дорог</t>
  </si>
  <si>
    <t>20.Прирост протяженности автомобильных дорог общего пользования местного значения на территории Новосибирской области, соответствующих нормативным требованиям к транспортно-эксплуатационным показателям, в результате реконструкции автомобильных дорог</t>
  </si>
  <si>
    <t xml:space="preserve">21. Протяженность грунтовых автомобильных дорог общего пользования местного значения  на территории  Новосибирской области   </t>
  </si>
  <si>
    <t xml:space="preserve">22. Доля протяженности дорожной сети Новосибирской агломерации, соответствующей нормативным требованиям   </t>
  </si>
  <si>
    <t>23.Доля автомобильных дорог регионального и межмуниципального значения Новосибирской области, обслуживающих движение в режиме перегрузки</t>
  </si>
  <si>
    <t xml:space="preserve">24.Снижение количества мест концентрации дорожно-транспортных происшествий (аварийно-опасных участков) 
на дорожной сети Новосибирской области
</t>
  </si>
  <si>
    <t xml:space="preserve">25.Доля контрактов на осуществление дорожной деятельности в рамках реализации регионального проекта, предусматривающих использование новых технологий и материалов, включенных в Реестр новых и наилучших технологий, материалов и технологических решений повторного применения, от общего количества новых государственных контрактов на выполнение работ по капитальному ремонту, ремонту и содержанию автомобильных дорог
</t>
  </si>
  <si>
    <t xml:space="preserve">26.Доля контрактов на осуществление дорожной деятельности в рамках реализации регионального проекта, предусматривающих выполнение работ на принципах контракта жизненного цикла, от общего количества новых государственных контрактов на выполнение работ по капитальному ремонту, ремонту и содержанию автомобильных дорог
</t>
  </si>
  <si>
    <t xml:space="preserve">27.Доля соответствующих нормативным требованиям автомобильных дорог регионального значения и автомобильных дорог в городских агломерациях с учетом загруженности </t>
  </si>
  <si>
    <t>22. Доля протяженности дорожной сети Новосибирской агломерации, соответствующей нормативным требованиям**</t>
  </si>
  <si>
    <t>23.Доля автомобильных дорог регионального и межмуниципального значения Новосибирской области, обслуживающих движение в режиме перегрузки**</t>
  </si>
  <si>
    <t xml:space="preserve">24.Снижение количества мест концентрации дорожно-транспортных происшествий (аварийно-опасных участков) 
на дорожной сети Новосибирской области**
</t>
  </si>
  <si>
    <t xml:space="preserve">25. Доля контрактов
на осуществление дорожной деятельности
в рамках реализации регионального проекта «Общесистемные меры развития дорожного хозяйства (Новосибирская область)», предусматривающих использование новых технологий и материалов, включенных в Реестр новых и наилучших технологий, материалов и технологических решений повторного применения,
от общего количества новых государственных контрактов на выполнение работ по капитальному ремонту, ремонту и содержанию автомобильных дорог
**
</t>
  </si>
  <si>
    <t xml:space="preserve">26. Доля контрактов на осуществление дорожной деятельности в рамках реализации регионального проекта «Общесистемные меры развития дорожного хозяйства (Новосибирская область)», предусматривающих выполнение работ на принципах контракта жизненного цикла, от общего количества новых государственных контрактов на выполнение работ по капитальному ремонту, ремонту и содержанию автомобильных дорог**
</t>
  </si>
  <si>
    <t>27.Доля соответствующих нормативным требованиям автомобильных дорог регионального значения и автомобильных дорог в городских агломерациях с учетом загруженности ***</t>
  </si>
  <si>
    <t>*** Индикатор введен с 2020 года</t>
  </si>
  <si>
    <t xml:space="preserve"> Ремонт 1,8 км автодороги</t>
  </si>
  <si>
    <t>Ремонт   автомобильных дорог регионального и межмуниципального значения и искусственных сооружений на них  в 2020 г - 59,1 км; ; 2022- 74,3 км</t>
  </si>
  <si>
    <t>Ремонт   автомобильных дорог регионального и межмуниципального значения и искусственных сооружений на них  в 2020 г -59,1 км; 2021- 40,7 км; 2022- 74,3 км</t>
  </si>
  <si>
    <t>Прирост протяженности автомобильных дорог регионального и межмуниципального  значения, соответствующих нормативным требованиям, к транспортно-эксплуатационным показателям в результате ремонта автомобильных дорог в 2020 г - 59,1 км;  2022- 74,3 км</t>
  </si>
  <si>
    <t>Ремонт   автомобильных дорог регионального и межмуниципального значения и искусственных сооружений на них  в 2020 г -89,4 км; 2021- 230,2 км; 2022-146,9 км</t>
  </si>
  <si>
    <t>Прирост протяженности автомобильных дорог регионального и межмуниципального  значения, соответствующих нормативным требованиям, к транспортно-эксплуатационным показателям в результате ремонта автомобильных дорогв 2020 г - 89,4 км;      2021- 230,2 км;                        2022- 146,9 км</t>
  </si>
  <si>
    <t>Путепровод ж/д "Инская-Сокур" на 23 км автодороги "Новосибирск - Ленинск-Кузнецкий (в границах НСО)"</t>
  </si>
  <si>
    <t>Мост ч/р Шарап на 96 км а/д  "Новосибирск - Кочки – Павлодар (в пред. РФ)"</t>
  </si>
  <si>
    <t>Капитальный ремонт путепровода   46,8 пог.м со сроком сдачи  в 2021 году</t>
  </si>
  <si>
    <t>Капитальный ремонт моста  42,64 пог.м со сроком сдачи  в 2021 году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</si>
</sst>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quot;р.&quot;_-;\-* #,##0.00&quot;р.&quot;_-;_-* &quot;-&quot;??&quot;р.&quot;_-;_-@_-"/>
    <numFmt numFmtId="165" formatCode="_-* #,##0.00_р_._-;\-* #,##0.00_р_._-;_-* &quot;-&quot;??_р_._-;_-@_-"/>
    <numFmt numFmtId="166" formatCode="_-* #,##0.0_р_._-;\-* #,##0.0_р_._-;_-* &quot;-&quot;??_р_._-;_-@_-"/>
    <numFmt numFmtId="167" formatCode="_-* #,##0.0_р_._-;\-* #,##0.0_р_._-;_-* &quot;-&quot;?_р_._-;_-@_-"/>
    <numFmt numFmtId="168" formatCode="#,##0.0"/>
    <numFmt numFmtId="169" formatCode="0.0"/>
    <numFmt numFmtId="170" formatCode="_-* #,##0.000_р_._-;\-* #,##0.000_р_._-;_-* &quot;-&quot;??_р_._-;_-@_-"/>
    <numFmt numFmtId="171" formatCode="#,##0.0_ ;\-#,##0.0\ "/>
    <numFmt numFmtId="172" formatCode="#,##0.00_ ;\-#,##0.00\ "/>
    <numFmt numFmtId="173" formatCode="0.000"/>
    <numFmt numFmtId="174" formatCode="0.0%"/>
    <numFmt numFmtId="175" formatCode="#,##0.0_р_."/>
    <numFmt numFmtId="176" formatCode="#,##0.000"/>
    <numFmt numFmtId="177" formatCode="_-* #,##0.0\ _₽_-;\-* #,##0.0\ _₽_-;_-* &quot;-&quot;?\ _₽_-;_-@_-"/>
    <numFmt numFmtId="178" formatCode="#,##0.000000000000000"/>
    <numFmt numFmtId="179" formatCode="#,##0.000_ ;\-#,##0.000\ "/>
  </numFmts>
  <fonts count="87">
    <font>
      <sz val="11"/>
      <color theme="1"/>
      <name val="Calibri"/>
      <family val="2"/>
      <charset val="204"/>
      <scheme val="minor"/>
    </font>
    <font>
      <sz val="14"/>
      <color theme="1"/>
      <name val="Calibri"/>
      <family val="2"/>
      <charset val="204"/>
      <scheme val="minor"/>
    </font>
    <font>
      <sz val="14"/>
      <color theme="1"/>
      <name val="Calibri"/>
      <family val="2"/>
      <charset val="204"/>
      <scheme val="minor"/>
    </font>
    <font>
      <sz val="10"/>
      <name val="Times New Roman"/>
      <family val="1"/>
      <charset val="204"/>
    </font>
    <font>
      <sz val="9"/>
      <name val="Times New Roman"/>
      <family val="1"/>
    </font>
    <font>
      <sz val="10"/>
      <name val="Helv"/>
    </font>
    <font>
      <sz val="11"/>
      <name val="Times New Roman"/>
      <family val="1"/>
      <charset val="204"/>
    </font>
    <font>
      <sz val="10"/>
      <name val="Arial"/>
      <family val="2"/>
      <charset val="204"/>
    </font>
    <font>
      <b/>
      <sz val="10"/>
      <name val="Times New Roman"/>
      <family val="1"/>
      <charset val="204"/>
    </font>
    <font>
      <b/>
      <sz val="9"/>
      <name val="Times New Roman"/>
      <family val="1"/>
      <charset val="204"/>
    </font>
    <font>
      <i/>
      <sz val="11"/>
      <name val="Times New Roman"/>
      <family val="1"/>
      <charset val="204"/>
    </font>
    <font>
      <b/>
      <sz val="9"/>
      <name val="Times New Roman"/>
      <family val="1"/>
    </font>
    <font>
      <b/>
      <sz val="10"/>
      <name val="Times New Roman"/>
      <family val="1"/>
    </font>
    <font>
      <b/>
      <sz val="14"/>
      <name val="Times New Roman"/>
      <family val="1"/>
      <charset val="204"/>
    </font>
    <font>
      <sz val="10"/>
      <color indexed="8"/>
      <name val="Times New Roman"/>
      <family val="1"/>
      <charset val="204"/>
    </font>
    <font>
      <sz val="11"/>
      <color theme="1"/>
      <name val="Calibri"/>
      <family val="2"/>
      <charset val="204"/>
      <scheme val="minor"/>
    </font>
    <font>
      <sz val="11"/>
      <color theme="1"/>
      <name val="Times New Roman"/>
      <family val="1"/>
      <charset val="204"/>
    </font>
    <font>
      <sz val="10"/>
      <color theme="1"/>
      <name val="Times New Roman"/>
      <family val="1"/>
      <charset val="204"/>
    </font>
    <font>
      <b/>
      <sz val="10"/>
      <color theme="1"/>
      <name val="Times New Roman"/>
      <family val="1"/>
      <charset val="204"/>
    </font>
    <font>
      <b/>
      <sz val="11"/>
      <color theme="1"/>
      <name val="Times New Roman"/>
      <family val="1"/>
      <charset val="204"/>
    </font>
    <font>
      <b/>
      <i/>
      <sz val="11"/>
      <color rgb="FFFF0000"/>
      <name val="Times New Roman"/>
      <family val="1"/>
      <charset val="204"/>
    </font>
    <font>
      <sz val="9"/>
      <name val="Times New Roman"/>
      <family val="1"/>
      <charset val="204"/>
    </font>
    <font>
      <b/>
      <sz val="10"/>
      <color theme="0"/>
      <name val="Times New Roman"/>
      <family val="1"/>
      <charset val="204"/>
    </font>
    <font>
      <b/>
      <sz val="9"/>
      <color indexed="81"/>
      <name val="Tahoma"/>
      <family val="2"/>
      <charset val="204"/>
    </font>
    <font>
      <sz val="9"/>
      <color indexed="81"/>
      <name val="Tahoma"/>
      <family val="2"/>
      <charset val="204"/>
    </font>
    <font>
      <sz val="9"/>
      <name val="Times New Roman CE"/>
      <family val="1"/>
      <charset val="238"/>
    </font>
    <font>
      <b/>
      <sz val="9"/>
      <name val="Times New Roman CE"/>
      <family val="1"/>
      <charset val="238"/>
    </font>
    <font>
      <sz val="9"/>
      <name val="Times New Roman Cyr"/>
      <family val="1"/>
      <charset val="204"/>
    </font>
    <font>
      <sz val="9"/>
      <color indexed="8"/>
      <name val="Times New Roman"/>
      <family val="1"/>
      <charset val="204"/>
    </font>
    <font>
      <sz val="9"/>
      <color rgb="FFFF0000"/>
      <name val="Times New Roman"/>
      <family val="1"/>
    </font>
    <font>
      <sz val="11"/>
      <color rgb="FFFF0000"/>
      <name val="Times New Roman"/>
      <family val="1"/>
    </font>
    <font>
      <sz val="9"/>
      <color theme="1"/>
      <name val="Times New Roman"/>
      <family val="1"/>
    </font>
    <font>
      <sz val="9"/>
      <name val="Times New Roman CE"/>
      <charset val="204"/>
    </font>
    <font>
      <sz val="9"/>
      <color theme="1"/>
      <name val="Times New Roman"/>
      <family val="1"/>
      <charset val="204"/>
    </font>
    <font>
      <b/>
      <sz val="9"/>
      <color theme="1"/>
      <name val="Times New Roman"/>
      <family val="1"/>
      <charset val="204"/>
    </font>
    <font>
      <sz val="12"/>
      <name val="Times New Roman"/>
      <family val="1"/>
      <charset val="204"/>
    </font>
    <font>
      <sz val="10"/>
      <color rgb="FF000000"/>
      <name val="Times New Roman"/>
      <family val="1"/>
      <charset val="204"/>
    </font>
    <font>
      <i/>
      <sz val="12"/>
      <name val="Times New Roman"/>
      <family val="1"/>
      <charset val="204"/>
    </font>
    <font>
      <b/>
      <sz val="12"/>
      <name val="Times New Roman"/>
      <family val="1"/>
      <charset val="204"/>
    </font>
    <font>
      <sz val="14"/>
      <color theme="1"/>
      <name val="Times New Roman"/>
      <family val="1"/>
      <charset val="204"/>
    </font>
    <font>
      <sz val="14"/>
      <color rgb="FF000000"/>
      <name val="Times New Roman"/>
      <family val="1"/>
      <charset val="204"/>
    </font>
    <font>
      <b/>
      <sz val="14"/>
      <color rgb="FF000000"/>
      <name val="Times New Roman"/>
      <family val="1"/>
      <charset val="204"/>
    </font>
    <font>
      <sz val="19"/>
      <color theme="1"/>
      <name val="Calibri"/>
      <family val="2"/>
      <charset val="204"/>
      <scheme val="minor"/>
    </font>
    <font>
      <sz val="19"/>
      <name val="Calibri"/>
      <family val="2"/>
      <charset val="204"/>
      <scheme val="minor"/>
    </font>
    <font>
      <sz val="19"/>
      <color rgb="FF00B050"/>
      <name val="Calibri"/>
      <family val="2"/>
      <charset val="204"/>
      <scheme val="minor"/>
    </font>
    <font>
      <sz val="19"/>
      <color theme="5"/>
      <name val="Calibri"/>
      <family val="2"/>
      <charset val="204"/>
      <scheme val="minor"/>
    </font>
    <font>
      <sz val="19"/>
      <color theme="6" tint="-0.499984740745262"/>
      <name val="Calibri"/>
      <family val="2"/>
      <charset val="204"/>
      <scheme val="minor"/>
    </font>
    <font>
      <sz val="19"/>
      <color theme="1"/>
      <name val="Times New Roman"/>
      <family val="1"/>
      <charset val="204"/>
    </font>
    <font>
      <sz val="19"/>
      <color rgb="FFFF0000"/>
      <name val="Calibri"/>
      <family val="2"/>
      <charset val="204"/>
      <scheme val="minor"/>
    </font>
    <font>
      <sz val="10"/>
      <name val="Helv"/>
      <charset val="204"/>
    </font>
    <font>
      <sz val="8"/>
      <color theme="1"/>
      <name val="Arial"/>
      <family val="2"/>
      <charset val="204"/>
    </font>
    <font>
      <b/>
      <i/>
      <sz val="8"/>
      <color theme="1"/>
      <name val="Arial"/>
      <family val="2"/>
      <charset val="204"/>
    </font>
    <font>
      <u/>
      <sz val="11"/>
      <color theme="10"/>
      <name val="Calibri"/>
      <family val="2"/>
      <charset val="204"/>
      <scheme val="minor"/>
    </font>
    <font>
      <u/>
      <sz val="8"/>
      <color theme="10"/>
      <name val="Calibri"/>
      <family val="2"/>
      <charset val="204"/>
      <scheme val="minor"/>
    </font>
    <font>
      <b/>
      <sz val="8"/>
      <color theme="1"/>
      <name val="Times New Roman"/>
      <family val="1"/>
      <charset val="204"/>
    </font>
    <font>
      <u/>
      <sz val="8"/>
      <color theme="10"/>
      <name val="Times New Roman"/>
      <family val="1"/>
      <charset val="204"/>
    </font>
    <font>
      <b/>
      <sz val="11"/>
      <color theme="1"/>
      <name val="Calibri"/>
      <family val="2"/>
      <charset val="204"/>
      <scheme val="minor"/>
    </font>
    <font>
      <sz val="10"/>
      <color theme="1"/>
      <name val="Calibri"/>
      <family val="2"/>
      <charset val="204"/>
      <scheme val="minor"/>
    </font>
    <font>
      <b/>
      <sz val="11"/>
      <name val="Times New Roman"/>
      <family val="1"/>
      <charset val="204"/>
    </font>
    <font>
      <b/>
      <sz val="10"/>
      <color theme="1"/>
      <name val="Calibri"/>
      <family val="2"/>
      <charset val="204"/>
      <scheme val="minor"/>
    </font>
    <font>
      <b/>
      <sz val="11"/>
      <color rgb="FFFF0000"/>
      <name val="Calibri"/>
      <family val="2"/>
      <charset val="204"/>
      <scheme val="minor"/>
    </font>
    <font>
      <b/>
      <i/>
      <sz val="10"/>
      <color theme="1"/>
      <name val="Arial"/>
      <family val="2"/>
      <charset val="204"/>
    </font>
    <font>
      <sz val="14"/>
      <color indexed="81"/>
      <name val="Tahoma"/>
      <family val="2"/>
      <charset val="204"/>
    </font>
    <font>
      <sz val="12"/>
      <color indexed="81"/>
      <name val="Tahoma"/>
      <family val="2"/>
      <charset val="204"/>
    </font>
    <font>
      <sz val="8"/>
      <color theme="1"/>
      <name val="Times New Roman"/>
      <family val="1"/>
      <charset val="204"/>
    </font>
    <font>
      <sz val="8"/>
      <color theme="0"/>
      <name val="Times New Roman"/>
      <family val="1"/>
      <charset val="204"/>
    </font>
    <font>
      <b/>
      <sz val="9"/>
      <name val="Times New Roman Cyr"/>
      <charset val="204"/>
    </font>
    <font>
      <sz val="14"/>
      <name val="Times New Roman"/>
      <family val="1"/>
      <charset val="204"/>
    </font>
    <font>
      <sz val="11"/>
      <color theme="0"/>
      <name val="Times New Roman"/>
      <family val="1"/>
      <charset val="204"/>
    </font>
    <font>
      <sz val="10"/>
      <name val="Arial Cyr"/>
      <charset val="204"/>
    </font>
    <font>
      <b/>
      <sz val="9"/>
      <color indexed="8"/>
      <name val="Times New Roman"/>
      <family val="1"/>
      <charset val="204"/>
    </font>
    <font>
      <sz val="10"/>
      <color indexed="8"/>
      <name val="Times New Roman CE"/>
      <family val="1"/>
      <charset val="238"/>
    </font>
    <font>
      <b/>
      <sz val="10"/>
      <name val="Calibri"/>
      <family val="2"/>
      <charset val="204"/>
    </font>
    <font>
      <sz val="11"/>
      <name val="Calibri"/>
      <family val="2"/>
      <charset val="204"/>
    </font>
    <font>
      <sz val="10"/>
      <name val="Calibri"/>
      <family val="2"/>
      <charset val="204"/>
    </font>
    <font>
      <sz val="9"/>
      <name val="Calibri"/>
      <family val="2"/>
      <charset val="204"/>
    </font>
    <font>
      <b/>
      <sz val="19"/>
      <color rgb="FFFF0000"/>
      <name val="Calibri"/>
      <family val="2"/>
      <charset val="204"/>
      <scheme val="minor"/>
    </font>
    <font>
      <b/>
      <sz val="19"/>
      <name val="Calibri"/>
      <family val="2"/>
      <charset val="204"/>
      <scheme val="minor"/>
    </font>
    <font>
      <b/>
      <sz val="19"/>
      <color theme="1"/>
      <name val="Calibri"/>
      <family val="2"/>
      <charset val="204"/>
      <scheme val="minor"/>
    </font>
    <font>
      <b/>
      <sz val="20"/>
      <color rgb="FFFF0000"/>
      <name val="Calibri"/>
      <family val="2"/>
      <charset val="204"/>
      <scheme val="minor"/>
    </font>
    <font>
      <sz val="12"/>
      <color rgb="FFFF0000"/>
      <name val="Times New Roman"/>
      <family val="1"/>
      <charset val="204"/>
    </font>
    <font>
      <b/>
      <sz val="8"/>
      <color theme="1"/>
      <name val="Calibri"/>
      <family val="2"/>
      <charset val="204"/>
      <scheme val="minor"/>
    </font>
    <font>
      <sz val="9"/>
      <color rgb="FFFF0000"/>
      <name val="Times New Roman"/>
      <family val="1"/>
      <charset val="204"/>
    </font>
    <font>
      <b/>
      <sz val="9"/>
      <color rgb="FFFF0000"/>
      <name val="Times New Roman"/>
      <family val="1"/>
      <charset val="204"/>
    </font>
    <font>
      <b/>
      <sz val="10"/>
      <color indexed="8"/>
      <name val="Times New Roman CE"/>
      <charset val="204"/>
    </font>
    <font>
      <sz val="8"/>
      <color theme="1"/>
      <name val="Calibri"/>
      <family val="2"/>
      <charset val="204"/>
      <scheme val="minor"/>
    </font>
    <font>
      <b/>
      <sz val="8"/>
      <color theme="1"/>
      <name val="Arial"/>
      <family val="2"/>
      <charset val="204"/>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2" tint="-9.9978637043366805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thin">
        <color indexed="64"/>
      </left>
      <right style="hair">
        <color indexed="64"/>
      </right>
      <top/>
      <bottom style="hair">
        <color indexed="64"/>
      </bottom>
      <diagonal/>
    </border>
  </borders>
  <cellStyleXfs count="23">
    <xf numFmtId="0" fontId="0" fillId="0" borderId="0"/>
    <xf numFmtId="0" fontId="7" fillId="0" borderId="0"/>
    <xf numFmtId="0" fontId="7" fillId="0" borderId="0"/>
    <xf numFmtId="0" fontId="5" fillId="0" borderId="0"/>
    <xf numFmtId="165" fontId="15"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0" fontId="2"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49" fillId="0" borderId="0"/>
    <xf numFmtId="0" fontId="52" fillId="0" borderId="0" applyNumberFormat="0" applyFill="0" applyBorder="0" applyAlignment="0" applyProtection="0"/>
    <xf numFmtId="0" fontId="69" fillId="0" borderId="0"/>
    <xf numFmtId="0" fontId="7" fillId="0" borderId="0"/>
    <xf numFmtId="0" fontId="7" fillId="0" borderId="0"/>
    <xf numFmtId="9" fontId="69" fillId="0" borderId="0" applyFont="0" applyFill="0" applyBorder="0" applyAlignment="0" applyProtection="0"/>
    <xf numFmtId="9" fontId="69" fillId="0" borderId="0" applyFont="0" applyFill="0" applyBorder="0" applyAlignment="0" applyProtection="0"/>
    <xf numFmtId="0" fontId="5" fillId="0" borderId="0"/>
    <xf numFmtId="165" fontId="69" fillId="0" borderId="0" applyFont="0" applyFill="0" applyBorder="0" applyAlignment="0" applyProtection="0"/>
    <xf numFmtId="165" fontId="69" fillId="0" borderId="0" applyFont="0" applyFill="0" applyBorder="0" applyAlignment="0" applyProtection="0"/>
  </cellStyleXfs>
  <cellXfs count="1207">
    <xf numFmtId="0" fontId="0" fillId="0" borderId="0" xfId="0"/>
    <xf numFmtId="0" fontId="3" fillId="2" borderId="1" xfId="1" applyNumberFormat="1" applyFont="1" applyFill="1" applyBorder="1" applyAlignment="1" applyProtection="1">
      <alignment horizontal="center" vertical="top" wrapText="1"/>
      <protection hidden="1"/>
    </xf>
    <xf numFmtId="0" fontId="3" fillId="2" borderId="1" xfId="4" applyNumberFormat="1" applyFont="1" applyFill="1" applyBorder="1" applyAlignment="1" applyProtection="1">
      <alignment horizontal="center" vertical="center" wrapText="1"/>
      <protection hidden="1"/>
    </xf>
    <xf numFmtId="0" fontId="3" fillId="2" borderId="1" xfId="1" applyNumberFormat="1" applyFont="1" applyFill="1" applyBorder="1" applyAlignment="1" applyProtection="1">
      <alignment horizontal="center" vertical="center" wrapText="1"/>
      <protection hidden="1"/>
    </xf>
    <xf numFmtId="0" fontId="3" fillId="2" borderId="1" xfId="4" applyNumberFormat="1" applyFont="1" applyFill="1" applyBorder="1" applyAlignment="1" applyProtection="1">
      <alignment horizontal="center" vertical="top" wrapText="1"/>
      <protection hidden="1"/>
    </xf>
    <xf numFmtId="166" fontId="3" fillId="2" borderId="1" xfId="4" applyNumberFormat="1" applyFont="1" applyFill="1" applyBorder="1" applyAlignment="1" applyProtection="1">
      <alignment horizontal="center" vertical="top" wrapText="1"/>
      <protection hidden="1"/>
    </xf>
    <xf numFmtId="166" fontId="8" fillId="2" borderId="1" xfId="4" applyNumberFormat="1" applyFont="1" applyFill="1" applyBorder="1" applyAlignment="1" applyProtection="1">
      <alignment horizontal="center" vertical="center" wrapText="1"/>
      <protection hidden="1"/>
    </xf>
    <xf numFmtId="0" fontId="8" fillId="2" borderId="1" xfId="1" applyNumberFormat="1" applyFont="1" applyFill="1" applyBorder="1" applyAlignment="1" applyProtection="1">
      <alignment horizontal="center" vertical="center" wrapText="1"/>
      <protection hidden="1"/>
    </xf>
    <xf numFmtId="165" fontId="8" fillId="2" borderId="1" xfId="4" applyFont="1" applyFill="1" applyBorder="1" applyAlignment="1" applyProtection="1">
      <alignment horizontal="center" vertical="center" wrapText="1"/>
      <protection hidden="1"/>
    </xf>
    <xf numFmtId="166" fontId="3" fillId="2" borderId="1" xfId="4" applyNumberFormat="1" applyFont="1" applyFill="1" applyBorder="1" applyAlignment="1" applyProtection="1">
      <alignment horizontal="center" vertical="center" wrapText="1"/>
      <protection hidden="1"/>
    </xf>
    <xf numFmtId="0" fontId="6" fillId="2" borderId="0" xfId="0" applyNumberFormat="1" applyFont="1" applyFill="1" applyAlignment="1">
      <alignment vertical="center" wrapText="1"/>
    </xf>
    <xf numFmtId="0" fontId="8" fillId="2" borderId="1" xfId="0" applyNumberFormat="1" applyFont="1" applyFill="1" applyBorder="1" applyAlignment="1">
      <alignment horizontal="center" vertical="center" wrapText="1"/>
    </xf>
    <xf numFmtId="166" fontId="8" fillId="2" borderId="1" xfId="4" applyNumberFormat="1" applyFont="1" applyFill="1" applyBorder="1" applyAlignment="1">
      <alignment horizontal="center" vertical="center" wrapText="1"/>
    </xf>
    <xf numFmtId="0" fontId="3" fillId="2" borderId="1" xfId="1" applyNumberFormat="1" applyFont="1" applyFill="1" applyBorder="1" applyAlignment="1" applyProtection="1">
      <alignment vertical="center" wrapText="1"/>
      <protection hidden="1"/>
    </xf>
    <xf numFmtId="0" fontId="8" fillId="2" borderId="3" xfId="1" applyNumberFormat="1" applyFont="1" applyFill="1" applyBorder="1" applyAlignment="1" applyProtection="1">
      <alignment vertical="top" wrapText="1"/>
      <protection hidden="1"/>
    </xf>
    <xf numFmtId="0" fontId="8" fillId="2" borderId="4" xfId="1" applyNumberFormat="1" applyFont="1" applyFill="1" applyBorder="1" applyAlignment="1" applyProtection="1">
      <alignment vertical="top" wrapText="1"/>
      <protection hidden="1"/>
    </xf>
    <xf numFmtId="0" fontId="3" fillId="2" borderId="1" xfId="1" applyNumberFormat="1" applyFont="1" applyFill="1" applyBorder="1" applyAlignment="1" applyProtection="1">
      <alignment vertical="top" wrapText="1"/>
      <protection hidden="1"/>
    </xf>
    <xf numFmtId="166" fontId="3" fillId="2" borderId="1" xfId="4" applyNumberFormat="1" applyFont="1" applyFill="1" applyBorder="1" applyAlignment="1">
      <alignment horizontal="center" vertical="top" wrapText="1"/>
    </xf>
    <xf numFmtId="0" fontId="3" fillId="2" borderId="1" xfId="1" applyNumberFormat="1" applyFont="1" applyFill="1" applyBorder="1" applyAlignment="1" applyProtection="1">
      <alignment horizontal="left" vertical="center" wrapText="1"/>
      <protection hidden="1"/>
    </xf>
    <xf numFmtId="166" fontId="3" fillId="2" borderId="1" xfId="4" applyNumberFormat="1" applyFont="1" applyFill="1" applyBorder="1" applyAlignment="1" applyProtection="1">
      <alignment horizontal="right" vertical="center"/>
      <protection hidden="1"/>
    </xf>
    <xf numFmtId="166" fontId="3" fillId="2" borderId="1" xfId="4" applyNumberFormat="1" applyFont="1" applyFill="1" applyBorder="1"/>
    <xf numFmtId="0" fontId="10" fillId="2" borderId="0" xfId="0" applyNumberFormat="1" applyFont="1" applyFill="1" applyAlignment="1">
      <alignment horizontal="right" vertical="center" wrapText="1"/>
    </xf>
    <xf numFmtId="0" fontId="3" fillId="2" borderId="0" xfId="0" applyNumberFormat="1" applyFont="1" applyFill="1" applyAlignment="1">
      <alignment horizontal="center" vertical="center" wrapText="1"/>
    </xf>
    <xf numFmtId="166" fontId="3" fillId="2" borderId="1" xfId="4" applyNumberFormat="1" applyFont="1" applyFill="1" applyBorder="1" applyAlignment="1">
      <alignment horizontal="center" vertical="center" wrapText="1"/>
    </xf>
    <xf numFmtId="0" fontId="8" fillId="2" borderId="1" xfId="0" applyNumberFormat="1" applyFont="1" applyFill="1" applyBorder="1" applyAlignment="1">
      <alignment vertical="center" wrapText="1"/>
    </xf>
    <xf numFmtId="0" fontId="3" fillId="2" borderId="1" xfId="4" applyNumberFormat="1" applyFont="1" applyFill="1" applyBorder="1" applyAlignment="1">
      <alignment horizontal="center" vertical="center" wrapText="1"/>
    </xf>
    <xf numFmtId="0" fontId="3" fillId="2" borderId="1" xfId="0" applyNumberFormat="1" applyFont="1" applyFill="1" applyBorder="1" applyAlignment="1">
      <alignment vertical="center"/>
    </xf>
    <xf numFmtId="169" fontId="8" fillId="2" borderId="1" xfId="4" applyNumberFormat="1" applyFont="1" applyFill="1" applyBorder="1" applyAlignment="1">
      <alignment horizontal="center" vertical="center" wrapText="1"/>
    </xf>
    <xf numFmtId="169" fontId="8" fillId="2" borderId="1" xfId="0" applyNumberFormat="1" applyFont="1" applyFill="1" applyBorder="1" applyAlignment="1">
      <alignment horizontal="center" vertical="center" wrapText="1"/>
    </xf>
    <xf numFmtId="166" fontId="8" fillId="2" borderId="2" xfId="4" applyNumberFormat="1" applyFont="1" applyFill="1" applyBorder="1" applyAlignment="1" applyProtection="1">
      <alignment horizontal="center" vertical="center" wrapText="1"/>
      <protection hidden="1"/>
    </xf>
    <xf numFmtId="166" fontId="8" fillId="2" borderId="4" xfId="4" applyNumberFormat="1" applyFont="1" applyFill="1" applyBorder="1" applyAlignment="1" applyProtection="1">
      <alignment horizontal="center" vertical="center" wrapText="1"/>
      <protection hidden="1"/>
    </xf>
    <xf numFmtId="0" fontId="3" fillId="2" borderId="3" xfId="0" applyNumberFormat="1" applyFont="1" applyFill="1" applyBorder="1" applyAlignment="1">
      <alignment vertical="top" wrapText="1"/>
    </xf>
    <xf numFmtId="167" fontId="6" fillId="2" borderId="0" xfId="0" applyNumberFormat="1" applyFont="1" applyFill="1" applyAlignment="1">
      <alignment vertical="center" wrapText="1"/>
    </xf>
    <xf numFmtId="0" fontId="8" fillId="2" borderId="3" xfId="0" applyNumberFormat="1" applyFont="1" applyFill="1" applyBorder="1" applyAlignment="1">
      <alignment vertical="top" wrapText="1"/>
    </xf>
    <xf numFmtId="165" fontId="8" fillId="2" borderId="1" xfId="4" applyFont="1" applyFill="1" applyBorder="1" applyAlignment="1">
      <alignment horizontal="center" vertical="center" wrapText="1"/>
    </xf>
    <xf numFmtId="0" fontId="3" fillId="2" borderId="3" xfId="0" applyNumberFormat="1" applyFont="1" applyFill="1" applyBorder="1" applyAlignment="1">
      <alignment vertical="center" wrapText="1"/>
    </xf>
    <xf numFmtId="0" fontId="3" fillId="2" borderId="4" xfId="0" applyNumberFormat="1" applyFont="1" applyFill="1" applyBorder="1" applyAlignment="1">
      <alignment vertical="center" wrapText="1"/>
    </xf>
    <xf numFmtId="170" fontId="3" fillId="2" borderId="1" xfId="4" applyNumberFormat="1" applyFont="1" applyFill="1" applyBorder="1" applyAlignment="1">
      <alignment horizontal="center" vertical="center" wrapText="1"/>
    </xf>
    <xf numFmtId="0" fontId="3" fillId="2" borderId="4" xfId="0" applyNumberFormat="1" applyFont="1" applyFill="1" applyBorder="1" applyAlignment="1">
      <alignment vertical="top" wrapText="1"/>
    </xf>
    <xf numFmtId="0" fontId="8" fillId="2" borderId="4" xfId="0" applyNumberFormat="1" applyFont="1" applyFill="1" applyBorder="1" applyAlignment="1">
      <alignment vertical="top" wrapText="1"/>
    </xf>
    <xf numFmtId="0" fontId="3" fillId="2" borderId="1" xfId="0" applyNumberFormat="1" applyFont="1" applyFill="1" applyBorder="1" applyAlignment="1">
      <alignment vertical="top" wrapText="1"/>
    </xf>
    <xf numFmtId="168" fontId="14" fillId="2" borderId="1" xfId="0" applyNumberFormat="1" applyFont="1" applyFill="1" applyBorder="1" applyAlignment="1">
      <alignment vertical="center"/>
    </xf>
    <xf numFmtId="0" fontId="6" fillId="2" borderId="1" xfId="0" applyNumberFormat="1" applyFont="1" applyFill="1" applyBorder="1" applyAlignment="1">
      <alignment vertical="center" wrapText="1"/>
    </xf>
    <xf numFmtId="4" fontId="6" fillId="2" borderId="0" xfId="0" applyNumberFormat="1" applyFont="1" applyFill="1" applyAlignment="1">
      <alignment vertical="center" wrapText="1"/>
    </xf>
    <xf numFmtId="0" fontId="16" fillId="0" borderId="0" xfId="0" applyNumberFormat="1" applyFont="1" applyFill="1" applyAlignment="1">
      <alignment vertical="top" wrapText="1"/>
    </xf>
    <xf numFmtId="0" fontId="19" fillId="0" borderId="0" xfId="0" applyNumberFormat="1" applyFont="1" applyFill="1" applyAlignment="1">
      <alignment vertical="top" wrapText="1"/>
    </xf>
    <xf numFmtId="166" fontId="16" fillId="0" borderId="0" xfId="0" applyNumberFormat="1" applyFont="1" applyFill="1" applyAlignment="1">
      <alignment vertical="top" wrapText="1"/>
    </xf>
    <xf numFmtId="2" fontId="16" fillId="0" borderId="0" xfId="0" applyNumberFormat="1" applyFont="1" applyFill="1" applyAlignment="1">
      <alignment vertical="top" wrapText="1"/>
    </xf>
    <xf numFmtId="167" fontId="16" fillId="0" borderId="0" xfId="0" applyNumberFormat="1" applyFont="1" applyFill="1" applyAlignment="1">
      <alignment vertical="top" wrapText="1"/>
    </xf>
    <xf numFmtId="168" fontId="8" fillId="2" borderId="1" xfId="4"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1" xfId="0" applyNumberFormat="1" applyFont="1" applyFill="1" applyBorder="1" applyAlignment="1">
      <alignment vertical="center" wrapText="1"/>
    </xf>
    <xf numFmtId="0" fontId="3" fillId="2" borderId="1" xfId="0" applyNumberFormat="1" applyFont="1" applyFill="1" applyBorder="1" applyAlignment="1">
      <alignment horizontal="left" vertical="top"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vertical="top" wrapText="1"/>
    </xf>
    <xf numFmtId="169" fontId="20" fillId="0" borderId="1" xfId="0" applyNumberFormat="1" applyFont="1" applyFill="1" applyBorder="1" applyAlignment="1">
      <alignment horizontal="center" vertical="center" wrapText="1"/>
    </xf>
    <xf numFmtId="169" fontId="16" fillId="0" borderId="1" xfId="0" applyNumberFormat="1" applyFont="1" applyFill="1" applyBorder="1" applyAlignment="1">
      <alignment vertical="top" wrapText="1"/>
    </xf>
    <xf numFmtId="169" fontId="3" fillId="2" borderId="1" xfId="4" applyNumberFormat="1" applyFont="1" applyFill="1" applyBorder="1" applyAlignment="1">
      <alignment horizontal="center" vertical="center" wrapText="1"/>
    </xf>
    <xf numFmtId="169" fontId="3" fillId="2" borderId="1" xfId="1" applyNumberFormat="1" applyFont="1" applyFill="1" applyBorder="1" applyAlignment="1" applyProtection="1">
      <alignment horizontal="center" vertical="top" wrapText="1"/>
      <protection hidden="1"/>
    </xf>
    <xf numFmtId="169" fontId="22" fillId="2" borderId="1" xfId="4" applyNumberFormat="1" applyFont="1" applyFill="1" applyBorder="1" applyAlignment="1">
      <alignment horizontal="center" vertical="center" wrapText="1"/>
    </xf>
    <xf numFmtId="169" fontId="22" fillId="2" borderId="1" xfId="4" applyNumberFormat="1" applyFont="1" applyFill="1" applyBorder="1" applyAlignment="1" applyProtection="1">
      <alignment horizontal="center" vertical="center" wrapText="1"/>
      <protection hidden="1"/>
    </xf>
    <xf numFmtId="0" fontId="9" fillId="2" borderId="1" xfId="0" applyNumberFormat="1" applyFont="1" applyFill="1" applyBorder="1" applyAlignment="1">
      <alignment horizontal="center" vertical="center" wrapText="1"/>
    </xf>
    <xf numFmtId="168" fontId="8" fillId="2" borderId="1" xfId="0" applyNumberFormat="1" applyFont="1" applyFill="1" applyBorder="1" applyAlignment="1">
      <alignment horizontal="center" vertical="center" wrapText="1"/>
    </xf>
    <xf numFmtId="168" fontId="8" fillId="2" borderId="4" xfId="4" applyNumberFormat="1" applyFont="1" applyFill="1" applyBorder="1" applyAlignment="1">
      <alignment horizontal="center" vertical="center" wrapText="1"/>
    </xf>
    <xf numFmtId="168" fontId="3" fillId="2" borderId="1" xfId="4" applyNumberFormat="1" applyFont="1" applyFill="1" applyBorder="1" applyAlignment="1">
      <alignment horizontal="center" vertical="center" wrapText="1"/>
    </xf>
    <xf numFmtId="168" fontId="3" fillId="2" borderId="4" xfId="4" applyNumberFormat="1" applyFont="1" applyFill="1" applyBorder="1" applyAlignment="1">
      <alignment horizontal="center" vertical="center" wrapText="1"/>
    </xf>
    <xf numFmtId="168" fontId="3" fillId="2" borderId="1" xfId="4" applyNumberFormat="1" applyFont="1" applyFill="1" applyBorder="1" applyAlignment="1" applyProtection="1">
      <alignment horizontal="center" vertical="center" wrapText="1"/>
      <protection hidden="1"/>
    </xf>
    <xf numFmtId="168" fontId="8" fillId="2" borderId="1" xfId="4" applyNumberFormat="1" applyFont="1" applyFill="1" applyBorder="1" applyAlignment="1" applyProtection="1">
      <alignment horizontal="center" vertical="center" wrapText="1"/>
      <protection hidden="1"/>
    </xf>
    <xf numFmtId="168" fontId="22" fillId="2" borderId="1" xfId="4" applyNumberFormat="1" applyFont="1" applyFill="1" applyBorder="1" applyAlignment="1">
      <alignment horizontal="center" vertical="center" wrapText="1"/>
    </xf>
    <xf numFmtId="168" fontId="3" fillId="2" borderId="1" xfId="4" applyNumberFormat="1" applyFont="1" applyFill="1" applyBorder="1" applyAlignment="1" applyProtection="1">
      <alignment horizontal="center" vertical="top" wrapText="1"/>
      <protection hidden="1"/>
    </xf>
    <xf numFmtId="168" fontId="3" fillId="2" borderId="1" xfId="4" applyNumberFormat="1" applyFont="1" applyFill="1" applyBorder="1" applyAlignment="1">
      <alignment horizontal="center" vertical="top" wrapText="1"/>
    </xf>
    <xf numFmtId="168" fontId="8" fillId="2" borderId="1" xfId="1" applyNumberFormat="1" applyFont="1" applyFill="1" applyBorder="1" applyAlignment="1" applyProtection="1">
      <alignment horizontal="center" vertical="center" wrapText="1"/>
      <protection hidden="1"/>
    </xf>
    <xf numFmtId="168" fontId="8" fillId="2" borderId="2" xfId="4" applyNumberFormat="1" applyFont="1" applyFill="1" applyBorder="1" applyAlignment="1" applyProtection="1">
      <alignment horizontal="center" vertical="center" wrapText="1"/>
      <protection hidden="1"/>
    </xf>
    <xf numFmtId="168" fontId="8" fillId="2" borderId="4" xfId="4" applyNumberFormat="1" applyFont="1" applyFill="1" applyBorder="1" applyAlignment="1" applyProtection="1">
      <alignment horizontal="center" vertical="center" wrapText="1"/>
      <protection hidden="1"/>
    </xf>
    <xf numFmtId="168" fontId="3" fillId="2" borderId="1" xfId="4" applyNumberFormat="1" applyFont="1" applyFill="1" applyBorder="1" applyAlignment="1" applyProtection="1">
      <alignment horizontal="right" vertical="center"/>
      <protection hidden="1"/>
    </xf>
    <xf numFmtId="168" fontId="6" fillId="2" borderId="0" xfId="0" applyNumberFormat="1" applyFont="1" applyFill="1" applyAlignment="1">
      <alignment vertical="center" wrapText="1"/>
    </xf>
    <xf numFmtId="0" fontId="21" fillId="2" borderId="4" xfId="0" applyNumberFormat="1" applyFont="1" applyFill="1" applyBorder="1" applyAlignment="1">
      <alignment vertical="top" wrapText="1"/>
    </xf>
    <xf numFmtId="0" fontId="21" fillId="2" borderId="1" xfId="0" applyNumberFormat="1" applyFont="1" applyFill="1" applyBorder="1" applyAlignment="1">
      <alignment vertical="top"/>
    </xf>
    <xf numFmtId="0" fontId="6" fillId="2" borderId="0" xfId="0" applyNumberFormat="1" applyFont="1" applyFill="1" applyAlignment="1">
      <alignment vertical="top" wrapText="1"/>
    </xf>
    <xf numFmtId="0" fontId="3" fillId="2" borderId="0" xfId="0" applyNumberFormat="1" applyFont="1" applyFill="1" applyAlignment="1">
      <alignment horizontal="center" vertical="top" wrapText="1"/>
    </xf>
    <xf numFmtId="168" fontId="3" fillId="0" borderId="1" xfId="4" applyNumberFormat="1" applyFont="1" applyFill="1" applyBorder="1" applyAlignment="1" applyProtection="1">
      <alignment horizontal="center" vertical="center" wrapText="1"/>
      <protection hidden="1"/>
    </xf>
    <xf numFmtId="0" fontId="6" fillId="0" borderId="0" xfId="0" applyNumberFormat="1" applyFont="1" applyFill="1" applyAlignment="1">
      <alignment vertical="center" wrapText="1"/>
    </xf>
    <xf numFmtId="0" fontId="3" fillId="0" borderId="1" xfId="0" applyNumberFormat="1" applyFont="1" applyFill="1" applyBorder="1" applyAlignment="1">
      <alignment horizontal="center" vertical="center" wrapText="1"/>
    </xf>
    <xf numFmtId="168" fontId="8" fillId="0" borderId="1" xfId="0" applyNumberFormat="1" applyFont="1" applyFill="1" applyBorder="1" applyAlignment="1">
      <alignment horizontal="center" vertical="center" wrapText="1"/>
    </xf>
    <xf numFmtId="168" fontId="8" fillId="0" borderId="1" xfId="4" applyNumberFormat="1" applyFont="1" applyFill="1" applyBorder="1" applyAlignment="1">
      <alignment horizontal="center" vertical="center" wrapText="1"/>
    </xf>
    <xf numFmtId="168" fontId="3" fillId="0" borderId="1" xfId="4" applyNumberFormat="1" applyFont="1" applyFill="1" applyBorder="1" applyAlignment="1">
      <alignment horizontal="center" vertical="center" wrapText="1"/>
    </xf>
    <xf numFmtId="168" fontId="8" fillId="0" borderId="1" xfId="4" applyNumberFormat="1" applyFont="1" applyFill="1" applyBorder="1" applyAlignment="1" applyProtection="1">
      <alignment horizontal="center" vertical="center" wrapText="1"/>
      <protection hidden="1"/>
    </xf>
    <xf numFmtId="0" fontId="3" fillId="0" borderId="1" xfId="4" applyNumberFormat="1" applyFont="1" applyFill="1" applyBorder="1" applyAlignment="1">
      <alignment horizontal="center" vertical="center" wrapText="1"/>
    </xf>
    <xf numFmtId="168" fontId="22" fillId="0" borderId="1" xfId="4" applyNumberFormat="1" applyFont="1" applyFill="1" applyBorder="1" applyAlignment="1">
      <alignment horizontal="center" vertical="center" wrapText="1"/>
    </xf>
    <xf numFmtId="168" fontId="3" fillId="0" borderId="1" xfId="4" applyNumberFormat="1" applyFont="1" applyFill="1" applyBorder="1" applyAlignment="1">
      <alignment horizontal="center" vertical="top" wrapText="1"/>
    </xf>
    <xf numFmtId="169" fontId="3" fillId="0" borderId="1" xfId="4" applyNumberFormat="1" applyFont="1" applyFill="1" applyBorder="1" applyAlignment="1">
      <alignment horizontal="center" vertical="center" wrapText="1"/>
    </xf>
    <xf numFmtId="168" fontId="8" fillId="0" borderId="2" xfId="4" applyNumberFormat="1" applyFont="1" applyFill="1" applyBorder="1" applyAlignment="1">
      <alignment horizontal="center" vertical="center" wrapText="1"/>
    </xf>
    <xf numFmtId="168" fontId="8" fillId="0" borderId="4" xfId="4" applyNumberFormat="1" applyFont="1" applyFill="1" applyBorder="1" applyAlignment="1">
      <alignment horizontal="center" vertical="center" wrapText="1"/>
    </xf>
    <xf numFmtId="168" fontId="3" fillId="0" borderId="1" xfId="4" applyNumberFormat="1" applyFont="1" applyFill="1" applyBorder="1"/>
    <xf numFmtId="169" fontId="22" fillId="0" borderId="1" xfId="4" applyNumberFormat="1" applyFont="1" applyFill="1" applyBorder="1" applyAlignment="1">
      <alignment horizontal="center" vertical="center" wrapText="1"/>
    </xf>
    <xf numFmtId="0" fontId="3" fillId="0" borderId="1" xfId="4" applyNumberFormat="1" applyFont="1" applyFill="1" applyBorder="1" applyAlignment="1" applyProtection="1">
      <alignment horizontal="center" vertical="center" wrapText="1"/>
      <protection hidden="1"/>
    </xf>
    <xf numFmtId="0" fontId="3" fillId="0" borderId="1" xfId="4" applyNumberFormat="1" applyFont="1" applyFill="1" applyBorder="1" applyAlignment="1" applyProtection="1">
      <alignment horizontal="center" vertical="top" wrapText="1"/>
      <protection hidden="1"/>
    </xf>
    <xf numFmtId="0" fontId="3" fillId="0" borderId="1" xfId="1" applyNumberFormat="1" applyFont="1" applyFill="1" applyBorder="1" applyAlignment="1" applyProtection="1">
      <alignment horizontal="center" vertical="top" wrapText="1"/>
      <protection hidden="1"/>
    </xf>
    <xf numFmtId="0" fontId="10" fillId="2" borderId="0" xfId="0" applyNumberFormat="1" applyFont="1" applyFill="1" applyAlignment="1">
      <alignment horizontal="center" vertical="center" wrapText="1"/>
    </xf>
    <xf numFmtId="0" fontId="9" fillId="2" borderId="4" xfId="0" applyNumberFormat="1" applyFont="1" applyFill="1" applyBorder="1" applyAlignment="1">
      <alignment horizontal="center" vertical="center" wrapText="1"/>
    </xf>
    <xf numFmtId="168" fontId="9" fillId="2" borderId="1" xfId="0" applyNumberFormat="1" applyFont="1" applyFill="1" applyBorder="1" applyAlignment="1">
      <alignment horizontal="center" vertical="center" wrapText="1"/>
    </xf>
    <xf numFmtId="168" fontId="9" fillId="2" borderId="1" xfId="4" applyNumberFormat="1" applyFont="1" applyFill="1" applyBorder="1" applyAlignment="1">
      <alignment horizontal="center" vertical="center" wrapText="1"/>
    </xf>
    <xf numFmtId="168" fontId="21" fillId="2" borderId="1" xfId="4" applyNumberFormat="1" applyFont="1" applyFill="1" applyBorder="1" applyAlignment="1">
      <alignment horizontal="center" vertical="center" wrapText="1"/>
    </xf>
    <xf numFmtId="168" fontId="4" fillId="2" borderId="1" xfId="4" applyNumberFormat="1" applyFont="1" applyFill="1" applyBorder="1" applyAlignment="1">
      <alignment horizontal="center" vertical="center" wrapText="1"/>
    </xf>
    <xf numFmtId="168" fontId="21" fillId="2" borderId="1" xfId="4" applyNumberFormat="1" applyFont="1" applyFill="1" applyBorder="1" applyAlignment="1">
      <alignment horizontal="center" vertical="center"/>
    </xf>
    <xf numFmtId="0" fontId="16" fillId="0" borderId="0" xfId="0" applyNumberFormat="1" applyFont="1" applyFill="1" applyAlignment="1">
      <alignment vertical="top"/>
    </xf>
    <xf numFmtId="168" fontId="21" fillId="2" borderId="2" xfId="4" applyNumberFormat="1" applyFont="1" applyFill="1" applyBorder="1" applyAlignment="1">
      <alignment horizontal="center" vertical="center" wrapText="1"/>
    </xf>
    <xf numFmtId="168" fontId="9" fillId="2" borderId="4" xfId="4" applyNumberFormat="1" applyFont="1" applyFill="1" applyBorder="1" applyAlignment="1">
      <alignment horizontal="center" vertical="center" wrapText="1"/>
    </xf>
    <xf numFmtId="168" fontId="21" fillId="2" borderId="2" xfId="4" applyNumberFormat="1" applyFont="1" applyFill="1" applyBorder="1" applyAlignment="1">
      <alignment horizontal="center" vertical="center"/>
    </xf>
    <xf numFmtId="0" fontId="19" fillId="0" borderId="1" xfId="0" applyNumberFormat="1" applyFont="1" applyFill="1" applyBorder="1" applyAlignment="1">
      <alignment vertical="top" wrapText="1"/>
    </xf>
    <xf numFmtId="0" fontId="21" fillId="2" borderId="1" xfId="0" applyNumberFormat="1" applyFont="1" applyFill="1" applyBorder="1" applyAlignment="1">
      <alignment vertical="center" wrapText="1"/>
    </xf>
    <xf numFmtId="0" fontId="19" fillId="0" borderId="14" xfId="0" applyNumberFormat="1" applyFont="1" applyFill="1" applyBorder="1" applyAlignment="1">
      <alignment vertical="top" wrapText="1"/>
    </xf>
    <xf numFmtId="0" fontId="19" fillId="0" borderId="0" xfId="0" applyNumberFormat="1" applyFont="1" applyFill="1" applyBorder="1" applyAlignment="1">
      <alignment vertical="top" wrapText="1"/>
    </xf>
    <xf numFmtId="4" fontId="21" fillId="2" borderId="1" xfId="4" applyNumberFormat="1" applyFont="1" applyFill="1" applyBorder="1" applyAlignment="1">
      <alignment horizontal="center" vertical="center" wrapText="1"/>
    </xf>
    <xf numFmtId="4" fontId="9" fillId="2" borderId="1" xfId="4"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9" fillId="2" borderId="2" xfId="0" applyNumberFormat="1" applyFont="1" applyFill="1" applyBorder="1" applyAlignment="1">
      <alignment horizontal="center" vertical="center"/>
    </xf>
    <xf numFmtId="168" fontId="29" fillId="2" borderId="2" xfId="4" applyNumberFormat="1" applyFont="1" applyFill="1" applyBorder="1" applyAlignment="1">
      <alignment horizontal="center" vertical="center"/>
    </xf>
    <xf numFmtId="0" fontId="30" fillId="0" borderId="0" xfId="0" applyNumberFormat="1" applyFont="1" applyFill="1" applyAlignment="1">
      <alignment vertical="top"/>
    </xf>
    <xf numFmtId="0" fontId="31" fillId="2" borderId="2" xfId="0" applyNumberFormat="1" applyFont="1" applyFill="1" applyBorder="1" applyAlignment="1">
      <alignment horizontal="center" vertical="center"/>
    </xf>
    <xf numFmtId="168" fontId="21" fillId="2" borderId="2" xfId="4" applyNumberFormat="1" applyFont="1" applyFill="1" applyBorder="1" applyAlignment="1">
      <alignment horizontal="left" vertical="top" wrapText="1"/>
    </xf>
    <xf numFmtId="168" fontId="16" fillId="0" borderId="0" xfId="0" applyNumberFormat="1" applyFont="1" applyFill="1" applyAlignment="1">
      <alignment vertical="top" wrapText="1"/>
    </xf>
    <xf numFmtId="168" fontId="6" fillId="2" borderId="1" xfId="0" applyNumberFormat="1" applyFont="1" applyFill="1" applyBorder="1" applyAlignment="1">
      <alignment horizontal="center" vertical="center" wrapText="1"/>
    </xf>
    <xf numFmtId="4" fontId="21" fillId="2" borderId="1" xfId="4" applyNumberFormat="1" applyFont="1" applyFill="1" applyBorder="1" applyAlignment="1">
      <alignment horizontal="center" vertical="center"/>
    </xf>
    <xf numFmtId="172" fontId="16"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164" fontId="3" fillId="2" borderId="1" xfId="6" applyFont="1" applyFill="1" applyBorder="1" applyAlignment="1">
      <alignment horizontal="center" vertical="center" wrapText="1"/>
    </xf>
    <xf numFmtId="168" fontId="3" fillId="0" borderId="1" xfId="4" applyNumberFormat="1" applyFont="1" applyFill="1" applyBorder="1" applyAlignment="1">
      <alignment horizontal="right"/>
    </xf>
    <xf numFmtId="168" fontId="14" fillId="2" borderId="1" xfId="0" applyNumberFormat="1" applyFont="1" applyFill="1" applyBorder="1" applyAlignment="1">
      <alignment horizontal="right"/>
    </xf>
    <xf numFmtId="4" fontId="21" fillId="2" borderId="2" xfId="4" applyNumberFormat="1" applyFont="1" applyFill="1" applyBorder="1" applyAlignment="1">
      <alignment horizontal="center" vertical="center" wrapText="1"/>
    </xf>
    <xf numFmtId="171" fontId="21" fillId="2" borderId="16" xfId="4" applyNumberFormat="1" applyFont="1" applyFill="1" applyBorder="1" applyAlignment="1" applyProtection="1">
      <alignment horizontal="center" vertical="center" wrapText="1"/>
    </xf>
    <xf numFmtId="171" fontId="21" fillId="2" borderId="15" xfId="4" applyNumberFormat="1" applyFont="1" applyFill="1" applyBorder="1" applyAlignment="1" applyProtection="1">
      <alignment horizontal="center" vertical="center" wrapText="1"/>
    </xf>
    <xf numFmtId="0" fontId="21" fillId="2" borderId="2" xfId="0" applyNumberFormat="1" applyFont="1" applyFill="1" applyBorder="1" applyAlignment="1">
      <alignment vertical="top"/>
    </xf>
    <xf numFmtId="0" fontId="21" fillId="2" borderId="3" xfId="0" applyNumberFormat="1" applyFont="1" applyFill="1" applyBorder="1" applyAlignment="1">
      <alignment vertical="top"/>
    </xf>
    <xf numFmtId="0" fontId="21" fillId="2" borderId="4" xfId="0" applyNumberFormat="1" applyFont="1" applyFill="1" applyBorder="1" applyAlignment="1">
      <alignment vertical="top"/>
    </xf>
    <xf numFmtId="169" fontId="9" fillId="2" borderId="1" xfId="4" applyNumberFormat="1" applyFont="1" applyFill="1" applyBorder="1" applyAlignment="1">
      <alignment horizontal="center" vertical="center" wrapText="1"/>
    </xf>
    <xf numFmtId="168" fontId="21" fillId="2" borderId="3" xfId="4" applyNumberFormat="1" applyFont="1" applyFill="1" applyBorder="1" applyAlignment="1">
      <alignment horizontal="center" vertical="center" wrapText="1"/>
    </xf>
    <xf numFmtId="0" fontId="35" fillId="2" borderId="0" xfId="0" applyFont="1" applyFill="1"/>
    <xf numFmtId="168"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6" fillId="2" borderId="9" xfId="0" applyFont="1" applyFill="1" applyBorder="1" applyAlignment="1">
      <alignment horizontal="left" vertical="center" wrapText="1"/>
    </xf>
    <xf numFmtId="0" fontId="3" fillId="2" borderId="1" xfId="0" applyFont="1" applyFill="1" applyBorder="1" applyAlignment="1">
      <alignment vertical="top" wrapText="1"/>
    </xf>
    <xf numFmtId="168" fontId="36" fillId="2" borderId="1" xfId="12"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wrapText="1"/>
    </xf>
    <xf numFmtId="166" fontId="36" fillId="2" borderId="1" xfId="4"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xf>
    <xf numFmtId="0" fontId="36" fillId="2" borderId="14" xfId="0" applyFont="1" applyFill="1" applyBorder="1" applyAlignment="1">
      <alignment horizontal="left" vertical="center" wrapText="1"/>
    </xf>
    <xf numFmtId="169" fontId="36" fillId="2" borderId="1" xfId="12"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36" fillId="2" borderId="14" xfId="0" applyFont="1" applyFill="1" applyBorder="1" applyAlignment="1">
      <alignment vertical="center" wrapText="1"/>
    </xf>
    <xf numFmtId="0" fontId="3" fillId="2" borderId="14" xfId="0" applyFont="1" applyFill="1" applyBorder="1" applyAlignment="1">
      <alignment vertical="top" wrapText="1"/>
    </xf>
    <xf numFmtId="2" fontId="36" fillId="2" borderId="1" xfId="12" applyNumberFormat="1" applyFont="1" applyFill="1" applyBorder="1" applyAlignment="1">
      <alignment horizontal="center" vertical="center" wrapText="1"/>
    </xf>
    <xf numFmtId="169" fontId="3" fillId="2" borderId="1" xfId="0" applyNumberFormat="1" applyFont="1" applyFill="1" applyBorder="1" applyAlignment="1">
      <alignment horizontal="center" vertical="center" wrapText="1"/>
    </xf>
    <xf numFmtId="0" fontId="35" fillId="2" borderId="0" xfId="0" applyFont="1" applyFill="1" applyAlignment="1">
      <alignment vertical="center" wrapText="1"/>
    </xf>
    <xf numFmtId="174" fontId="36" fillId="2" borderId="1" xfId="12"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166" fontId="36" fillId="2" borderId="1" xfId="4" applyNumberFormat="1" applyFont="1" applyFill="1" applyBorder="1" applyAlignment="1">
      <alignment vertical="center" wrapText="1"/>
    </xf>
    <xf numFmtId="0" fontId="3" fillId="2" borderId="1" xfId="0" applyFont="1" applyFill="1" applyBorder="1" applyAlignment="1">
      <alignment horizontal="center" vertical="center"/>
    </xf>
    <xf numFmtId="0" fontId="17" fillId="2" borderId="17" xfId="0" applyFont="1" applyFill="1" applyBorder="1" applyAlignment="1">
      <alignment horizontal="left" vertical="center" wrapText="1"/>
    </xf>
    <xf numFmtId="0" fontId="36" fillId="2" borderId="17" xfId="0" applyFont="1" applyFill="1" applyBorder="1" applyAlignment="1">
      <alignment horizontal="left" vertical="center" wrapText="1"/>
    </xf>
    <xf numFmtId="0" fontId="36" fillId="2" borderId="18"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36" fillId="2" borderId="1" xfId="0" applyFont="1" applyFill="1" applyBorder="1" applyAlignment="1">
      <alignment horizontal="left" vertical="center" wrapText="1"/>
    </xf>
    <xf numFmtId="0" fontId="36" fillId="2" borderId="1" xfId="0" applyFont="1" applyFill="1" applyBorder="1" applyAlignment="1">
      <alignment vertical="center" wrapText="1"/>
    </xf>
    <xf numFmtId="0" fontId="3" fillId="2" borderId="2" xfId="0" applyFont="1" applyFill="1" applyBorder="1" applyAlignment="1">
      <alignment vertical="top" wrapText="1"/>
    </xf>
    <xf numFmtId="2" fontId="17"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xf>
    <xf numFmtId="0" fontId="38" fillId="2" borderId="0" xfId="0" applyFont="1" applyFill="1"/>
    <xf numFmtId="0" fontId="0" fillId="2" borderId="0" xfId="0" applyFill="1"/>
    <xf numFmtId="0" fontId="0" fillId="2" borderId="0" xfId="0" applyFill="1" applyAlignment="1">
      <alignment horizontal="center" vertical="center"/>
    </xf>
    <xf numFmtId="0" fontId="0" fillId="3" borderId="0" xfId="0" applyFill="1"/>
    <xf numFmtId="0" fontId="1" fillId="2" borderId="0" xfId="0" applyFont="1" applyFill="1" applyAlignment="1">
      <alignment horizontal="center" vertical="center"/>
    </xf>
    <xf numFmtId="0" fontId="39" fillId="2" borderId="0" xfId="0" applyFont="1" applyFill="1"/>
    <xf numFmtId="0" fontId="39" fillId="3" borderId="0" xfId="0" applyFont="1" applyFill="1"/>
    <xf numFmtId="0" fontId="39" fillId="2" borderId="0" xfId="0" applyFont="1" applyFill="1" applyAlignment="1">
      <alignment vertical="center"/>
    </xf>
    <xf numFmtId="0" fontId="40" fillId="2" borderId="0" xfId="0" applyFont="1" applyFill="1" applyAlignment="1">
      <alignment horizontal="justify" vertical="center"/>
    </xf>
    <xf numFmtId="0" fontId="41" fillId="2" borderId="0" xfId="0" applyFont="1" applyFill="1" applyAlignment="1">
      <alignment horizontal="center" vertical="center"/>
    </xf>
    <xf numFmtId="169" fontId="0" fillId="2" borderId="0" xfId="0" applyNumberFormat="1" applyFill="1"/>
    <xf numFmtId="0" fontId="42" fillId="2" borderId="0" xfId="0" applyFont="1" applyFill="1" applyAlignment="1">
      <alignment horizontal="center" vertical="center"/>
    </xf>
    <xf numFmtId="0" fontId="42" fillId="2" borderId="0" xfId="0" applyFont="1" applyFill="1"/>
    <xf numFmtId="169" fontId="45" fillId="2" borderId="0" xfId="0" applyNumberFormat="1" applyFont="1" applyFill="1"/>
    <xf numFmtId="169" fontId="46" fillId="2" borderId="0" xfId="0" applyNumberFormat="1" applyFont="1" applyFill="1"/>
    <xf numFmtId="0" fontId="39" fillId="2" borderId="1" xfId="0" applyFont="1" applyFill="1" applyBorder="1" applyAlignment="1">
      <alignment horizontal="left" vertical="center" wrapText="1"/>
    </xf>
    <xf numFmtId="2" fontId="39" fillId="2" borderId="1" xfId="0" applyNumberFormat="1" applyFont="1" applyFill="1" applyBorder="1" applyAlignment="1">
      <alignment horizontal="center" vertical="center" wrapText="1"/>
    </xf>
    <xf numFmtId="2" fontId="39" fillId="2" borderId="12" xfId="0" applyNumberFormat="1" applyFont="1" applyFill="1" applyBorder="1" applyAlignment="1">
      <alignment horizontal="center" vertical="center" wrapText="1"/>
    </xf>
    <xf numFmtId="2" fontId="39" fillId="2" borderId="2" xfId="0" applyNumberFormat="1" applyFont="1" applyFill="1" applyBorder="1" applyAlignment="1">
      <alignment horizontal="center" vertical="center"/>
    </xf>
    <xf numFmtId="2" fontId="39" fillId="2" borderId="2" xfId="0" applyNumberFormat="1" applyFont="1" applyFill="1" applyBorder="1" applyAlignment="1">
      <alignment horizontal="center" vertical="center" wrapText="1"/>
    </xf>
    <xf numFmtId="173" fontId="42" fillId="2" borderId="0" xfId="0" applyNumberFormat="1" applyFont="1" applyFill="1" applyAlignment="1">
      <alignment horizontal="center" vertical="center"/>
    </xf>
    <xf numFmtId="0" fontId="39" fillId="2" borderId="2" xfId="0" applyFont="1" applyFill="1" applyBorder="1" applyAlignment="1">
      <alignment horizontal="left" vertical="center" wrapText="1"/>
    </xf>
    <xf numFmtId="2" fontId="39" fillId="2" borderId="6" xfId="0" applyNumberFormat="1" applyFont="1" applyFill="1" applyBorder="1" applyAlignment="1">
      <alignment horizontal="center" vertical="center" wrapText="1"/>
    </xf>
    <xf numFmtId="2" fontId="39" fillId="2" borderId="1" xfId="0" applyNumberFormat="1" applyFont="1" applyFill="1" applyBorder="1" applyAlignment="1">
      <alignment horizontal="center" vertical="center"/>
    </xf>
    <xf numFmtId="2" fontId="42" fillId="2" borderId="0" xfId="0" applyNumberFormat="1" applyFont="1" applyFill="1" applyAlignment="1">
      <alignment horizontal="center" vertical="center"/>
    </xf>
    <xf numFmtId="0" fontId="39" fillId="2" borderId="18" xfId="0" applyFont="1" applyFill="1" applyBorder="1" applyAlignment="1">
      <alignment vertical="center" wrapText="1"/>
    </xf>
    <xf numFmtId="0" fontId="39" fillId="2" borderId="18" xfId="0" applyFont="1" applyFill="1" applyBorder="1" applyAlignment="1">
      <alignment horizontal="center" vertical="center" wrapText="1"/>
    </xf>
    <xf numFmtId="169" fontId="39" fillId="2" borderId="19" xfId="4" applyNumberFormat="1" applyFont="1" applyFill="1" applyBorder="1" applyAlignment="1">
      <alignment horizontal="center" vertical="center" wrapText="1"/>
    </xf>
    <xf numFmtId="0" fontId="39" fillId="2" borderId="18" xfId="0" applyFont="1" applyFill="1" applyBorder="1" applyAlignment="1">
      <alignment horizontal="left" vertical="center" wrapText="1"/>
    </xf>
    <xf numFmtId="0" fontId="39" fillId="2" borderId="20" xfId="0" applyFont="1" applyFill="1" applyBorder="1" applyAlignment="1">
      <alignment horizontal="center" vertical="center" wrapText="1"/>
    </xf>
    <xf numFmtId="169" fontId="39" fillId="2" borderId="20" xfId="4" applyNumberFormat="1" applyFont="1" applyFill="1" applyBorder="1" applyAlignment="1">
      <alignment horizontal="center" vertical="center" wrapText="1"/>
    </xf>
    <xf numFmtId="2" fontId="39" fillId="2" borderId="20" xfId="4" applyNumberFormat="1" applyFont="1" applyFill="1" applyBorder="1" applyAlignment="1">
      <alignment horizontal="center" vertical="center" wrapText="1"/>
    </xf>
    <xf numFmtId="166" fontId="0" fillId="2" borderId="0" xfId="0" applyNumberFormat="1" applyFill="1"/>
    <xf numFmtId="167" fontId="42" fillId="2" borderId="0" xfId="0" applyNumberFormat="1" applyFont="1" applyFill="1"/>
    <xf numFmtId="169" fontId="39" fillId="2" borderId="18" xfId="4" applyNumberFormat="1" applyFont="1" applyFill="1" applyBorder="1" applyAlignment="1">
      <alignment horizontal="center" vertical="center" wrapText="1"/>
    </xf>
    <xf numFmtId="169" fontId="45" fillId="2" borderId="0" xfId="0" applyNumberFormat="1" applyFont="1" applyFill="1" applyAlignment="1">
      <alignment horizontal="center" vertical="center"/>
    </xf>
    <xf numFmtId="169" fontId="42" fillId="2" borderId="0" xfId="0" applyNumberFormat="1" applyFont="1" applyFill="1"/>
    <xf numFmtId="166" fontId="42" fillId="2" borderId="0" xfId="0" applyNumberFormat="1" applyFont="1" applyFill="1"/>
    <xf numFmtId="169" fontId="46" fillId="2" borderId="0" xfId="0" applyNumberFormat="1" applyFont="1" applyFill="1" applyAlignment="1">
      <alignment horizontal="center" vertical="center"/>
    </xf>
    <xf numFmtId="167" fontId="0" fillId="2" borderId="0" xfId="0" applyNumberFormat="1" applyFill="1"/>
    <xf numFmtId="0" fontId="39" fillId="2" borderId="15" xfId="0" applyFont="1" applyFill="1" applyBorder="1" applyAlignment="1">
      <alignment vertical="center" wrapText="1"/>
    </xf>
    <xf numFmtId="0" fontId="39" fillId="2" borderId="3" xfId="0" applyFont="1" applyFill="1" applyBorder="1" applyAlignment="1">
      <alignment horizontal="center" vertical="center" wrapText="1"/>
    </xf>
    <xf numFmtId="0" fontId="39" fillId="2" borderId="15" xfId="0" applyFont="1" applyFill="1" applyBorder="1" applyAlignment="1">
      <alignment horizontal="left" vertical="center" wrapText="1"/>
    </xf>
    <xf numFmtId="0" fontId="39" fillId="2" borderId="15" xfId="0" applyFont="1" applyFill="1" applyBorder="1" applyAlignment="1">
      <alignment horizontal="center" vertical="center" wrapText="1"/>
    </xf>
    <xf numFmtId="169" fontId="39" fillId="2" borderId="3" xfId="4" applyNumberFormat="1" applyFont="1" applyFill="1" applyBorder="1" applyAlignment="1">
      <alignment horizontal="center" vertical="center" wrapText="1"/>
    </xf>
    <xf numFmtId="169" fontId="42" fillId="2" borderId="0" xfId="0" applyNumberFormat="1" applyFont="1" applyFill="1" applyAlignment="1">
      <alignment horizontal="center" vertical="center"/>
    </xf>
    <xf numFmtId="169" fontId="39" fillId="2" borderId="1" xfId="4" applyNumberFormat="1" applyFont="1" applyFill="1" applyBorder="1" applyAlignment="1">
      <alignment horizontal="center" vertical="center" wrapText="1"/>
    </xf>
    <xf numFmtId="174" fontId="39" fillId="2" borderId="1" xfId="12" applyNumberFormat="1" applyFont="1" applyFill="1" applyBorder="1" applyAlignment="1">
      <alignment horizontal="center" vertical="center" wrapText="1"/>
    </xf>
    <xf numFmtId="2" fontId="39" fillId="2" borderId="1" xfId="4" applyNumberFormat="1" applyFont="1" applyFill="1" applyBorder="1" applyAlignment="1">
      <alignment horizontal="center" vertical="center" wrapText="1"/>
    </xf>
    <xf numFmtId="169" fontId="39" fillId="2" borderId="1" xfId="0" applyNumberFormat="1" applyFont="1" applyFill="1" applyBorder="1" applyAlignment="1">
      <alignment horizontal="center" vertical="center" wrapText="1"/>
    </xf>
    <xf numFmtId="169" fontId="39" fillId="2" borderId="4" xfId="4" applyNumberFormat="1" applyFont="1" applyFill="1" applyBorder="1" applyAlignment="1">
      <alignment horizontal="center" vertical="center" wrapText="1"/>
    </xf>
    <xf numFmtId="169" fontId="44" fillId="2" borderId="0" xfId="0" applyNumberFormat="1" applyFont="1" applyFill="1" applyAlignment="1">
      <alignment horizontal="center" vertical="center"/>
    </xf>
    <xf numFmtId="0" fontId="39" fillId="2" borderId="21" xfId="0" applyFont="1" applyFill="1" applyBorder="1" applyAlignment="1">
      <alignment horizontal="center" vertical="center" wrapText="1"/>
    </xf>
    <xf numFmtId="169" fontId="39" fillId="2" borderId="21" xfId="4" applyNumberFormat="1" applyFont="1" applyFill="1" applyBorder="1" applyAlignment="1">
      <alignment horizontal="center" vertical="center" wrapText="1"/>
    </xf>
    <xf numFmtId="169" fontId="48" fillId="2" borderId="0" xfId="0" applyNumberFormat="1" applyFont="1" applyFill="1" applyAlignment="1">
      <alignment horizontal="center" vertical="center"/>
    </xf>
    <xf numFmtId="0" fontId="40" fillId="2" borderId="0" xfId="0" applyFont="1" applyFill="1" applyBorder="1" applyAlignment="1">
      <alignment horizontal="center" vertical="top" wrapText="1"/>
    </xf>
    <xf numFmtId="0" fontId="40" fillId="2" borderId="0" xfId="0" applyFont="1" applyFill="1" applyBorder="1" applyAlignment="1">
      <alignment horizontal="left" vertical="center" wrapText="1"/>
    </xf>
    <xf numFmtId="0" fontId="40" fillId="2" borderId="0" xfId="0" applyFont="1" applyFill="1" applyBorder="1" applyAlignment="1">
      <alignment horizontal="center" vertical="center" wrapText="1"/>
    </xf>
    <xf numFmtId="166" fontId="40" fillId="2" borderId="0" xfId="4" applyNumberFormat="1" applyFont="1" applyFill="1" applyBorder="1" applyAlignment="1">
      <alignment horizontal="center" vertical="center" wrapText="1"/>
    </xf>
    <xf numFmtId="0" fontId="0" fillId="0" borderId="0" xfId="0" applyAlignment="1">
      <alignment horizontal="center" vertical="center"/>
    </xf>
    <xf numFmtId="167" fontId="50" fillId="0" borderId="0" xfId="0" applyNumberFormat="1" applyFont="1" applyFill="1" applyBorder="1" applyAlignment="1">
      <alignment horizontal="center" vertical="center" wrapText="1"/>
    </xf>
    <xf numFmtId="0" fontId="50" fillId="0" borderId="24" xfId="0" applyFont="1" applyFill="1" applyBorder="1" applyAlignment="1">
      <alignment vertical="center" wrapText="1"/>
    </xf>
    <xf numFmtId="167" fontId="0" fillId="0" borderId="0" xfId="0" applyNumberFormat="1"/>
    <xf numFmtId="0" fontId="53" fillId="0" borderId="24" xfId="14" applyFont="1" applyFill="1" applyBorder="1" applyAlignment="1">
      <alignment vertical="center" wrapText="1"/>
    </xf>
    <xf numFmtId="0" fontId="0" fillId="5" borderId="0" xfId="0" applyFill="1"/>
    <xf numFmtId="167" fontId="0" fillId="0" borderId="0" xfId="0" applyNumberFormat="1" applyAlignment="1">
      <alignment vertical="center"/>
    </xf>
    <xf numFmtId="0" fontId="0" fillId="0" borderId="26" xfId="0" applyBorder="1" applyAlignment="1">
      <alignment vertical="center"/>
    </xf>
    <xf numFmtId="167" fontId="50" fillId="6" borderId="26" xfId="0" applyNumberFormat="1" applyFont="1" applyFill="1" applyBorder="1" applyAlignment="1">
      <alignment horizontal="center" vertical="center" wrapText="1"/>
    </xf>
    <xf numFmtId="175" fontId="0" fillId="0" borderId="0" xfId="0" applyNumberFormat="1" applyAlignment="1">
      <alignment horizontal="center" vertical="center"/>
    </xf>
    <xf numFmtId="10" fontId="0" fillId="0" borderId="0" xfId="0" applyNumberFormat="1" applyAlignment="1">
      <alignment horizontal="center" vertical="center"/>
    </xf>
    <xf numFmtId="174" fontId="0" fillId="0" borderId="0" xfId="0" applyNumberFormat="1" applyAlignment="1">
      <alignment horizontal="center" vertical="center"/>
    </xf>
    <xf numFmtId="167" fontId="56" fillId="0" borderId="0" xfId="0" applyNumberFormat="1" applyFont="1"/>
    <xf numFmtId="167" fontId="57" fillId="0" borderId="0" xfId="0" applyNumberFormat="1" applyFont="1"/>
    <xf numFmtId="169" fontId="58" fillId="4" borderId="27" xfId="13" applyNumberFormat="1" applyFont="1" applyFill="1" applyBorder="1" applyAlignment="1">
      <alignment horizontal="center" vertical="center"/>
    </xf>
    <xf numFmtId="169" fontId="58" fillId="4" borderId="28" xfId="13" applyNumberFormat="1" applyFont="1" applyFill="1" applyBorder="1" applyAlignment="1">
      <alignment horizontal="center" vertical="center"/>
    </xf>
    <xf numFmtId="169" fontId="58" fillId="4" borderId="29" xfId="13" applyNumberFormat="1" applyFont="1" applyFill="1" applyBorder="1" applyAlignment="1">
      <alignment horizontal="center" vertical="center"/>
    </xf>
    <xf numFmtId="169" fontId="58" fillId="4" borderId="3" xfId="13" applyNumberFormat="1" applyFont="1" applyFill="1" applyBorder="1" applyAlignment="1">
      <alignment horizontal="center" vertical="center"/>
    </xf>
    <xf numFmtId="0" fontId="56" fillId="0" borderId="0" xfId="0" applyFont="1" applyAlignment="1">
      <alignment horizontal="left" vertical="center" wrapText="1"/>
    </xf>
    <xf numFmtId="173" fontId="0" fillId="0" borderId="0" xfId="0" applyNumberFormat="1" applyAlignment="1">
      <alignment horizontal="center" vertical="center"/>
    </xf>
    <xf numFmtId="0" fontId="0" fillId="0" borderId="0" xfId="0" applyAlignment="1">
      <alignment horizontal="center" vertical="center" wrapText="1"/>
    </xf>
    <xf numFmtId="165" fontId="57" fillId="0" borderId="0" xfId="0" applyNumberFormat="1" applyFont="1" applyAlignment="1">
      <alignment horizontal="center" vertical="center"/>
    </xf>
    <xf numFmtId="165" fontId="59" fillId="0" borderId="0" xfId="0" applyNumberFormat="1" applyFont="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vertical="center"/>
    </xf>
    <xf numFmtId="165" fontId="57" fillId="0" borderId="1" xfId="0" applyNumberFormat="1" applyFont="1" applyBorder="1" applyAlignment="1">
      <alignment horizontal="center" vertical="center"/>
    </xf>
    <xf numFmtId="165" fontId="59" fillId="0" borderId="1" xfId="0" applyNumberFormat="1" applyFont="1" applyBorder="1" applyAlignment="1">
      <alignment horizontal="center" vertical="center"/>
    </xf>
    <xf numFmtId="165" fontId="0" fillId="0" borderId="0" xfId="0" applyNumberFormat="1"/>
    <xf numFmtId="0" fontId="0" fillId="0" borderId="1" xfId="0" applyBorder="1"/>
    <xf numFmtId="165" fontId="0" fillId="0" borderId="1" xfId="0" applyNumberFormat="1" applyBorder="1"/>
    <xf numFmtId="165" fontId="0" fillId="0" borderId="1" xfId="0" applyNumberFormat="1" applyBorder="1" applyAlignment="1">
      <alignment horizontal="center" vertical="center"/>
    </xf>
    <xf numFmtId="174" fontId="0" fillId="0" borderId="1" xfId="0" applyNumberFormat="1" applyBorder="1" applyAlignment="1">
      <alignment horizontal="center"/>
    </xf>
    <xf numFmtId="0" fontId="56" fillId="0" borderId="0" xfId="0" applyFont="1" applyBorder="1" applyAlignment="1">
      <alignment horizontal="left" vertical="center" wrapText="1"/>
    </xf>
    <xf numFmtId="0" fontId="0" fillId="0" borderId="13" xfId="0" applyBorder="1" applyAlignment="1">
      <alignment horizontal="center" vertical="center"/>
    </xf>
    <xf numFmtId="3" fontId="0" fillId="0" borderId="26" xfId="0" applyNumberFormat="1" applyBorder="1" applyAlignment="1">
      <alignment vertical="top" wrapText="1"/>
    </xf>
    <xf numFmtId="3" fontId="0" fillId="0" borderId="24" xfId="0" applyNumberFormat="1" applyBorder="1" applyAlignment="1">
      <alignment vertical="top" wrapText="1"/>
    </xf>
    <xf numFmtId="9" fontId="60" fillId="0" borderId="1" xfId="0" applyNumberFormat="1" applyFont="1" applyFill="1" applyBorder="1" applyAlignment="1">
      <alignment horizontal="center" vertical="center"/>
    </xf>
    <xf numFmtId="0" fontId="60" fillId="0" borderId="1" xfId="0" applyFont="1" applyFill="1" applyBorder="1" applyAlignment="1">
      <alignment horizontal="center" vertical="center"/>
    </xf>
    <xf numFmtId="165" fontId="60" fillId="0" borderId="1" xfId="0" applyNumberFormat="1" applyFont="1" applyFill="1" applyBorder="1"/>
    <xf numFmtId="0" fontId="56" fillId="0" borderId="0" xfId="0" applyFont="1" applyAlignment="1">
      <alignment vertical="center"/>
    </xf>
    <xf numFmtId="174" fontId="0" fillId="0" borderId="8" xfId="0" applyNumberFormat="1" applyBorder="1" applyAlignment="1">
      <alignment horizontal="center" vertical="center"/>
    </xf>
    <xf numFmtId="9" fontId="0" fillId="3" borderId="1" xfId="0" applyNumberFormat="1" applyFill="1" applyBorder="1" applyAlignment="1">
      <alignment horizontal="center" vertical="center"/>
    </xf>
    <xf numFmtId="0" fontId="0" fillId="3" borderId="1" xfId="0" applyFill="1" applyBorder="1" applyAlignment="1">
      <alignment horizontal="center" vertical="center"/>
    </xf>
    <xf numFmtId="165" fontId="0" fillId="3" borderId="1" xfId="0" applyNumberFormat="1" applyFill="1" applyBorder="1" applyAlignment="1">
      <alignment horizontal="center" vertical="center"/>
    </xf>
    <xf numFmtId="165" fontId="0" fillId="3" borderId="1" xfId="0" applyNumberFormat="1" applyFill="1" applyBorder="1"/>
    <xf numFmtId="165" fontId="59" fillId="3" borderId="1" xfId="0" applyNumberFormat="1" applyFont="1" applyFill="1" applyBorder="1" applyAlignment="1">
      <alignment horizontal="center" vertical="center"/>
    </xf>
    <xf numFmtId="9" fontId="60" fillId="3" borderId="1" xfId="0" applyNumberFormat="1" applyFont="1" applyFill="1" applyBorder="1" applyAlignment="1">
      <alignment horizontal="center" vertical="center"/>
    </xf>
    <xf numFmtId="165" fontId="60" fillId="3" borderId="1" xfId="0" applyNumberFormat="1" applyFont="1" applyFill="1" applyBorder="1"/>
    <xf numFmtId="165" fontId="56" fillId="0" borderId="0" xfId="0" applyNumberFormat="1" applyFont="1"/>
    <xf numFmtId="174" fontId="0" fillId="3" borderId="8" xfId="0" applyNumberFormat="1" applyFill="1" applyBorder="1" applyAlignment="1">
      <alignment horizontal="center" vertical="center"/>
    </xf>
    <xf numFmtId="174" fontId="0" fillId="0" borderId="0" xfId="0" applyNumberFormat="1"/>
    <xf numFmtId="0" fontId="56" fillId="0" borderId="0" xfId="0" applyFont="1" applyAlignment="1">
      <alignment horizontal="center"/>
    </xf>
    <xf numFmtId="0" fontId="61" fillId="0" borderId="1" xfId="0" applyFont="1" applyBorder="1" applyAlignment="1">
      <alignment horizontal="center" vertical="center" wrapText="1"/>
    </xf>
    <xf numFmtId="165" fontId="0" fillId="0" borderId="4" xfId="0" applyNumberFormat="1" applyBorder="1" applyAlignment="1">
      <alignment horizontal="center" vertical="center"/>
    </xf>
    <xf numFmtId="169" fontId="0" fillId="0" borderId="1" xfId="0" applyNumberFormat="1" applyFont="1" applyBorder="1" applyAlignment="1">
      <alignment horizontal="center" vertical="center"/>
    </xf>
    <xf numFmtId="167" fontId="56" fillId="0" borderId="0" xfId="0" applyNumberFormat="1" applyFont="1" applyAlignment="1">
      <alignment horizontal="center" vertical="center"/>
    </xf>
    <xf numFmtId="0" fontId="64" fillId="0" borderId="1" xfId="0" applyFont="1" applyFill="1" applyBorder="1" applyAlignment="1">
      <alignment horizontal="center" vertical="center" wrapText="1"/>
    </xf>
    <xf numFmtId="0" fontId="64" fillId="0" borderId="1" xfId="0" applyFont="1" applyFill="1" applyBorder="1" applyAlignment="1">
      <alignment vertical="center" wrapText="1"/>
    </xf>
    <xf numFmtId="169" fontId="64" fillId="0" borderId="1" xfId="0" applyNumberFormat="1" applyFont="1" applyFill="1" applyBorder="1" applyAlignment="1">
      <alignment horizontal="center" vertical="center" wrapText="1"/>
    </xf>
    <xf numFmtId="169" fontId="6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1" fontId="21" fillId="2" borderId="5" xfId="4" applyNumberFormat="1" applyFont="1" applyFill="1" applyBorder="1" applyAlignment="1" applyProtection="1">
      <alignment horizontal="center" vertical="center" wrapText="1"/>
    </xf>
    <xf numFmtId="168" fontId="9" fillId="2" borderId="2" xfId="4" applyNumberFormat="1" applyFont="1" applyFill="1" applyBorder="1" applyAlignment="1">
      <alignment horizontal="center" vertical="center" wrapText="1"/>
    </xf>
    <xf numFmtId="168" fontId="3" fillId="0" borderId="4" xfId="4" applyNumberFormat="1" applyFont="1" applyFill="1" applyBorder="1" applyAlignment="1">
      <alignment horizontal="center" vertical="center" wrapText="1"/>
    </xf>
    <xf numFmtId="168" fontId="21" fillId="2" borderId="4" xfId="4" applyNumberFormat="1" applyFont="1" applyFill="1" applyBorder="1" applyAlignment="1">
      <alignment horizontal="center" vertical="center" wrapText="1"/>
    </xf>
    <xf numFmtId="168" fontId="28" fillId="2" borderId="1" xfId="0" applyNumberFormat="1" applyFont="1" applyFill="1" applyBorder="1" applyAlignment="1" applyProtection="1">
      <alignment horizontal="center" vertical="center"/>
    </xf>
    <xf numFmtId="0" fontId="16" fillId="0" borderId="14" xfId="0" applyNumberFormat="1" applyFont="1" applyFill="1" applyBorder="1" applyAlignment="1">
      <alignment vertical="top" wrapText="1"/>
    </xf>
    <xf numFmtId="0" fontId="16" fillId="0" borderId="0" xfId="0" applyNumberFormat="1" applyFont="1" applyFill="1" applyBorder="1" applyAlignment="1">
      <alignment vertical="top" wrapText="1"/>
    </xf>
    <xf numFmtId="0" fontId="21" fillId="2" borderId="9" xfId="0" applyNumberFormat="1" applyFont="1" applyFill="1" applyBorder="1" applyAlignment="1">
      <alignment horizontal="center" vertical="center" wrapText="1"/>
    </xf>
    <xf numFmtId="0" fontId="9" fillId="2" borderId="9" xfId="0" applyNumberFormat="1" applyFont="1" applyFill="1" applyBorder="1" applyAlignment="1">
      <alignment horizontal="center" vertical="center" wrapText="1"/>
    </xf>
    <xf numFmtId="168" fontId="21" fillId="2" borderId="1" xfId="0" applyNumberFormat="1" applyFont="1" applyFill="1" applyBorder="1" applyAlignment="1">
      <alignment horizontal="center" vertical="center" wrapText="1"/>
    </xf>
    <xf numFmtId="166" fontId="16" fillId="3" borderId="1" xfId="0" applyNumberFormat="1" applyFont="1" applyFill="1" applyBorder="1" applyAlignment="1">
      <alignment horizontal="center" vertical="center" wrapText="1"/>
    </xf>
    <xf numFmtId="169" fontId="43" fillId="2" borderId="0" xfId="0" applyNumberFormat="1" applyFont="1" applyFill="1"/>
    <xf numFmtId="169" fontId="44" fillId="2" borderId="0" xfId="0" applyNumberFormat="1" applyFont="1" applyFill="1"/>
    <xf numFmtId="169" fontId="47" fillId="2" borderId="0" xfId="0" applyNumberFormat="1" applyFont="1" applyFill="1" applyAlignment="1">
      <alignment horizontal="center" vertical="center"/>
    </xf>
    <xf numFmtId="169" fontId="67" fillId="2" borderId="18" xfId="4"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top"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66" fontId="3" fillId="4" borderId="1" xfId="4" applyNumberFormat="1" applyFont="1" applyFill="1" applyBorder="1" applyAlignment="1" applyProtection="1">
      <alignment horizontal="right" vertical="center"/>
      <protection hidden="1"/>
    </xf>
    <xf numFmtId="166" fontId="3" fillId="4" borderId="1" xfId="4" applyNumberFormat="1" applyFont="1" applyFill="1" applyBorder="1"/>
    <xf numFmtId="168" fontId="3" fillId="4" borderId="1" xfId="4" applyNumberFormat="1" applyFont="1" applyFill="1" applyBorder="1" applyAlignment="1" applyProtection="1">
      <alignment horizontal="right" vertical="center"/>
      <protection hidden="1"/>
    </xf>
    <xf numFmtId="168" fontId="3" fillId="2" borderId="1" xfId="4" applyNumberFormat="1" applyFont="1" applyFill="1" applyBorder="1"/>
    <xf numFmtId="173" fontId="39" fillId="2" borderId="20" xfId="4" applyNumberFormat="1" applyFont="1" applyFill="1" applyBorder="1" applyAlignment="1">
      <alignment horizontal="center" vertical="center" wrapText="1"/>
    </xf>
    <xf numFmtId="168" fontId="68" fillId="2" borderId="0" xfId="0" applyNumberFormat="1" applyFont="1" applyFill="1" applyAlignment="1">
      <alignment vertical="center" wrapText="1"/>
    </xf>
    <xf numFmtId="0" fontId="68" fillId="2" borderId="0" xfId="0" applyNumberFormat="1" applyFont="1" applyFill="1" applyAlignment="1">
      <alignment vertical="center" wrapText="1"/>
    </xf>
    <xf numFmtId="4" fontId="68" fillId="2" borderId="0" xfId="0" applyNumberFormat="1" applyFont="1" applyFill="1" applyAlignment="1">
      <alignment vertical="center" wrapText="1"/>
    </xf>
    <xf numFmtId="0" fontId="8" fillId="2" borderId="4" xfId="0" applyNumberFormat="1" applyFont="1" applyFill="1" applyBorder="1" applyAlignment="1">
      <alignment horizontal="center" vertical="center" wrapText="1"/>
    </xf>
    <xf numFmtId="168" fontId="8" fillId="0" borderId="4" xfId="4" applyNumberFormat="1" applyFont="1" applyFill="1" applyBorder="1" applyAlignment="1" applyProtection="1">
      <alignment horizontal="center" vertical="center" wrapText="1"/>
      <protection hidden="1"/>
    </xf>
    <xf numFmtId="0" fontId="3" fillId="2" borderId="1" xfId="0" applyNumberFormat="1" applyFont="1" applyFill="1" applyBorder="1" applyAlignment="1">
      <alignment horizontal="center" vertical="center" wrapText="1"/>
    </xf>
    <xf numFmtId="168" fontId="3" fillId="2" borderId="1" xfId="0" applyNumberFormat="1" applyFont="1" applyFill="1" applyBorder="1" applyAlignment="1">
      <alignment horizontal="right"/>
    </xf>
    <xf numFmtId="0" fontId="3" fillId="2" borderId="1" xfId="0" applyNumberFormat="1" applyFont="1" applyFill="1" applyBorder="1" applyAlignment="1">
      <alignment vertical="center" wrapText="1"/>
    </xf>
    <xf numFmtId="0" fontId="3" fillId="0" borderId="1" xfId="0" applyNumberFormat="1" applyFont="1" applyFill="1" applyBorder="1" applyAlignment="1">
      <alignment vertical="top" wrapText="1"/>
    </xf>
    <xf numFmtId="167" fontId="68" fillId="2" borderId="0" xfId="0" applyNumberFormat="1" applyFont="1" applyFill="1" applyAlignment="1">
      <alignment vertical="center" wrapText="1"/>
    </xf>
    <xf numFmtId="0" fontId="6" fillId="2" borderId="0" xfId="0" applyNumberFormat="1" applyFont="1" applyFill="1" applyBorder="1" applyAlignment="1">
      <alignment vertical="center" wrapText="1"/>
    </xf>
    <xf numFmtId="0" fontId="6" fillId="2" borderId="30" xfId="0" applyNumberFormat="1" applyFont="1" applyFill="1" applyBorder="1" applyAlignment="1">
      <alignment vertical="center" wrapText="1"/>
    </xf>
    <xf numFmtId="0" fontId="6" fillId="2" borderId="14" xfId="0" applyNumberFormat="1" applyFont="1" applyFill="1" applyBorder="1" applyAlignment="1">
      <alignment vertical="center" wrapText="1"/>
    </xf>
    <xf numFmtId="173" fontId="3" fillId="2" borderId="1" xfId="0" applyNumberFormat="1" applyFont="1" applyFill="1" applyBorder="1" applyAlignment="1">
      <alignment horizontal="center" vertical="center" wrapText="1"/>
    </xf>
    <xf numFmtId="16" fontId="36"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17" fillId="2" borderId="1" xfId="0" applyNumberFormat="1" applyFont="1" applyFill="1" applyBorder="1" applyAlignment="1">
      <alignment horizontal="left" vertical="top" wrapText="1"/>
    </xf>
    <xf numFmtId="0" fontId="33" fillId="0" borderId="1" xfId="0" applyFont="1" applyBorder="1" applyAlignment="1">
      <alignment horizontal="left" vertical="top" wrapText="1"/>
    </xf>
    <xf numFmtId="176" fontId="21" fillId="2" borderId="1" xfId="4" applyNumberFormat="1" applyFont="1" applyFill="1" applyBorder="1" applyAlignment="1">
      <alignment horizontal="center" vertical="center" wrapText="1"/>
    </xf>
    <xf numFmtId="176" fontId="21" fillId="2" borderId="2" xfId="4" applyNumberFormat="1" applyFont="1" applyFill="1" applyBorder="1" applyAlignment="1">
      <alignment horizontal="center" vertical="center" wrapText="1"/>
    </xf>
    <xf numFmtId="168" fontId="3" fillId="2" borderId="1" xfId="0" applyNumberFormat="1" applyFont="1" applyFill="1" applyBorder="1" applyAlignment="1">
      <alignment vertical="center"/>
    </xf>
    <xf numFmtId="0"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69" fontId="8" fillId="0" borderId="1" xfId="0" applyNumberFormat="1" applyFont="1" applyFill="1" applyBorder="1" applyAlignment="1">
      <alignment horizontal="center" vertical="center" wrapText="1"/>
    </xf>
    <xf numFmtId="166" fontId="8" fillId="0" borderId="1" xfId="4"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3" fillId="2" borderId="1" xfId="0" applyNumberFormat="1" applyFont="1" applyFill="1" applyBorder="1" applyAlignment="1">
      <alignment horizontal="center" vertical="center" wrapText="1"/>
    </xf>
    <xf numFmtId="0" fontId="8" fillId="2" borderId="1" xfId="0" applyNumberFormat="1" applyFont="1" applyFill="1" applyBorder="1" applyAlignment="1">
      <alignment vertical="top" wrapText="1"/>
    </xf>
    <xf numFmtId="0" fontId="3" fillId="2" borderId="1" xfId="0" applyNumberFormat="1" applyFont="1" applyFill="1" applyBorder="1" applyAlignment="1">
      <alignment horizontal="center" vertical="center" wrapText="1"/>
    </xf>
    <xf numFmtId="0" fontId="6" fillId="2" borderId="0" xfId="0" applyNumberFormat="1" applyFont="1" applyFill="1" applyBorder="1" applyAlignment="1">
      <alignment vertical="top" wrapText="1"/>
    </xf>
    <xf numFmtId="0" fontId="6" fillId="0" borderId="0" xfId="0" applyNumberFormat="1" applyFont="1" applyFill="1" applyBorder="1" applyAlignment="1">
      <alignment vertical="center" wrapText="1"/>
    </xf>
    <xf numFmtId="168" fontId="70" fillId="2" borderId="1" xfId="0" applyNumberFormat="1" applyFont="1" applyFill="1" applyBorder="1" applyAlignment="1" applyProtection="1">
      <alignment horizontal="center" vertical="center"/>
    </xf>
    <xf numFmtId="0" fontId="3" fillId="2" borderId="1" xfId="0" applyNumberFormat="1" applyFont="1" applyFill="1" applyBorder="1" applyAlignment="1">
      <alignment horizontal="center" vertical="center" wrapText="1"/>
    </xf>
    <xf numFmtId="0" fontId="16" fillId="0" borderId="12" xfId="0" applyNumberFormat="1" applyFont="1" applyFill="1" applyBorder="1" applyAlignment="1">
      <alignment vertical="top" wrapText="1"/>
    </xf>
    <xf numFmtId="0" fontId="16" fillId="0" borderId="13" xfId="0" applyNumberFormat="1" applyFont="1" applyFill="1" applyBorder="1" applyAlignment="1">
      <alignment vertical="top" wrapText="1"/>
    </xf>
    <xf numFmtId="0" fontId="16" fillId="0" borderId="0" xfId="0" applyNumberFormat="1" applyFont="1" applyFill="1" applyBorder="1" applyAlignment="1">
      <alignment vertical="top"/>
    </xf>
    <xf numFmtId="0" fontId="30" fillId="0" borderId="0" xfId="0" applyNumberFormat="1" applyFont="1" applyFill="1" applyBorder="1" applyAlignment="1">
      <alignment vertical="top"/>
    </xf>
    <xf numFmtId="0" fontId="6" fillId="2" borderId="0" xfId="0" applyNumberFormat="1" applyFont="1" applyFill="1" applyAlignment="1">
      <alignment horizontal="center" vertical="center" wrapText="1"/>
    </xf>
    <xf numFmtId="171" fontId="16" fillId="3" borderId="1" xfId="0" applyNumberFormat="1" applyFont="1" applyFill="1" applyBorder="1" applyAlignment="1">
      <alignment horizontal="center" vertical="center" wrapText="1"/>
    </xf>
    <xf numFmtId="169" fontId="16" fillId="3" borderId="1" xfId="0" applyNumberFormat="1" applyFont="1" applyFill="1" applyBorder="1" applyAlignment="1">
      <alignment horizontal="center" vertical="center" wrapText="1"/>
    </xf>
    <xf numFmtId="49" fontId="36" fillId="2" borderId="2" xfId="0" applyNumberFormat="1" applyFont="1" applyFill="1" applyBorder="1" applyAlignment="1">
      <alignment horizontal="left" vertical="center" wrapText="1"/>
    </xf>
    <xf numFmtId="4" fontId="0" fillId="0" borderId="0" xfId="0" applyNumberFormat="1"/>
    <xf numFmtId="168" fontId="0" fillId="0" borderId="0" xfId="0" applyNumberFormat="1"/>
    <xf numFmtId="0" fontId="6" fillId="2" borderId="1" xfId="0" applyNumberFormat="1" applyFont="1" applyFill="1" applyBorder="1" applyAlignment="1">
      <alignment horizontal="center" vertical="center" wrapText="1"/>
    </xf>
    <xf numFmtId="168" fontId="18" fillId="2" borderId="1" xfId="4" applyNumberFormat="1" applyFont="1" applyFill="1" applyBorder="1" applyAlignment="1">
      <alignment horizontal="center" vertical="center" wrapText="1"/>
    </xf>
    <xf numFmtId="4" fontId="18" fillId="2" borderId="1" xfId="4" applyNumberFormat="1" applyFont="1" applyFill="1" applyBorder="1" applyAlignment="1">
      <alignment horizontal="center" vertical="center" wrapText="1"/>
    </xf>
    <xf numFmtId="168" fontId="17" fillId="2" borderId="1" xfId="4"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168" fontId="4" fillId="2" borderId="2" xfId="4" applyNumberFormat="1" applyFont="1" applyFill="1" applyBorder="1" applyAlignment="1">
      <alignment horizontal="center" vertical="center"/>
    </xf>
    <xf numFmtId="168" fontId="4" fillId="2" borderId="1" xfId="4"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166" fontId="8" fillId="2" borderId="4" xfId="4" applyNumberFormat="1" applyFont="1" applyFill="1" applyBorder="1" applyAlignment="1">
      <alignment horizontal="center" vertical="center" wrapText="1"/>
    </xf>
    <xf numFmtId="0" fontId="3" fillId="2" borderId="1" xfId="0" applyNumberFormat="1" applyFont="1" applyFill="1" applyBorder="1" applyAlignment="1">
      <alignment horizontal="center" vertical="top" wrapText="1"/>
    </xf>
    <xf numFmtId="0" fontId="9"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left" vertical="top" wrapText="1"/>
    </xf>
    <xf numFmtId="0" fontId="8" fillId="2" borderId="4" xfId="0" applyNumberFormat="1" applyFont="1" applyFill="1" applyBorder="1" applyAlignment="1">
      <alignment horizontal="center" vertical="center" wrapText="1"/>
    </xf>
    <xf numFmtId="0" fontId="39" fillId="2" borderId="0" xfId="0" applyFont="1" applyFill="1" applyAlignment="1">
      <alignment horizontal="center"/>
    </xf>
    <xf numFmtId="0" fontId="39" fillId="2" borderId="2"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0" xfId="0" applyFont="1" applyFill="1" applyAlignment="1">
      <alignment horizontal="left" vertical="center"/>
    </xf>
    <xf numFmtId="0" fontId="40" fillId="2" borderId="0" xfId="0" applyFont="1" applyFill="1" applyBorder="1" applyAlignment="1">
      <alignment horizontal="left" vertical="center"/>
    </xf>
    <xf numFmtId="0" fontId="40" fillId="2" borderId="0" xfId="0" applyFont="1" applyFill="1" applyAlignment="1">
      <alignment horizontal="center" vertical="center"/>
    </xf>
    <xf numFmtId="0" fontId="39" fillId="2" borderId="0" xfId="0" applyFont="1" applyFill="1" applyAlignment="1">
      <alignment horizontal="center" vertical="center"/>
    </xf>
    <xf numFmtId="0" fontId="39" fillId="2" borderId="0" xfId="0" applyFont="1" applyFill="1" applyAlignment="1">
      <alignment horizontal="center" vertical="center" wrapText="1"/>
    </xf>
    <xf numFmtId="0" fontId="56" fillId="0" borderId="0" xfId="0" applyFont="1" applyAlignment="1">
      <alignment vertical="center"/>
    </xf>
    <xf numFmtId="0" fontId="56" fillId="0" borderId="0" xfId="0" applyFont="1" applyBorder="1" applyAlignment="1">
      <alignment horizontal="left" vertical="center" wrapText="1"/>
    </xf>
    <xf numFmtId="0" fontId="50" fillId="0" borderId="24" xfId="0" applyFont="1" applyFill="1" applyBorder="1" applyAlignment="1">
      <alignment horizontal="center" vertical="center" wrapText="1"/>
    </xf>
    <xf numFmtId="168" fontId="18" fillId="2" borderId="1" xfId="4" applyNumberFormat="1" applyFont="1" applyFill="1" applyBorder="1" applyAlignment="1" applyProtection="1">
      <alignment horizontal="center" vertical="center" wrapText="1"/>
      <protection hidden="1"/>
    </xf>
    <xf numFmtId="0" fontId="8" fillId="2" borderId="1" xfId="4" applyNumberFormat="1" applyFont="1" applyFill="1" applyBorder="1" applyAlignment="1">
      <alignment horizontal="center" vertical="center" wrapText="1"/>
    </xf>
    <xf numFmtId="169" fontId="76" fillId="2" borderId="0" xfId="0" applyNumberFormat="1" applyFont="1" applyFill="1" applyAlignment="1">
      <alignment horizontal="center" vertical="center"/>
    </xf>
    <xf numFmtId="169" fontId="1" fillId="2" borderId="0" xfId="0" applyNumberFormat="1" applyFont="1" applyFill="1" applyAlignment="1">
      <alignment horizontal="center" vertical="center"/>
    </xf>
    <xf numFmtId="166" fontId="42" fillId="2" borderId="0" xfId="0" applyNumberFormat="1" applyFont="1" applyFill="1" applyAlignment="1">
      <alignment horizontal="center" vertical="center"/>
    </xf>
    <xf numFmtId="169" fontId="77" fillId="2" borderId="0" xfId="0" applyNumberFormat="1" applyFont="1" applyFill="1" applyAlignment="1">
      <alignment horizontal="center" vertical="center"/>
    </xf>
    <xf numFmtId="0" fontId="1" fillId="2" borderId="0" xfId="0" applyFont="1" applyFill="1" applyAlignment="1">
      <alignment horizontal="left" vertical="center"/>
    </xf>
    <xf numFmtId="166" fontId="76" fillId="2" borderId="0" xfId="0" applyNumberFormat="1" applyFont="1" applyFill="1" applyAlignment="1">
      <alignment vertical="center"/>
    </xf>
    <xf numFmtId="169" fontId="78" fillId="2" borderId="0" xfId="0" applyNumberFormat="1" applyFont="1" applyFill="1" applyAlignment="1">
      <alignment horizontal="center" vertical="center"/>
    </xf>
    <xf numFmtId="0" fontId="42" fillId="2" borderId="0" xfId="0" applyFont="1" applyFill="1" applyAlignment="1">
      <alignment vertical="center"/>
    </xf>
    <xf numFmtId="167" fontId="42" fillId="2" borderId="0" xfId="0" applyNumberFormat="1" applyFont="1" applyFill="1" applyAlignment="1">
      <alignment vertical="center"/>
    </xf>
    <xf numFmtId="167" fontId="48" fillId="2" borderId="0" xfId="0" applyNumberFormat="1" applyFont="1" applyFill="1"/>
    <xf numFmtId="2" fontId="39" fillId="2" borderId="2" xfId="4" applyNumberFormat="1" applyFont="1" applyFill="1" applyBorder="1" applyAlignment="1">
      <alignment horizontal="center" vertical="center" wrapText="1"/>
    </xf>
    <xf numFmtId="169" fontId="48" fillId="2" borderId="0" xfId="0" applyNumberFormat="1" applyFont="1" applyFill="1" applyAlignment="1">
      <alignment vertical="center"/>
    </xf>
    <xf numFmtId="166" fontId="42" fillId="2" borderId="0" xfId="0" applyNumberFormat="1" applyFont="1" applyFill="1" applyAlignment="1">
      <alignment vertical="center"/>
    </xf>
    <xf numFmtId="167" fontId="76" fillId="2" borderId="0" xfId="0" applyNumberFormat="1" applyFont="1" applyFill="1"/>
    <xf numFmtId="169" fontId="76" fillId="2" borderId="0" xfId="0" applyNumberFormat="1" applyFont="1" applyFill="1" applyAlignment="1">
      <alignment vertical="center"/>
    </xf>
    <xf numFmtId="177" fontId="48" fillId="2" borderId="0" xfId="0" applyNumberFormat="1" applyFont="1" applyFill="1"/>
    <xf numFmtId="167" fontId="42" fillId="2" borderId="0" xfId="0" applyNumberFormat="1" applyFont="1" applyFill="1" applyAlignment="1">
      <alignment horizontal="center" wrapText="1"/>
    </xf>
    <xf numFmtId="167" fontId="76" fillId="2" borderId="0" xfId="0" applyNumberFormat="1" applyFont="1" applyFill="1" applyAlignment="1">
      <alignment vertical="center"/>
    </xf>
    <xf numFmtId="169" fontId="79" fillId="2" borderId="0" xfId="0" applyNumberFormat="1" applyFont="1" applyFill="1" applyAlignment="1">
      <alignment vertical="center"/>
    </xf>
    <xf numFmtId="2" fontId="48" fillId="2" borderId="0" xfId="0" applyNumberFormat="1" applyFont="1" applyFill="1" applyAlignment="1">
      <alignment vertical="center"/>
    </xf>
    <xf numFmtId="2" fontId="76" fillId="2" borderId="0" xfId="0" applyNumberFormat="1" applyFont="1" applyFill="1" applyAlignment="1">
      <alignment vertical="center"/>
    </xf>
    <xf numFmtId="165" fontId="0" fillId="2" borderId="0" xfId="0" applyNumberFormat="1" applyFill="1"/>
    <xf numFmtId="169" fontId="0" fillId="2" borderId="1" xfId="0" applyNumberFormat="1" applyFont="1" applyFill="1" applyBorder="1" applyAlignment="1">
      <alignment horizontal="center" vertical="center"/>
    </xf>
    <xf numFmtId="165" fontId="0" fillId="2" borderId="4" xfId="0" applyNumberFormat="1" applyFill="1" applyBorder="1" applyAlignment="1">
      <alignment horizontal="center" vertical="center"/>
    </xf>
    <xf numFmtId="0" fontId="61" fillId="2" borderId="1" xfId="0" applyFont="1" applyFill="1" applyBorder="1" applyAlignment="1">
      <alignment horizontal="center" vertical="center" wrapText="1"/>
    </xf>
    <xf numFmtId="174" fontId="0" fillId="2" borderId="0" xfId="0" applyNumberFormat="1" applyFill="1"/>
    <xf numFmtId="174" fontId="0" fillId="2" borderId="1" xfId="0" applyNumberFormat="1" applyFill="1" applyBorder="1" applyAlignment="1">
      <alignment horizontal="center"/>
    </xf>
    <xf numFmtId="174" fontId="0" fillId="3" borderId="0" xfId="0" applyNumberFormat="1" applyFill="1" applyBorder="1" applyAlignment="1">
      <alignment horizontal="center" vertical="center"/>
    </xf>
    <xf numFmtId="174" fontId="0" fillId="2" borderId="8" xfId="0" applyNumberFormat="1" applyFill="1" applyBorder="1" applyAlignment="1">
      <alignment horizontal="center" vertical="center"/>
    </xf>
    <xf numFmtId="165" fontId="60" fillId="3" borderId="0" xfId="0" applyNumberFormat="1" applyFont="1" applyFill="1" applyBorder="1"/>
    <xf numFmtId="165" fontId="60" fillId="2" borderId="1" xfId="0" applyNumberFormat="1" applyFont="1" applyFill="1" applyBorder="1"/>
    <xf numFmtId="165" fontId="59" fillId="3" borderId="0" xfId="0" applyNumberFormat="1" applyFont="1" applyFill="1" applyBorder="1" applyAlignment="1">
      <alignment horizontal="center" vertical="center"/>
    </xf>
    <xf numFmtId="10" fontId="0" fillId="2" borderId="0" xfId="0" applyNumberFormat="1" applyFill="1" applyAlignment="1">
      <alignment horizontal="center" vertical="center"/>
    </xf>
    <xf numFmtId="165" fontId="0" fillId="2" borderId="1" xfId="0" applyNumberFormat="1" applyFill="1" applyBorder="1"/>
    <xf numFmtId="165" fontId="0" fillId="2" borderId="1" xfId="0" applyNumberFormat="1" applyFill="1" applyBorder="1" applyAlignment="1">
      <alignment horizontal="center" vertical="center"/>
    </xf>
    <xf numFmtId="174" fontId="0" fillId="0" borderId="0" xfId="0" applyNumberFormat="1" applyBorder="1" applyAlignment="1">
      <alignment horizontal="center" vertical="center"/>
    </xf>
    <xf numFmtId="165" fontId="60" fillId="0" borderId="0" xfId="0" applyNumberFormat="1" applyFont="1" applyFill="1" applyBorder="1"/>
    <xf numFmtId="165" fontId="59" fillId="0" borderId="5" xfId="0" applyNumberFormat="1" applyFont="1" applyBorder="1" applyAlignment="1">
      <alignment horizontal="center" vertical="center"/>
    </xf>
    <xf numFmtId="174" fontId="0" fillId="2" borderId="0" xfId="0" applyNumberFormat="1" applyFill="1" applyAlignment="1">
      <alignment horizontal="center" vertical="center"/>
    </xf>
    <xf numFmtId="174" fontId="0" fillId="0" borderId="0" xfId="0" applyNumberFormat="1" applyBorder="1" applyAlignment="1">
      <alignment horizontal="center"/>
    </xf>
    <xf numFmtId="165" fontId="59" fillId="0" borderId="0" xfId="0" applyNumberFormat="1" applyFont="1" applyBorder="1" applyAlignment="1">
      <alignment horizontal="center" vertical="center"/>
    </xf>
    <xf numFmtId="165" fontId="57" fillId="2" borderId="0" xfId="0" applyNumberFormat="1" applyFont="1" applyFill="1" applyAlignment="1">
      <alignment horizontal="center" vertical="center"/>
    </xf>
    <xf numFmtId="165" fontId="57" fillId="2" borderId="1" xfId="0" applyNumberFormat="1" applyFont="1" applyFill="1" applyBorder="1" applyAlignment="1">
      <alignment horizontal="center" vertical="center"/>
    </xf>
    <xf numFmtId="173" fontId="0" fillId="2" borderId="0" xfId="0" applyNumberFormat="1" applyFill="1" applyAlignment="1">
      <alignment horizontal="center" vertical="center"/>
    </xf>
    <xf numFmtId="169" fontId="58" fillId="2" borderId="28" xfId="13" applyNumberFormat="1" applyFont="1" applyFill="1" applyBorder="1" applyAlignment="1">
      <alignment horizontal="center" vertical="center"/>
    </xf>
    <xf numFmtId="167" fontId="50" fillId="0" borderId="1" xfId="0" applyNumberFormat="1" applyFont="1" applyFill="1" applyBorder="1" applyAlignment="1">
      <alignment horizontal="center" vertical="center" wrapText="1"/>
    </xf>
    <xf numFmtId="167" fontId="50" fillId="2" borderId="1" xfId="0" applyNumberFormat="1" applyFont="1" applyFill="1" applyBorder="1" applyAlignment="1">
      <alignment horizontal="center" vertical="center" wrapText="1"/>
    </xf>
    <xf numFmtId="0" fontId="55" fillId="0" borderId="12" xfId="14" applyFont="1" applyFill="1" applyBorder="1" applyAlignment="1">
      <alignment horizontal="justify" vertical="center"/>
    </xf>
    <xf numFmtId="0" fontId="55" fillId="0" borderId="31" xfId="14" applyFont="1" applyFill="1" applyBorder="1" applyAlignment="1">
      <alignment horizontal="justify" vertical="center"/>
    </xf>
    <xf numFmtId="0" fontId="0" fillId="2" borderId="1" xfId="0" applyFill="1" applyBorder="1"/>
    <xf numFmtId="167" fontId="50" fillId="0" borderId="32" xfId="0" applyNumberFormat="1" applyFont="1" applyFill="1" applyBorder="1" applyAlignment="1">
      <alignment horizontal="center" vertical="center" wrapText="1"/>
    </xf>
    <xf numFmtId="167" fontId="50" fillId="0" borderId="33" xfId="0" applyNumberFormat="1" applyFont="1" applyFill="1" applyBorder="1" applyAlignment="1">
      <alignment horizontal="center" vertical="center" wrapText="1"/>
    </xf>
    <xf numFmtId="167" fontId="50" fillId="2" borderId="32" xfId="0" applyNumberFormat="1" applyFont="1" applyFill="1" applyBorder="1" applyAlignment="1">
      <alignment horizontal="center" vertical="center" wrapText="1"/>
    </xf>
    <xf numFmtId="0" fontId="53" fillId="0" borderId="34" xfId="14" applyFont="1" applyFill="1" applyBorder="1" applyAlignment="1">
      <alignment vertical="center" wrapText="1"/>
    </xf>
    <xf numFmtId="167" fontId="50" fillId="2" borderId="25" xfId="0" applyNumberFormat="1"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55" fillId="0" borderId="0" xfId="14" applyFont="1" applyFill="1" applyBorder="1" applyAlignment="1">
      <alignment horizontal="justify" vertical="center"/>
    </xf>
    <xf numFmtId="167" fontId="50" fillId="2" borderId="3" xfId="0" applyNumberFormat="1" applyFont="1" applyFill="1" applyBorder="1" applyAlignment="1">
      <alignment horizontal="center" vertical="center" wrapText="1"/>
    </xf>
    <xf numFmtId="165" fontId="59" fillId="2" borderId="0" xfId="0" applyNumberFormat="1" applyFont="1" applyFill="1" applyAlignment="1">
      <alignment horizontal="center" vertical="center"/>
    </xf>
    <xf numFmtId="165" fontId="59" fillId="2" borderId="0" xfId="0" applyNumberFormat="1" applyFont="1" applyFill="1" applyBorder="1" applyAlignment="1">
      <alignment horizontal="center" vertical="center"/>
    </xf>
    <xf numFmtId="174" fontId="0" fillId="2" borderId="0" xfId="0" applyNumberFormat="1" applyFill="1" applyBorder="1" applyAlignment="1">
      <alignment horizontal="center"/>
    </xf>
    <xf numFmtId="165" fontId="59" fillId="2" borderId="5" xfId="0" applyNumberFormat="1" applyFont="1" applyFill="1" applyBorder="1" applyAlignment="1">
      <alignment horizontal="center" vertical="center"/>
    </xf>
    <xf numFmtId="165" fontId="60" fillId="2" borderId="0" xfId="0" applyNumberFormat="1" applyFont="1" applyFill="1" applyBorder="1"/>
    <xf numFmtId="174" fontId="0" fillId="2" borderId="0" xfId="0" applyNumberFormat="1" applyFill="1" applyBorder="1" applyAlignment="1">
      <alignment horizontal="center" vertical="center"/>
    </xf>
    <xf numFmtId="167" fontId="56" fillId="2" borderId="0" xfId="0" applyNumberFormat="1" applyFont="1" applyFill="1" applyAlignment="1">
      <alignment horizontal="center" vertical="center"/>
    </xf>
    <xf numFmtId="0" fontId="80" fillId="2" borderId="0" xfId="0" applyFont="1" applyFill="1"/>
    <xf numFmtId="0" fontId="8" fillId="2" borderId="2" xfId="0" applyNumberFormat="1" applyFont="1" applyFill="1" applyBorder="1" applyAlignment="1">
      <alignment horizontal="left" vertical="center" wrapText="1"/>
    </xf>
    <xf numFmtId="0" fontId="3" fillId="2" borderId="4" xfId="1" applyNumberFormat="1" applyFont="1" applyFill="1" applyBorder="1" applyAlignment="1" applyProtection="1">
      <alignment vertical="top" wrapText="1"/>
      <protection hidden="1"/>
    </xf>
    <xf numFmtId="0" fontId="3" fillId="2" borderId="1" xfId="1" applyNumberFormat="1" applyFont="1" applyFill="1" applyBorder="1" applyAlignment="1" applyProtection="1">
      <alignment horizontal="left" vertical="top"/>
      <protection hidden="1"/>
    </xf>
    <xf numFmtId="171" fontId="16" fillId="0" borderId="0" xfId="0" applyNumberFormat="1" applyFont="1" applyFill="1" applyAlignment="1">
      <alignment vertical="top" wrapText="1"/>
    </xf>
    <xf numFmtId="169" fontId="39" fillId="2" borderId="1" xfId="12"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168" fontId="6" fillId="2" borderId="0" xfId="0" applyNumberFormat="1" applyFont="1" applyFill="1" applyBorder="1" applyAlignment="1">
      <alignment vertical="center" wrapText="1"/>
    </xf>
    <xf numFmtId="169" fontId="39" fillId="2" borderId="1"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166" fontId="3" fillId="2" borderId="2" xfId="0" applyNumberFormat="1" applyFont="1" applyFill="1" applyBorder="1" applyAlignment="1">
      <alignment horizontal="center" vertical="center"/>
    </xf>
    <xf numFmtId="166" fontId="36" fillId="2" borderId="2" xfId="4" applyNumberFormat="1" applyFont="1" applyFill="1" applyBorder="1" applyAlignment="1">
      <alignment horizontal="center" vertical="center" wrapText="1"/>
    </xf>
    <xf numFmtId="168" fontId="3" fillId="2" borderId="2" xfId="0" applyNumberFormat="1" applyFont="1" applyFill="1" applyBorder="1" applyAlignment="1">
      <alignment horizontal="center" vertical="center" wrapText="1"/>
    </xf>
    <xf numFmtId="168" fontId="36" fillId="2" borderId="2" xfId="12"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4" fontId="8" fillId="0" borderId="1" xfId="4" applyNumberFormat="1" applyFont="1" applyFill="1" applyBorder="1" applyAlignment="1">
      <alignment horizontal="center" vertical="center" wrapText="1"/>
    </xf>
    <xf numFmtId="4" fontId="8" fillId="0" borderId="4" xfId="4" applyNumberFormat="1" applyFont="1" applyFill="1" applyBorder="1" applyAlignment="1">
      <alignment horizontal="center" vertical="center" wrapText="1"/>
    </xf>
    <xf numFmtId="0" fontId="0" fillId="2" borderId="1" xfId="0" applyFill="1" applyBorder="1" applyAlignment="1">
      <alignment horizontal="center" vertical="center"/>
    </xf>
    <xf numFmtId="0" fontId="35" fillId="2" borderId="1" xfId="0" applyFont="1" applyFill="1" applyBorder="1" applyAlignment="1">
      <alignment horizontal="center" vertical="center"/>
    </xf>
    <xf numFmtId="2" fontId="35" fillId="2" borderId="1" xfId="0" applyNumberFormat="1" applyFont="1" applyFill="1" applyBorder="1" applyAlignment="1">
      <alignment horizontal="center" vertical="center"/>
    </xf>
    <xf numFmtId="2" fontId="35" fillId="2" borderId="1" xfId="12" applyNumberFormat="1" applyFont="1" applyFill="1" applyBorder="1" applyAlignment="1">
      <alignment horizontal="center" vertical="center"/>
    </xf>
    <xf numFmtId="167" fontId="35" fillId="2" borderId="1" xfId="0" applyNumberFormat="1" applyFont="1" applyFill="1" applyBorder="1" applyAlignment="1">
      <alignment horizontal="center" vertical="center"/>
    </xf>
    <xf numFmtId="0" fontId="35" fillId="2" borderId="1" xfId="0" applyFont="1" applyFill="1" applyBorder="1" applyAlignment="1">
      <alignment horizontal="left" vertical="center"/>
    </xf>
    <xf numFmtId="2" fontId="38" fillId="2" borderId="1" xfId="0" applyNumberFormat="1" applyFont="1" applyFill="1" applyBorder="1" applyAlignment="1">
      <alignment horizontal="center" vertical="center"/>
    </xf>
    <xf numFmtId="169" fontId="38" fillId="2" borderId="1" xfId="0" applyNumberFormat="1" applyFont="1" applyFill="1" applyBorder="1" applyAlignment="1">
      <alignment horizontal="center" vertical="center"/>
    </xf>
    <xf numFmtId="2" fontId="38" fillId="3" borderId="1" xfId="0" applyNumberFormat="1" applyFont="1" applyFill="1" applyBorder="1" applyAlignment="1">
      <alignment horizontal="center" vertical="center"/>
    </xf>
    <xf numFmtId="169" fontId="35" fillId="2" borderId="1" xfId="0" applyNumberFormat="1" applyFont="1" applyFill="1" applyBorder="1" applyAlignment="1">
      <alignment horizontal="center" vertical="center"/>
    </xf>
    <xf numFmtId="166" fontId="0" fillId="2" borderId="1" xfId="0" applyNumberFormat="1" applyFill="1" applyBorder="1"/>
    <xf numFmtId="0" fontId="19" fillId="0" borderId="1" xfId="0" applyNumberFormat="1" applyFont="1" applyFill="1" applyBorder="1" applyAlignment="1">
      <alignment horizontal="center" vertical="center" wrapText="1"/>
    </xf>
    <xf numFmtId="0" fontId="3" fillId="2" borderId="2" xfId="0" applyFont="1" applyFill="1" applyBorder="1" applyAlignment="1">
      <alignment horizontal="left" vertical="top" wrapText="1"/>
    </xf>
    <xf numFmtId="0" fontId="39" fillId="2" borderId="4"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17" fillId="0" borderId="0" xfId="0" applyFont="1" applyAlignment="1">
      <alignment horizontal="left" wrapText="1"/>
    </xf>
    <xf numFmtId="0" fontId="17" fillId="0" borderId="1" xfId="0" applyFont="1" applyBorder="1" applyAlignment="1">
      <alignment horizontal="left" wrapText="1"/>
    </xf>
    <xf numFmtId="2" fontId="39" fillId="2" borderId="4" xfId="4"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xf>
    <xf numFmtId="2" fontId="39" fillId="2" borderId="1" xfId="0" applyNumberFormat="1" applyFont="1" applyFill="1" applyBorder="1" applyAlignment="1">
      <alignment horizontal="left" vertical="center" wrapText="1"/>
    </xf>
    <xf numFmtId="2" fontId="39" fillId="2" borderId="4" xfId="0" applyNumberFormat="1" applyFont="1" applyFill="1" applyBorder="1" applyAlignment="1">
      <alignment horizontal="center" vertical="center" wrapText="1"/>
    </xf>
    <xf numFmtId="2" fontId="39" fillId="2" borderId="21" xfId="4" applyNumberFormat="1" applyFont="1" applyFill="1" applyBorder="1" applyAlignment="1">
      <alignment horizontal="center" vertical="center" wrapText="1"/>
    </xf>
    <xf numFmtId="168" fontId="9" fillId="0" borderId="1" xfId="4" applyNumberFormat="1" applyFont="1" applyFill="1" applyBorder="1" applyAlignment="1">
      <alignment horizontal="center" vertical="center" wrapText="1"/>
    </xf>
    <xf numFmtId="0" fontId="36" fillId="3" borderId="14" xfId="0" applyFont="1" applyFill="1" applyBorder="1" applyAlignment="1">
      <alignment horizontal="left" vertical="center" wrapText="1"/>
    </xf>
    <xf numFmtId="0" fontId="3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66" fontId="3" fillId="3" borderId="1" xfId="0" applyNumberFormat="1" applyFont="1" applyFill="1" applyBorder="1" applyAlignment="1">
      <alignment horizontal="center" vertical="center"/>
    </xf>
    <xf numFmtId="166" fontId="36" fillId="3" borderId="1" xfId="4" applyNumberFormat="1" applyFont="1" applyFill="1" applyBorder="1" applyAlignment="1">
      <alignment horizontal="center" vertical="center" wrapText="1"/>
    </xf>
    <xf numFmtId="169"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3" fillId="3" borderId="1" xfId="0" applyFont="1" applyFill="1" applyBorder="1" applyAlignment="1">
      <alignment vertical="top" wrapText="1"/>
    </xf>
    <xf numFmtId="0" fontId="35" fillId="3" borderId="0" xfId="0" applyFont="1" applyFill="1" applyAlignment="1">
      <alignment vertical="center" wrapText="1"/>
    </xf>
    <xf numFmtId="0" fontId="35" fillId="3" borderId="0" xfId="0" applyFont="1" applyFill="1"/>
    <xf numFmtId="0" fontId="8" fillId="2" borderId="4" xfId="0" applyNumberFormat="1" applyFont="1" applyFill="1" applyBorder="1" applyAlignment="1">
      <alignment horizontal="center" wrapText="1"/>
    </xf>
    <xf numFmtId="0" fontId="3" fillId="2" borderId="1" xfId="0" applyNumberFormat="1" applyFont="1" applyFill="1" applyBorder="1" applyAlignment="1">
      <alignment horizontal="center" vertical="center"/>
    </xf>
    <xf numFmtId="168" fontId="71" fillId="0" borderId="1" xfId="0" applyNumberFormat="1" applyFont="1" applyFill="1" applyBorder="1" applyAlignment="1" applyProtection="1">
      <alignment horizontal="center" vertical="top"/>
    </xf>
    <xf numFmtId="0" fontId="8" fillId="2" borderId="3"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6" fillId="2" borderId="0" xfId="0" applyNumberFormat="1" applyFont="1" applyFill="1" applyAlignment="1">
      <alignment vertical="center"/>
    </xf>
    <xf numFmtId="0" fontId="8" fillId="2" borderId="1"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wrapText="1"/>
    </xf>
    <xf numFmtId="166" fontId="8" fillId="2" borderId="3" xfId="4" applyNumberFormat="1" applyFont="1" applyFill="1" applyBorder="1" applyAlignment="1">
      <alignment horizontal="center" vertical="center" wrapText="1"/>
    </xf>
    <xf numFmtId="166" fontId="8" fillId="2" borderId="3" xfId="4" applyNumberFormat="1" applyFont="1" applyFill="1" applyBorder="1" applyAlignment="1" applyProtection="1">
      <alignment horizontal="center" vertical="center" wrapText="1"/>
      <protection hidden="1"/>
    </xf>
    <xf numFmtId="168" fontId="8" fillId="2" borderId="3" xfId="4" applyNumberFormat="1" applyFont="1" applyFill="1" applyBorder="1" applyAlignment="1" applyProtection="1">
      <alignment horizontal="center" vertical="center" wrapText="1"/>
      <protection hidden="1"/>
    </xf>
    <xf numFmtId="168" fontId="8" fillId="0" borderId="3" xfId="4" applyNumberFormat="1" applyFont="1" applyFill="1" applyBorder="1" applyAlignment="1" applyProtection="1">
      <alignment horizontal="center" vertical="center" wrapText="1"/>
      <protection hidden="1"/>
    </xf>
    <xf numFmtId="168" fontId="8" fillId="2" borderId="3" xfId="4"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166" fontId="8" fillId="2" borderId="1" xfId="4" applyNumberFormat="1" applyFont="1" applyFill="1" applyBorder="1" applyAlignment="1">
      <alignment horizontal="center" vertical="center"/>
    </xf>
    <xf numFmtId="166" fontId="8" fillId="2" borderId="1" xfId="4" applyNumberFormat="1" applyFont="1" applyFill="1" applyBorder="1" applyAlignment="1" applyProtection="1">
      <alignment horizontal="center" vertical="center"/>
      <protection hidden="1"/>
    </xf>
    <xf numFmtId="168" fontId="8" fillId="2" borderId="1" xfId="4" applyNumberFormat="1" applyFont="1" applyFill="1" applyBorder="1" applyAlignment="1" applyProtection="1">
      <alignment horizontal="center" vertical="center"/>
      <protection hidden="1"/>
    </xf>
    <xf numFmtId="168" fontId="8" fillId="0" borderId="1" xfId="4" applyNumberFormat="1" applyFont="1" applyFill="1" applyBorder="1" applyAlignment="1" applyProtection="1">
      <alignment horizontal="center" vertical="center"/>
      <protection hidden="1"/>
    </xf>
    <xf numFmtId="168" fontId="8" fillId="2" borderId="1" xfId="4"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172" fontId="16" fillId="0" borderId="0" xfId="0" applyNumberFormat="1" applyFont="1" applyFill="1" applyAlignment="1">
      <alignment vertical="top" wrapText="1"/>
    </xf>
    <xf numFmtId="168" fontId="6" fillId="0" borderId="0" xfId="0" applyNumberFormat="1" applyFont="1" applyFill="1" applyAlignment="1">
      <alignment vertical="center" wrapText="1"/>
    </xf>
    <xf numFmtId="168" fontId="6" fillId="0" borderId="0" xfId="0" applyNumberFormat="1" applyFont="1" applyFill="1" applyBorder="1" applyAlignment="1">
      <alignment vertical="center" wrapText="1"/>
    </xf>
    <xf numFmtId="176" fontId="6" fillId="0" borderId="0" xfId="0" applyNumberFormat="1" applyFont="1" applyFill="1" applyAlignment="1">
      <alignment vertical="center" wrapText="1"/>
    </xf>
    <xf numFmtId="167" fontId="50" fillId="2" borderId="14" xfId="0" applyNumberFormat="1" applyFont="1" applyFill="1" applyBorder="1" applyAlignment="1">
      <alignment horizontal="center" vertical="center" wrapText="1"/>
    </xf>
    <xf numFmtId="0" fontId="21" fillId="2" borderId="12" xfId="0" applyNumberFormat="1" applyFont="1" applyFill="1" applyBorder="1" applyAlignment="1">
      <alignment vertical="top" wrapText="1"/>
    </xf>
    <xf numFmtId="178" fontId="68" fillId="2" borderId="0" xfId="0" applyNumberFormat="1" applyFont="1" applyFill="1" applyAlignment="1">
      <alignment vertical="center" wrapText="1"/>
    </xf>
    <xf numFmtId="0" fontId="68" fillId="2" borderId="0" xfId="0" applyNumberFormat="1" applyFont="1" applyFill="1" applyBorder="1" applyAlignment="1">
      <alignment vertical="center" wrapText="1"/>
    </xf>
    <xf numFmtId="0" fontId="68" fillId="2" borderId="0" xfId="0" applyNumberFormat="1" applyFont="1" applyFill="1" applyAlignment="1">
      <alignment vertical="center"/>
    </xf>
    <xf numFmtId="168" fontId="68" fillId="2" borderId="0" xfId="0" applyNumberFormat="1" applyFont="1" applyFill="1" applyBorder="1" applyAlignment="1">
      <alignment vertical="center" wrapText="1"/>
    </xf>
    <xf numFmtId="0" fontId="68" fillId="0" borderId="0" xfId="0" applyNumberFormat="1" applyFont="1" applyFill="1" applyAlignment="1">
      <alignment vertical="center" wrapText="1"/>
    </xf>
    <xf numFmtId="0" fontId="68" fillId="2" borderId="0" xfId="0" applyNumberFormat="1" applyFont="1" applyFill="1" applyAlignment="1">
      <alignment vertical="top"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6" fillId="2" borderId="0" xfId="0" applyNumberFormat="1" applyFont="1" applyFill="1" applyBorder="1" applyAlignment="1">
      <alignment horizontal="left" vertical="center" wrapText="1"/>
    </xf>
    <xf numFmtId="0" fontId="3" fillId="2" borderId="1" xfId="0" applyNumberFormat="1" applyFont="1" applyFill="1" applyBorder="1" applyAlignment="1">
      <alignment horizontal="left" vertical="top" wrapText="1"/>
    </xf>
    <xf numFmtId="0" fontId="3"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left" vertical="top" wrapText="1"/>
    </xf>
    <xf numFmtId="0" fontId="6" fillId="2" borderId="0" xfId="0" applyNumberFormat="1" applyFont="1" applyFill="1" applyAlignment="1">
      <alignment horizontal="left" vertical="center" wrapText="1"/>
    </xf>
    <xf numFmtId="0" fontId="58" fillId="2" borderId="0" xfId="0" applyNumberFormat="1" applyFont="1" applyFill="1" applyAlignment="1">
      <alignment horizontal="left" vertical="center" wrapText="1"/>
    </xf>
    <xf numFmtId="0" fontId="8" fillId="2" borderId="4" xfId="0" applyNumberFormat="1" applyFont="1" applyFill="1" applyBorder="1" applyAlignment="1">
      <alignment horizontal="left" vertical="center" wrapText="1"/>
    </xf>
    <xf numFmtId="0" fontId="8" fillId="2" borderId="3" xfId="0" applyNumberFormat="1" applyFont="1" applyFill="1" applyBorder="1" applyAlignment="1">
      <alignment horizontal="left" vertical="center" wrapText="1"/>
    </xf>
    <xf numFmtId="0" fontId="12" fillId="2"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164" fontId="3" fillId="2" borderId="1" xfId="6" applyFont="1" applyFill="1" applyBorder="1" applyAlignment="1">
      <alignment horizontal="left" vertical="center" wrapText="1"/>
    </xf>
    <xf numFmtId="0" fontId="3" fillId="2" borderId="1" xfId="0" applyFont="1" applyFill="1" applyBorder="1" applyAlignment="1">
      <alignment horizontal="center" vertical="center" wrapText="1"/>
    </xf>
    <xf numFmtId="4" fontId="17" fillId="2" borderId="1" xfId="4"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top" wrapText="1"/>
    </xf>
    <xf numFmtId="0" fontId="21" fillId="2" borderId="2"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xf>
    <xf numFmtId="0" fontId="6" fillId="2" borderId="0" xfId="0" applyNumberFormat="1" applyFont="1" applyFill="1" applyAlignment="1">
      <alignment horizontal="center" vertical="top" wrapText="1"/>
    </xf>
    <xf numFmtId="0" fontId="21" fillId="2" borderId="2" xfId="0" applyNumberFormat="1" applyFont="1" applyFill="1" applyBorder="1" applyAlignment="1">
      <alignment horizontal="center" vertical="center"/>
    </xf>
    <xf numFmtId="0" fontId="21" fillId="2" borderId="4" xfId="0" applyNumberFormat="1" applyFont="1" applyFill="1" applyBorder="1" applyAlignment="1">
      <alignment horizontal="center" vertical="center"/>
    </xf>
    <xf numFmtId="0" fontId="21" fillId="2" borderId="1" xfId="0" applyNumberFormat="1" applyFont="1" applyFill="1" applyBorder="1" applyAlignment="1">
      <alignment horizontal="center" vertical="top" wrapText="1"/>
    </xf>
    <xf numFmtId="0" fontId="21" fillId="2" borderId="14" xfId="0" applyNumberFormat="1" applyFont="1" applyFill="1" applyBorder="1" applyAlignment="1">
      <alignment horizontal="center" vertical="center" wrapText="1"/>
    </xf>
    <xf numFmtId="0" fontId="9" fillId="2" borderId="4" xfId="0" applyNumberFormat="1" applyFont="1" applyFill="1" applyBorder="1" applyAlignment="1">
      <alignment vertical="top" wrapText="1"/>
    </xf>
    <xf numFmtId="0" fontId="4"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16" fillId="0"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wrapText="1"/>
    </xf>
    <xf numFmtId="0" fontId="17" fillId="0" borderId="24" xfId="0" applyFont="1" applyBorder="1" applyAlignment="1">
      <alignment vertical="center" wrapText="1"/>
    </xf>
    <xf numFmtId="4" fontId="17" fillId="0" borderId="25" xfId="0" applyNumberFormat="1" applyFont="1" applyBorder="1" applyAlignment="1">
      <alignment horizontal="center" vertical="center" wrapText="1"/>
    </xf>
    <xf numFmtId="4" fontId="17" fillId="0" borderId="22" xfId="0" applyNumberFormat="1" applyFont="1" applyBorder="1" applyAlignment="1">
      <alignment horizontal="center" vertical="center" wrapText="1"/>
    </xf>
    <xf numFmtId="0" fontId="64" fillId="0" borderId="22" xfId="0" applyFont="1" applyBorder="1" applyAlignment="1">
      <alignment horizontal="left" vertical="top" wrapText="1"/>
    </xf>
    <xf numFmtId="0" fontId="13" fillId="2" borderId="0" xfId="0" applyNumberFormat="1" applyFont="1" applyFill="1" applyAlignment="1">
      <alignment vertical="top"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center" vertical="center" wrapText="1"/>
    </xf>
    <xf numFmtId="0" fontId="8" fillId="2" borderId="4"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21" fillId="2" borderId="1" xfId="0" applyNumberFormat="1" applyFont="1" applyFill="1" applyBorder="1" applyAlignment="1">
      <alignment horizontal="center" vertical="top" wrapText="1"/>
    </xf>
    <xf numFmtId="0" fontId="64" fillId="0" borderId="0" xfId="0" applyNumberFormat="1" applyFont="1" applyFill="1" applyAlignment="1">
      <alignment vertical="top" wrapText="1"/>
    </xf>
    <xf numFmtId="168" fontId="8" fillId="2" borderId="2" xfId="4" applyNumberFormat="1" applyFont="1" applyFill="1" applyBorder="1" applyAlignment="1">
      <alignment horizontal="center" vertical="center" wrapText="1"/>
    </xf>
    <xf numFmtId="168" fontId="3" fillId="2" borderId="1" xfId="4" applyNumberFormat="1" applyFont="1" applyFill="1" applyBorder="1" applyAlignment="1">
      <alignment horizontal="right"/>
    </xf>
    <xf numFmtId="0" fontId="39" fillId="7" borderId="18" xfId="0" applyFont="1" applyFill="1" applyBorder="1" applyAlignment="1">
      <alignment horizontal="left" vertical="center" wrapText="1"/>
    </xf>
    <xf numFmtId="0" fontId="39" fillId="7" borderId="20" xfId="0" applyFont="1" applyFill="1" applyBorder="1" applyAlignment="1">
      <alignment horizontal="center" vertical="center" wrapText="1"/>
    </xf>
    <xf numFmtId="169" fontId="39" fillId="7" borderId="20" xfId="4" applyNumberFormat="1" applyFont="1" applyFill="1" applyBorder="1" applyAlignment="1">
      <alignment horizontal="center" vertical="center" wrapText="1"/>
    </xf>
    <xf numFmtId="0" fontId="0" fillId="7" borderId="0" xfId="0" applyFill="1"/>
    <xf numFmtId="169" fontId="46" fillId="7" borderId="0" xfId="0" applyNumberFormat="1" applyFont="1" applyFill="1" applyAlignment="1">
      <alignment horizontal="center" vertical="center"/>
    </xf>
    <xf numFmtId="169" fontId="42" fillId="7" borderId="0" xfId="0" applyNumberFormat="1" applyFont="1" applyFill="1"/>
    <xf numFmtId="166" fontId="42" fillId="7" borderId="0" xfId="0" applyNumberFormat="1" applyFont="1" applyFill="1"/>
    <xf numFmtId="167" fontId="42" fillId="7" borderId="0" xfId="0" applyNumberFormat="1" applyFont="1" applyFill="1"/>
    <xf numFmtId="0" fontId="42" fillId="7" borderId="0" xfId="0" applyFont="1" applyFill="1"/>
    <xf numFmtId="0" fontId="39" fillId="7" borderId="2" xfId="0" applyFont="1" applyFill="1" applyBorder="1" applyAlignment="1">
      <alignment horizontal="left" vertical="center" wrapText="1"/>
    </xf>
    <xf numFmtId="0" fontId="39" fillId="7" borderId="21" xfId="0" applyFont="1" applyFill="1" applyBorder="1" applyAlignment="1">
      <alignment horizontal="center" vertical="center" wrapText="1"/>
    </xf>
    <xf numFmtId="169" fontId="39" fillId="7" borderId="21" xfId="4" applyNumberFormat="1" applyFont="1" applyFill="1" applyBorder="1" applyAlignment="1">
      <alignment horizontal="center" vertical="center" wrapText="1"/>
    </xf>
    <xf numFmtId="169" fontId="1" fillId="7" borderId="0" xfId="0" applyNumberFormat="1" applyFont="1" applyFill="1" applyAlignment="1">
      <alignment horizontal="center" vertical="center"/>
    </xf>
    <xf numFmtId="169" fontId="45" fillId="7" borderId="0" xfId="0" applyNumberFormat="1" applyFont="1" applyFill="1" applyAlignment="1">
      <alignment horizontal="center" vertical="center"/>
    </xf>
    <xf numFmtId="0" fontId="39" fillId="7" borderId="1" xfId="0" applyFont="1" applyFill="1" applyBorder="1" applyAlignment="1">
      <alignment horizontal="left" vertical="center" wrapText="1"/>
    </xf>
    <xf numFmtId="0" fontId="39" fillId="7" borderId="1" xfId="0" applyFont="1" applyFill="1" applyBorder="1" applyAlignment="1">
      <alignment horizontal="center" vertical="center" wrapText="1"/>
    </xf>
    <xf numFmtId="2" fontId="39" fillId="7" borderId="1" xfId="4" applyNumberFormat="1" applyFont="1" applyFill="1" applyBorder="1" applyAlignment="1">
      <alignment horizontal="center" vertical="center" wrapText="1"/>
    </xf>
    <xf numFmtId="2" fontId="39" fillId="7" borderId="1" xfId="0" applyNumberFormat="1" applyFont="1" applyFill="1" applyBorder="1" applyAlignment="1">
      <alignment horizontal="center" vertical="center"/>
    </xf>
    <xf numFmtId="2" fontId="39" fillId="7" borderId="1" xfId="0" applyNumberFormat="1" applyFont="1" applyFill="1" applyBorder="1" applyAlignment="1">
      <alignment horizontal="center" vertical="center" wrapText="1"/>
    </xf>
    <xf numFmtId="169" fontId="42" fillId="7" borderId="0" xfId="0" applyNumberFormat="1" applyFont="1" applyFill="1" applyAlignment="1">
      <alignment horizontal="center" vertical="center"/>
    </xf>
    <xf numFmtId="2" fontId="48" fillId="7" borderId="0" xfId="0" applyNumberFormat="1" applyFont="1" applyFill="1" applyAlignment="1">
      <alignment horizontal="center" vertical="center"/>
    </xf>
    <xf numFmtId="0" fontId="42" fillId="7" borderId="0" xfId="0" applyFont="1" applyFill="1" applyAlignment="1">
      <alignment vertical="center"/>
    </xf>
    <xf numFmtId="168" fontId="50"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 fontId="39" fillId="2" borderId="20" xfId="4"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7" fillId="2" borderId="1" xfId="0" applyFont="1" applyFill="1" applyBorder="1" applyAlignment="1">
      <alignment horizontal="left" wrapText="1"/>
    </xf>
    <xf numFmtId="0" fontId="8"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top"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left" vertical="top" wrapText="1"/>
    </xf>
    <xf numFmtId="0" fontId="3" fillId="2" borderId="1" xfId="0" applyNumberFormat="1" applyFont="1" applyFill="1" applyBorder="1" applyAlignment="1">
      <alignment horizontal="left" vertical="center" wrapText="1"/>
    </xf>
    <xf numFmtId="0" fontId="21" fillId="2" borderId="2"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top" wrapText="1"/>
    </xf>
    <xf numFmtId="0" fontId="8" fillId="2" borderId="13"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21" fillId="2" borderId="2"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xf>
    <xf numFmtId="0" fontId="6" fillId="2" borderId="0" xfId="0" applyNumberFormat="1" applyFont="1" applyFill="1" applyAlignment="1">
      <alignment horizontal="center" vertical="top" wrapText="1"/>
    </xf>
    <xf numFmtId="0" fontId="21" fillId="2" borderId="2" xfId="0" applyNumberFormat="1" applyFont="1" applyFill="1" applyBorder="1" applyAlignment="1">
      <alignment horizontal="center" vertical="center"/>
    </xf>
    <xf numFmtId="0" fontId="21" fillId="2" borderId="1" xfId="0" applyNumberFormat="1" applyFont="1" applyFill="1" applyBorder="1" applyAlignment="1">
      <alignment horizontal="center" vertical="top" wrapText="1"/>
    </xf>
    <xf numFmtId="0" fontId="21" fillId="2" borderId="14" xfId="0" applyNumberFormat="1" applyFont="1" applyFill="1" applyBorder="1" applyAlignment="1">
      <alignment horizontal="center" vertical="center" wrapText="1"/>
    </xf>
    <xf numFmtId="0" fontId="9" fillId="2" borderId="4" xfId="0" applyNumberFormat="1" applyFont="1" applyFill="1" applyBorder="1" applyAlignment="1">
      <alignment vertical="top" wrapText="1"/>
    </xf>
    <xf numFmtId="0" fontId="4"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9" fillId="2" borderId="1" xfId="0" applyNumberFormat="1" applyFont="1" applyFill="1" applyBorder="1" applyAlignment="1">
      <alignment vertical="top" wrapText="1"/>
    </xf>
    <xf numFmtId="0" fontId="21" fillId="2" borderId="1" xfId="0" applyNumberFormat="1" applyFont="1" applyFill="1" applyBorder="1" applyAlignment="1">
      <alignment horizontal="center" vertical="center"/>
    </xf>
    <xf numFmtId="0" fontId="9" fillId="2" borderId="1" xfId="0" applyFont="1" applyFill="1" applyBorder="1" applyAlignment="1">
      <alignment horizontal="left" vertical="top" wrapText="1"/>
    </xf>
    <xf numFmtId="0" fontId="21" fillId="2" borderId="2" xfId="0" applyNumberFormat="1" applyFont="1" applyFill="1" applyBorder="1" applyAlignment="1">
      <alignment vertical="top" wrapText="1"/>
    </xf>
    <xf numFmtId="0" fontId="68" fillId="0" borderId="0" xfId="0" applyNumberFormat="1" applyFont="1" applyFill="1" applyAlignment="1">
      <alignment vertical="top" wrapText="1"/>
    </xf>
    <xf numFmtId="0" fontId="68" fillId="0" borderId="0" xfId="0" applyNumberFormat="1" applyFont="1" applyFill="1" applyAlignment="1">
      <alignment vertical="top"/>
    </xf>
    <xf numFmtId="0" fontId="9" fillId="2" borderId="2"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8" fillId="2" borderId="1" xfId="1" applyNumberFormat="1" applyFont="1" applyFill="1" applyBorder="1" applyAlignment="1" applyProtection="1">
      <alignment vertical="top" wrapText="1"/>
      <protection hidden="1"/>
    </xf>
    <xf numFmtId="0" fontId="8" fillId="2" borderId="1" xfId="1" applyNumberFormat="1" applyFont="1" applyFill="1" applyBorder="1" applyAlignment="1" applyProtection="1">
      <alignment vertical="center" wrapText="1"/>
      <protection hidden="1"/>
    </xf>
    <xf numFmtId="168" fontId="68" fillId="0" borderId="0" xfId="0" applyNumberFormat="1" applyFont="1" applyFill="1" applyAlignment="1">
      <alignment vertical="top" wrapText="1"/>
    </xf>
    <xf numFmtId="0" fontId="2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7" xfId="1" applyNumberFormat="1" applyFont="1" applyFill="1" applyBorder="1" applyAlignment="1" applyProtection="1">
      <alignment horizontal="left" vertical="top" wrapText="1"/>
      <protection hidden="1"/>
    </xf>
    <xf numFmtId="0" fontId="8" fillId="2" borderId="13"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166" fontId="8" fillId="2" borderId="13" xfId="4" applyNumberFormat="1" applyFont="1" applyFill="1" applyBorder="1" applyAlignment="1" applyProtection="1">
      <alignment horizontal="center" vertical="center" wrapText="1"/>
      <protection hidden="1"/>
    </xf>
    <xf numFmtId="168" fontId="8" fillId="2" borderId="13" xfId="4" applyNumberFormat="1" applyFont="1" applyFill="1" applyBorder="1" applyAlignment="1" applyProtection="1">
      <alignment horizontal="center" vertical="center" wrapText="1"/>
      <protection hidden="1"/>
    </xf>
    <xf numFmtId="168" fontId="8" fillId="0" borderId="13" xfId="4" applyNumberFormat="1" applyFont="1" applyFill="1" applyBorder="1" applyAlignment="1" applyProtection="1">
      <alignment horizontal="center" vertical="center" wrapText="1"/>
      <protection hidden="1"/>
    </xf>
    <xf numFmtId="0" fontId="3" fillId="2" borderId="13" xfId="0" applyNumberFormat="1" applyFont="1" applyFill="1" applyBorder="1" applyAlignment="1">
      <alignment vertical="center"/>
    </xf>
    <xf numFmtId="0" fontId="3" fillId="2" borderId="14" xfId="0" applyNumberFormat="1" applyFont="1" applyFill="1" applyBorder="1" applyAlignment="1">
      <alignment vertical="center"/>
    </xf>
    <xf numFmtId="0" fontId="33" fillId="2" borderId="1" xfId="0" applyFont="1" applyFill="1" applyBorder="1" applyAlignment="1">
      <alignment horizontal="left" vertical="top" wrapText="1"/>
    </xf>
    <xf numFmtId="0" fontId="21"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21" fillId="0" borderId="1" xfId="0" applyNumberFormat="1" applyFont="1" applyFill="1" applyBorder="1" applyAlignment="1">
      <alignment vertical="top" wrapText="1"/>
    </xf>
    <xf numFmtId="4" fontId="21" fillId="0" borderId="1" xfId="4" applyNumberFormat="1" applyFont="1" applyFill="1" applyBorder="1" applyAlignment="1">
      <alignment horizontal="center" vertical="center" wrapText="1"/>
    </xf>
    <xf numFmtId="168" fontId="21" fillId="0" borderId="1" xfId="4" applyNumberFormat="1" applyFont="1" applyFill="1" applyBorder="1" applyAlignment="1">
      <alignment horizontal="center" vertical="center" wrapText="1"/>
    </xf>
    <xf numFmtId="168" fontId="21" fillId="0" borderId="2" xfId="4" applyNumberFormat="1" applyFont="1" applyFill="1" applyBorder="1" applyAlignment="1">
      <alignment horizontal="center" vertical="center" wrapText="1"/>
    </xf>
    <xf numFmtId="4" fontId="21" fillId="0" borderId="2" xfId="4" applyNumberFormat="1" applyFont="1" applyFill="1" applyBorder="1" applyAlignment="1">
      <alignment horizontal="center" vertical="center" wrapText="1"/>
    </xf>
    <xf numFmtId="176" fontId="21" fillId="0" borderId="2" xfId="4" applyNumberFormat="1" applyFont="1" applyFill="1" applyBorder="1" applyAlignment="1">
      <alignment horizontal="center" vertical="center" wrapText="1"/>
    </xf>
    <xf numFmtId="168" fontId="9" fillId="0" borderId="4" xfId="4" applyNumberFormat="1" applyFont="1" applyFill="1" applyBorder="1" applyAlignment="1">
      <alignment horizontal="center" vertical="center" wrapText="1"/>
    </xf>
    <xf numFmtId="168" fontId="21" fillId="0" borderId="4" xfId="4" applyNumberFormat="1" applyFont="1" applyFill="1" applyBorder="1" applyAlignment="1">
      <alignment horizontal="center" vertical="center" wrapText="1"/>
    </xf>
    <xf numFmtId="4" fontId="9" fillId="0" borderId="1" xfId="4" applyNumberFormat="1" applyFont="1" applyFill="1" applyBorder="1" applyAlignment="1">
      <alignment horizontal="center" vertical="center" wrapText="1"/>
    </xf>
    <xf numFmtId="168" fontId="21" fillId="0" borderId="1" xfId="4" applyNumberFormat="1" applyFont="1" applyFill="1" applyBorder="1" applyAlignment="1">
      <alignment horizontal="center" vertical="center"/>
    </xf>
    <xf numFmtId="4" fontId="21" fillId="0" borderId="1" xfId="4" applyNumberFormat="1" applyFont="1" applyFill="1" applyBorder="1" applyAlignment="1">
      <alignment horizontal="center" vertical="center"/>
    </xf>
    <xf numFmtId="168" fontId="21" fillId="0" borderId="2" xfId="4" applyNumberFormat="1" applyFont="1" applyFill="1" applyBorder="1" applyAlignment="1">
      <alignment horizontal="center" vertical="center"/>
    </xf>
    <xf numFmtId="168" fontId="4" fillId="0" borderId="1" xfId="4" applyNumberFormat="1" applyFont="1" applyFill="1" applyBorder="1" applyAlignment="1">
      <alignment horizontal="center" vertical="center"/>
    </xf>
    <xf numFmtId="168" fontId="29" fillId="0" borderId="2" xfId="4" applyNumberFormat="1" applyFont="1" applyFill="1" applyBorder="1" applyAlignment="1">
      <alignment horizontal="center" vertical="center"/>
    </xf>
    <xf numFmtId="168" fontId="4" fillId="0" borderId="2" xfId="4" applyNumberFormat="1" applyFont="1" applyFill="1" applyBorder="1" applyAlignment="1">
      <alignment horizontal="center" vertical="center"/>
    </xf>
    <xf numFmtId="168" fontId="4" fillId="0" borderId="1" xfId="4" applyNumberFormat="1" applyFont="1" applyFill="1" applyBorder="1" applyAlignment="1">
      <alignment horizontal="center" vertical="center" wrapText="1"/>
    </xf>
    <xf numFmtId="168" fontId="21" fillId="0" borderId="3" xfId="4" applyNumberFormat="1" applyFont="1" applyFill="1" applyBorder="1" applyAlignment="1">
      <alignment horizontal="center" vertical="center" wrapText="1"/>
    </xf>
    <xf numFmtId="171" fontId="21" fillId="0" borderId="15" xfId="4" applyNumberFormat="1" applyFont="1" applyFill="1" applyBorder="1" applyAlignment="1" applyProtection="1">
      <alignment horizontal="center" vertical="center" wrapText="1"/>
    </xf>
    <xf numFmtId="168" fontId="6" fillId="0" borderId="1" xfId="0" applyNumberFormat="1" applyFont="1" applyFill="1" applyBorder="1" applyAlignment="1">
      <alignment horizontal="center" vertical="center" wrapText="1"/>
    </xf>
    <xf numFmtId="169" fontId="9" fillId="0" borderId="1" xfId="4"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166" fontId="3" fillId="0" borderId="1" xfId="4"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1" fillId="2" borderId="2"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wrapText="1"/>
    </xf>
    <xf numFmtId="0" fontId="21" fillId="2" borderId="4" xfId="0" applyNumberFormat="1" applyFont="1" applyFill="1" applyBorder="1" applyAlignment="1">
      <alignment horizontal="center" vertical="center"/>
    </xf>
    <xf numFmtId="0" fontId="21" fillId="2" borderId="1" xfId="0" applyNumberFormat="1" applyFont="1" applyFill="1" applyBorder="1" applyAlignment="1">
      <alignment vertical="top" wrapText="1"/>
    </xf>
    <xf numFmtId="0" fontId="9" fillId="2" borderId="2"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3" xfId="0" applyNumberFormat="1" applyFont="1" applyFill="1" applyBorder="1" applyAlignment="1">
      <alignment vertical="top" wrapText="1"/>
    </xf>
    <xf numFmtId="0" fontId="8" fillId="2" borderId="13" xfId="0" applyNumberFormat="1" applyFont="1" applyFill="1" applyBorder="1" applyAlignment="1">
      <alignment horizontal="left" vertical="center" wrapText="1"/>
    </xf>
    <xf numFmtId="179" fontId="16" fillId="0" borderId="0" xfId="0" applyNumberFormat="1" applyFont="1" applyFill="1" applyAlignment="1">
      <alignment vertical="top" wrapText="1"/>
    </xf>
    <xf numFmtId="173" fontId="16" fillId="3" borderId="1" xfId="0" applyNumberFormat="1" applyFont="1" applyFill="1" applyBorder="1" applyAlignment="1">
      <alignment horizontal="center" vertical="center" wrapText="1"/>
    </xf>
    <xf numFmtId="0" fontId="53" fillId="2" borderId="35" xfId="14" applyFont="1" applyFill="1" applyBorder="1" applyAlignment="1">
      <alignment vertical="center" wrapText="1"/>
    </xf>
    <xf numFmtId="167" fontId="50" fillId="2" borderId="0" xfId="0" applyNumberFormat="1" applyFont="1" applyFill="1" applyBorder="1" applyAlignment="1">
      <alignment horizontal="center" vertical="center" wrapText="1"/>
    </xf>
    <xf numFmtId="0" fontId="3"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0" xfId="0" applyFont="1" applyFill="1" applyAlignment="1">
      <alignment horizontal="left" vertical="center"/>
    </xf>
    <xf numFmtId="169" fontId="67" fillId="2" borderId="1" xfId="4" applyNumberFormat="1" applyFont="1" applyFill="1" applyBorder="1" applyAlignment="1">
      <alignment horizontal="center" vertical="center" wrapText="1"/>
    </xf>
    <xf numFmtId="0" fontId="17" fillId="2" borderId="9" xfId="0" applyFont="1" applyFill="1" applyBorder="1" applyAlignment="1">
      <alignment horizontal="left" vertical="center" wrapText="1"/>
    </xf>
    <xf numFmtId="177" fontId="53" fillId="0" borderId="35" xfId="14" applyNumberFormat="1" applyFont="1" applyFill="1" applyBorder="1" applyAlignment="1">
      <alignment vertical="center"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9"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168" fontId="82" fillId="0" borderId="1" xfId="4" applyNumberFormat="1" applyFont="1" applyFill="1" applyBorder="1" applyAlignment="1">
      <alignment horizontal="center" vertical="center" wrapText="1"/>
    </xf>
    <xf numFmtId="0" fontId="82" fillId="0" borderId="1" xfId="0" applyNumberFormat="1" applyFont="1" applyFill="1" applyBorder="1" applyAlignment="1">
      <alignment vertical="top" wrapText="1"/>
    </xf>
    <xf numFmtId="0" fontId="33" fillId="0" borderId="1" xfId="0" applyNumberFormat="1" applyFont="1" applyFill="1" applyBorder="1" applyAlignment="1">
      <alignment horizontal="center" vertical="center" wrapText="1"/>
    </xf>
    <xf numFmtId="168" fontId="33" fillId="0" borderId="1" xfId="4" applyNumberFormat="1" applyFont="1" applyFill="1" applyBorder="1" applyAlignment="1">
      <alignment horizontal="center" vertical="center" wrapText="1"/>
    </xf>
    <xf numFmtId="4" fontId="33" fillId="0" borderId="1" xfId="4"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21" fillId="2" borderId="1" xfId="0" applyNumberFormat="1" applyFont="1" applyFill="1" applyBorder="1" applyAlignment="1">
      <alignment vertical="top" wrapText="1"/>
    </xf>
    <xf numFmtId="168" fontId="83" fillId="2" borderId="1" xfId="4" applyNumberFormat="1" applyFont="1" applyFill="1" applyBorder="1" applyAlignment="1">
      <alignment horizontal="center" vertical="center" wrapText="1"/>
    </xf>
    <xf numFmtId="168" fontId="18" fillId="2" borderId="1" xfId="0" applyNumberFormat="1" applyFont="1" applyFill="1" applyBorder="1" applyAlignment="1">
      <alignment horizontal="center" vertical="center" wrapText="1"/>
    </xf>
    <xf numFmtId="168" fontId="18" fillId="0" borderId="1" xfId="4" applyNumberFormat="1" applyFont="1" applyFill="1" applyBorder="1" applyAlignment="1">
      <alignment horizontal="center" vertical="center" wrapText="1"/>
    </xf>
    <xf numFmtId="168" fontId="34" fillId="2" borderId="1" xfId="4" applyNumberFormat="1" applyFont="1" applyFill="1" applyBorder="1" applyAlignment="1">
      <alignment horizontal="center" vertical="center" wrapText="1"/>
    </xf>
    <xf numFmtId="168" fontId="28" fillId="0" borderId="18" xfId="0" applyNumberFormat="1" applyFont="1" applyFill="1" applyBorder="1" applyAlignment="1" applyProtection="1">
      <alignment horizontal="center" vertical="center" wrapText="1"/>
    </xf>
    <xf numFmtId="168" fontId="33" fillId="2" borderId="1" xfId="4"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9"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168" fontId="28" fillId="0" borderId="0" xfId="0" applyNumberFormat="1" applyFont="1" applyFill="1" applyBorder="1" applyAlignment="1" applyProtection="1">
      <alignment horizontal="center" vertical="center" wrapText="1"/>
    </xf>
    <xf numFmtId="176" fontId="9" fillId="2" borderId="1" xfId="4"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3" fontId="8" fillId="0"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3" xfId="1" applyNumberFormat="1" applyFont="1" applyFill="1" applyBorder="1" applyAlignment="1" applyProtection="1">
      <alignment horizontal="left" vertical="top" wrapText="1"/>
      <protection hidden="1"/>
    </xf>
    <xf numFmtId="0" fontId="8"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21" fillId="2" borderId="2"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2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8" fillId="2" borderId="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21" fillId="2" borderId="4"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3" xfId="0" applyNumberFormat="1" applyFont="1" applyFill="1" applyBorder="1" applyAlignment="1">
      <alignment horizontal="left" vertical="top" wrapText="1"/>
    </xf>
    <xf numFmtId="0" fontId="3" fillId="2" borderId="4" xfId="0" applyNumberFormat="1" applyFont="1" applyFill="1" applyBorder="1" applyAlignment="1">
      <alignment horizontal="left" vertical="top" wrapText="1"/>
    </xf>
    <xf numFmtId="0" fontId="3" fillId="2" borderId="2" xfId="0" applyNumberFormat="1" applyFont="1" applyFill="1" applyBorder="1" applyAlignment="1">
      <alignment horizontal="left" vertical="center" wrapText="1"/>
    </xf>
    <xf numFmtId="0" fontId="3" fillId="2" borderId="4"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21" fillId="2" borderId="2"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168" fontId="3" fillId="2" borderId="2" xfId="4" applyNumberFormat="1" applyFont="1" applyFill="1" applyBorder="1" applyAlignment="1">
      <alignment horizontal="center" vertical="center" wrapText="1"/>
    </xf>
    <xf numFmtId="168" fontId="3" fillId="2" borderId="3" xfId="4"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top" wrapText="1"/>
    </xf>
    <xf numFmtId="0" fontId="3" fillId="2" borderId="3"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4" fontId="8" fillId="2" borderId="1" xfId="4" applyNumberFormat="1" applyFont="1" applyFill="1" applyBorder="1" applyAlignment="1" applyProtection="1">
      <alignment horizontal="center" vertical="center" wrapText="1"/>
      <protection hidden="1"/>
    </xf>
    <xf numFmtId="176" fontId="8" fillId="2" borderId="1" xfId="4" applyNumberFormat="1" applyFont="1" applyFill="1" applyBorder="1" applyAlignment="1">
      <alignment horizontal="center" vertical="center" wrapText="1"/>
    </xf>
    <xf numFmtId="168" fontId="84" fillId="0" borderId="36" xfId="0" applyNumberFormat="1" applyFont="1" applyFill="1" applyBorder="1" applyAlignment="1" applyProtection="1">
      <alignment horizontal="center" vertical="center"/>
    </xf>
    <xf numFmtId="0" fontId="8" fillId="2" borderId="1" xfId="0" applyNumberFormat="1" applyFont="1" applyFill="1" applyBorder="1" applyAlignment="1">
      <alignment horizontal="left" vertical="center" wrapText="1"/>
    </xf>
    <xf numFmtId="167" fontId="57" fillId="2" borderId="0" xfId="0" applyNumberFormat="1" applyFont="1" applyFill="1"/>
    <xf numFmtId="168" fontId="3"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8" fillId="2" borderId="3" xfId="0" applyNumberFormat="1" applyFont="1" applyFill="1" applyBorder="1" applyAlignment="1">
      <alignment horizontal="left" vertical="top" wrapText="1"/>
    </xf>
    <xf numFmtId="0" fontId="3" fillId="2" borderId="3" xfId="0" applyNumberFormat="1" applyFont="1" applyFill="1" applyBorder="1" applyAlignment="1">
      <alignment horizontal="left" vertical="top" wrapText="1"/>
    </xf>
    <xf numFmtId="0" fontId="8" fillId="2" borderId="1" xfId="0" applyNumberFormat="1" applyFont="1" applyFill="1" applyBorder="1" applyAlignment="1">
      <alignment horizontal="left" vertical="top" wrapText="1"/>
    </xf>
    <xf numFmtId="0" fontId="3" fillId="2" borderId="2" xfId="0" applyNumberFormat="1" applyFont="1" applyFill="1" applyBorder="1" applyAlignment="1">
      <alignment horizontal="center" vertical="top" wrapText="1"/>
    </xf>
    <xf numFmtId="0" fontId="3" fillId="2" borderId="3"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17" fillId="2" borderId="3" xfId="0" applyNumberFormat="1" applyFont="1" applyFill="1" applyBorder="1" applyAlignment="1">
      <alignment horizontal="left" vertical="top" wrapText="1"/>
    </xf>
    <xf numFmtId="0" fontId="17" fillId="2" borderId="4" xfId="0" applyNumberFormat="1" applyFont="1" applyFill="1" applyBorder="1" applyAlignment="1">
      <alignment horizontal="left" vertical="top" wrapText="1"/>
    </xf>
    <xf numFmtId="0" fontId="3" fillId="0" borderId="3" xfId="0" applyNumberFormat="1" applyFont="1" applyFill="1" applyBorder="1" applyAlignment="1">
      <alignment horizontal="center" vertical="top" wrapText="1"/>
    </xf>
    <xf numFmtId="0" fontId="17" fillId="2" borderId="3" xfId="0" applyNumberFormat="1" applyFont="1" applyFill="1" applyBorder="1" applyAlignment="1">
      <alignment horizontal="center" vertical="top" wrapText="1"/>
    </xf>
    <xf numFmtId="4" fontId="0" fillId="2" borderId="0" xfId="0" applyNumberFormat="1" applyFill="1"/>
    <xf numFmtId="169" fontId="58" fillId="2" borderId="27" xfId="13" applyNumberFormat="1" applyFont="1" applyFill="1" applyBorder="1" applyAlignment="1">
      <alignment horizontal="center" vertical="center"/>
    </xf>
    <xf numFmtId="9" fontId="0" fillId="2" borderId="1" xfId="0" applyNumberFormat="1" applyFill="1" applyBorder="1" applyAlignment="1">
      <alignment horizontal="center" vertical="center"/>
    </xf>
    <xf numFmtId="0" fontId="0" fillId="2" borderId="13" xfId="0" applyFill="1" applyBorder="1" applyAlignment="1">
      <alignment horizontal="center" vertical="center"/>
    </xf>
    <xf numFmtId="9" fontId="60" fillId="2" borderId="1" xfId="0" applyNumberFormat="1" applyFont="1" applyFill="1" applyBorder="1" applyAlignment="1">
      <alignment horizontal="center" vertical="center"/>
    </xf>
    <xf numFmtId="0" fontId="60" fillId="2" borderId="1" xfId="0" applyFont="1" applyFill="1" applyBorder="1" applyAlignment="1">
      <alignment horizontal="center" vertical="center"/>
    </xf>
    <xf numFmtId="0" fontId="56" fillId="2" borderId="0" xfId="0" applyFont="1" applyFill="1" applyAlignment="1">
      <alignment horizontal="center"/>
    </xf>
    <xf numFmtId="0" fontId="53" fillId="2" borderId="1" xfId="14" applyFont="1" applyFill="1" applyBorder="1" applyAlignment="1">
      <alignment vertical="center" wrapText="1"/>
    </xf>
    <xf numFmtId="167" fontId="86" fillId="2" borderId="1" xfId="0" applyNumberFormat="1" applyFont="1" applyFill="1" applyBorder="1" applyAlignment="1">
      <alignment horizontal="center" vertical="center" wrapText="1"/>
    </xf>
    <xf numFmtId="0" fontId="36" fillId="0" borderId="1" xfId="0" applyFont="1" applyBorder="1" applyAlignment="1">
      <alignment vertical="center" wrapText="1"/>
    </xf>
    <xf numFmtId="0" fontId="85" fillId="0" borderId="1" xfId="14" applyFont="1" applyFill="1" applyBorder="1" applyAlignment="1">
      <alignment vertical="center" wrapText="1"/>
    </xf>
    <xf numFmtId="0" fontId="50" fillId="0" borderId="1" xfId="0" applyFont="1" applyFill="1" applyBorder="1" applyAlignment="1">
      <alignment vertical="center" wrapText="1"/>
    </xf>
    <xf numFmtId="0" fontId="53" fillId="0" borderId="1" xfId="14" applyFont="1" applyFill="1" applyBorder="1" applyAlignment="1">
      <alignment vertical="center" wrapText="1"/>
    </xf>
    <xf numFmtId="0" fontId="50" fillId="2" borderId="1" xfId="0" applyFont="1" applyFill="1" applyBorder="1" applyAlignment="1">
      <alignment vertical="center" wrapText="1"/>
    </xf>
    <xf numFmtId="0" fontId="81" fillId="0" borderId="1" xfId="14" applyFont="1" applyFill="1" applyBorder="1" applyAlignment="1">
      <alignment vertical="center" wrapText="1"/>
    </xf>
    <xf numFmtId="4" fontId="50" fillId="0" borderId="1" xfId="0" applyNumberFormat="1" applyFont="1" applyFill="1" applyBorder="1" applyAlignment="1">
      <alignment vertical="center" wrapText="1"/>
    </xf>
    <xf numFmtId="168" fontId="50" fillId="0" borderId="1" xfId="0" applyNumberFormat="1" applyFont="1" applyFill="1" applyBorder="1" applyAlignment="1">
      <alignment horizontal="center" vertical="center" wrapText="1"/>
    </xf>
    <xf numFmtId="4" fontId="53" fillId="0" borderId="1" xfId="14" applyNumberFormat="1" applyFont="1" applyFill="1" applyBorder="1" applyAlignment="1">
      <alignment vertical="center" wrapText="1"/>
    </xf>
    <xf numFmtId="4" fontId="53" fillId="2" borderId="1" xfId="14" applyNumberFormat="1" applyFont="1" applyFill="1" applyBorder="1" applyAlignment="1">
      <alignment vertical="center" wrapText="1"/>
    </xf>
    <xf numFmtId="4" fontId="50" fillId="2" borderId="1" xfId="0" applyNumberFormat="1" applyFont="1" applyFill="1" applyBorder="1" applyAlignment="1">
      <alignment vertical="center" wrapText="1"/>
    </xf>
    <xf numFmtId="167" fontId="50" fillId="3" borderId="1" xfId="0" applyNumberFormat="1" applyFont="1" applyFill="1" applyBorder="1" applyAlignment="1">
      <alignment horizontal="center" vertical="center" wrapText="1"/>
    </xf>
    <xf numFmtId="0" fontId="17" fillId="0" borderId="1" xfId="0" applyFont="1" applyBorder="1" applyAlignment="1">
      <alignment vertical="center" wrapText="1"/>
    </xf>
    <xf numFmtId="4" fontId="17" fillId="0" borderId="1" xfId="0" applyNumberFormat="1" applyFont="1" applyBorder="1" applyAlignment="1">
      <alignment horizontal="center" vertical="center" wrapText="1"/>
    </xf>
    <xf numFmtId="168" fontId="17" fillId="2" borderId="22" xfId="0" applyNumberFormat="1" applyFont="1" applyFill="1" applyBorder="1" applyAlignment="1">
      <alignment horizontal="center" vertical="center" wrapText="1"/>
    </xf>
    <xf numFmtId="168" fontId="17" fillId="2" borderId="1" xfId="0" applyNumberFormat="1" applyFont="1" applyFill="1" applyBorder="1" applyAlignment="1">
      <alignment horizontal="center" vertical="center" wrapText="1"/>
    </xf>
    <xf numFmtId="168" fontId="17" fillId="0" borderId="1" xfId="0" applyNumberFormat="1" applyFont="1" applyBorder="1" applyAlignment="1">
      <alignment horizontal="center" vertical="center" wrapText="1"/>
    </xf>
    <xf numFmtId="168" fontId="17" fillId="2" borderId="25" xfId="0" applyNumberFormat="1" applyFont="1" applyFill="1" applyBorder="1" applyAlignment="1">
      <alignment horizontal="center" vertical="center" wrapText="1"/>
    </xf>
    <xf numFmtId="168" fontId="17" fillId="0" borderId="25" xfId="0" applyNumberFormat="1" applyFont="1" applyBorder="1" applyAlignment="1">
      <alignment horizontal="center" vertical="center" wrapText="1"/>
    </xf>
    <xf numFmtId="0" fontId="53" fillId="0" borderId="35" xfId="14" applyFont="1" applyFill="1" applyBorder="1" applyAlignment="1">
      <alignment vertical="center" wrapText="1"/>
    </xf>
    <xf numFmtId="167" fontId="50" fillId="2" borderId="2" xfId="0" applyNumberFormat="1" applyFont="1" applyFill="1" applyBorder="1" applyAlignment="1">
      <alignment horizontal="center" vertical="center" wrapText="1"/>
    </xf>
    <xf numFmtId="167" fontId="50" fillId="0" borderId="2" xfId="0"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168" fontId="21" fillId="2" borderId="1" xfId="0" applyNumberFormat="1" applyFont="1" applyFill="1" applyBorder="1" applyAlignment="1">
      <alignment vertical="top" wrapText="1"/>
    </xf>
    <xf numFmtId="0" fontId="8" fillId="2" borderId="3" xfId="0" applyNumberFormat="1" applyFont="1" applyFill="1" applyBorder="1" applyAlignment="1">
      <alignment horizontal="left" vertical="top" wrapText="1"/>
    </xf>
    <xf numFmtId="0" fontId="3" fillId="2" borderId="3" xfId="0" applyNumberFormat="1" applyFont="1" applyFill="1" applyBorder="1" applyAlignment="1">
      <alignment horizontal="left" vertical="top" wrapText="1"/>
    </xf>
    <xf numFmtId="0" fontId="8" fillId="2" borderId="1" xfId="0" applyNumberFormat="1" applyFont="1" applyFill="1" applyBorder="1" applyAlignment="1">
      <alignment horizontal="left" vertical="center" wrapText="1"/>
    </xf>
    <xf numFmtId="0" fontId="8" fillId="2" borderId="4" xfId="0" applyNumberFormat="1" applyFont="1" applyFill="1" applyBorder="1" applyAlignment="1">
      <alignment horizontal="center" vertical="center" wrapText="1"/>
    </xf>
    <xf numFmtId="168" fontId="58" fillId="0" borderId="0" xfId="0" applyNumberFormat="1" applyFont="1" applyFill="1" applyAlignment="1">
      <alignment horizontal="center" vertical="center" wrapText="1"/>
    </xf>
    <xf numFmtId="168" fontId="58" fillId="0"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176" fontId="8" fillId="2" borderId="1" xfId="4" applyNumberFormat="1" applyFont="1" applyFill="1" applyBorder="1" applyAlignment="1" applyProtection="1">
      <alignment horizontal="center" vertical="center" wrapText="1"/>
      <protection hidden="1"/>
    </xf>
    <xf numFmtId="0" fontId="0" fillId="8" borderId="0" xfId="0" applyFill="1"/>
    <xf numFmtId="0" fontId="39" fillId="8" borderId="0" xfId="0" applyFont="1" applyFill="1" applyAlignment="1">
      <alignment vertical="center"/>
    </xf>
    <xf numFmtId="0" fontId="39" fillId="8" borderId="0" xfId="0" applyFont="1" applyFill="1"/>
    <xf numFmtId="0" fontId="39" fillId="8" borderId="2" xfId="0" applyFont="1" applyFill="1" applyBorder="1" applyAlignment="1">
      <alignment horizontal="center" vertical="center" wrapText="1"/>
    </xf>
    <xf numFmtId="0" fontId="39" fillId="8" borderId="1" xfId="0" applyFont="1" applyFill="1" applyBorder="1" applyAlignment="1">
      <alignment horizontal="center" vertical="center" wrapText="1"/>
    </xf>
    <xf numFmtId="2" fontId="39" fillId="8" borderId="2" xfId="0" applyNumberFormat="1" applyFont="1" applyFill="1" applyBorder="1" applyAlignment="1">
      <alignment horizontal="center" vertical="center" wrapText="1"/>
    </xf>
    <xf numFmtId="2" fontId="39" fillId="8" borderId="14" xfId="0" applyNumberFormat="1" applyFont="1" applyFill="1" applyBorder="1" applyAlignment="1">
      <alignment horizontal="center" vertical="center" wrapText="1"/>
    </xf>
    <xf numFmtId="2" fontId="39" fillId="8" borderId="1" xfId="0" applyNumberFormat="1" applyFont="1" applyFill="1" applyBorder="1" applyAlignment="1">
      <alignment horizontal="center" vertical="center" wrapText="1"/>
    </xf>
    <xf numFmtId="2" fontId="39" fillId="8" borderId="9" xfId="0" applyNumberFormat="1" applyFont="1" applyFill="1" applyBorder="1" applyAlignment="1">
      <alignment horizontal="center" vertical="center" wrapText="1"/>
    </xf>
    <xf numFmtId="169" fontId="39" fillId="8" borderId="19" xfId="4" applyNumberFormat="1" applyFont="1" applyFill="1" applyBorder="1" applyAlignment="1">
      <alignment horizontal="center" vertical="center" wrapText="1"/>
    </xf>
    <xf numFmtId="169" fontId="67" fillId="8" borderId="20" xfId="4" applyNumberFormat="1" applyFont="1" applyFill="1" applyBorder="1" applyAlignment="1">
      <alignment horizontal="center" vertical="center" wrapText="1"/>
    </xf>
    <xf numFmtId="169" fontId="39" fillId="8" borderId="20" xfId="4" applyNumberFormat="1" applyFont="1" applyFill="1" applyBorder="1" applyAlignment="1">
      <alignment horizontal="center" vertical="center" wrapText="1"/>
    </xf>
    <xf numFmtId="169" fontId="39" fillId="8" borderId="18" xfId="4" applyNumberFormat="1" applyFont="1" applyFill="1" applyBorder="1" applyAlignment="1">
      <alignment horizontal="center" vertical="center" wrapText="1"/>
    </xf>
    <xf numFmtId="173" fontId="39" fillId="8" borderId="20" xfId="4" applyNumberFormat="1" applyFont="1" applyFill="1" applyBorder="1" applyAlignment="1">
      <alignment horizontal="center" vertical="center" wrapText="1"/>
    </xf>
    <xf numFmtId="2" fontId="39" fillId="8" borderId="20" xfId="4" applyNumberFormat="1" applyFont="1" applyFill="1" applyBorder="1" applyAlignment="1">
      <alignment horizontal="center" vertical="center" wrapText="1"/>
    </xf>
    <xf numFmtId="2" fontId="39" fillId="8" borderId="3" xfId="4" applyNumberFormat="1" applyFont="1" applyFill="1" applyBorder="1" applyAlignment="1">
      <alignment horizontal="center" vertical="center" wrapText="1"/>
    </xf>
    <xf numFmtId="2" fontId="39" fillId="8" borderId="1" xfId="4" applyNumberFormat="1" applyFont="1" applyFill="1" applyBorder="1" applyAlignment="1">
      <alignment horizontal="center" vertical="center" wrapText="1"/>
    </xf>
    <xf numFmtId="4" fontId="39" fillId="8" borderId="20" xfId="4" applyNumberFormat="1" applyFont="1" applyFill="1" applyBorder="1" applyAlignment="1">
      <alignment horizontal="center" vertical="center" wrapText="1"/>
    </xf>
    <xf numFmtId="169" fontId="67" fillId="8" borderId="18" xfId="4" applyNumberFormat="1" applyFont="1" applyFill="1" applyBorder="1" applyAlignment="1">
      <alignment horizontal="center" vertical="center" wrapText="1"/>
    </xf>
    <xf numFmtId="169" fontId="39" fillId="8" borderId="3" xfId="4" applyNumberFormat="1" applyFont="1" applyFill="1" applyBorder="1" applyAlignment="1">
      <alignment horizontal="center" vertical="center" wrapText="1"/>
    </xf>
    <xf numFmtId="169" fontId="39" fillId="8" borderId="1" xfId="4" applyNumberFormat="1" applyFont="1" applyFill="1" applyBorder="1" applyAlignment="1">
      <alignment horizontal="center" vertical="center" wrapText="1"/>
    </xf>
    <xf numFmtId="174" fontId="39" fillId="8" borderId="1" xfId="12" applyNumberFormat="1" applyFont="1" applyFill="1" applyBorder="1" applyAlignment="1">
      <alignment horizontal="center" vertical="center" wrapText="1"/>
    </xf>
    <xf numFmtId="169" fontId="39" fillId="8" borderId="1" xfId="12" applyNumberFormat="1" applyFont="1" applyFill="1" applyBorder="1" applyAlignment="1">
      <alignment horizontal="center" vertical="center" wrapText="1"/>
    </xf>
    <xf numFmtId="169" fontId="39" fillId="8" borderId="1" xfId="0" applyNumberFormat="1" applyFont="1" applyFill="1" applyBorder="1" applyAlignment="1">
      <alignment horizontal="center" vertical="center" wrapText="1"/>
    </xf>
    <xf numFmtId="169" fontId="39" fillId="8" borderId="4" xfId="4" applyNumberFormat="1" applyFont="1" applyFill="1" applyBorder="1" applyAlignment="1">
      <alignment horizontal="center" vertical="center" wrapText="1"/>
    </xf>
    <xf numFmtId="169" fontId="39" fillId="8" borderId="21" xfId="4" applyNumberFormat="1" applyFont="1" applyFill="1" applyBorder="1" applyAlignment="1">
      <alignment horizontal="center" vertical="center" wrapText="1"/>
    </xf>
    <xf numFmtId="2" fontId="39" fillId="8" borderId="4" xfId="4" applyNumberFormat="1" applyFont="1" applyFill="1" applyBorder="1" applyAlignment="1">
      <alignment horizontal="center" vertical="center" wrapText="1"/>
    </xf>
    <xf numFmtId="166" fontId="40" fillId="8" borderId="0" xfId="4" applyNumberFormat="1" applyFont="1" applyFill="1" applyBorder="1" applyAlignment="1">
      <alignment horizontal="center" vertical="center" wrapText="1"/>
    </xf>
    <xf numFmtId="0" fontId="39" fillId="8" borderId="0" xfId="0" applyFont="1" applyFill="1" applyAlignment="1">
      <alignment horizontal="left" vertical="center"/>
    </xf>
    <xf numFmtId="169" fontId="0" fillId="8" borderId="0" xfId="0" applyNumberFormat="1" applyFill="1"/>
    <xf numFmtId="167" fontId="0" fillId="8" borderId="0" xfId="0" applyNumberFormat="1" applyFill="1"/>
    <xf numFmtId="0" fontId="0" fillId="8" borderId="1" xfId="0" applyFill="1" applyBorder="1"/>
    <xf numFmtId="166" fontId="0" fillId="8" borderId="1" xfId="0" applyNumberFormat="1" applyFill="1" applyBorder="1"/>
    <xf numFmtId="4" fontId="8" fillId="2" borderId="1" xfId="4" applyNumberFormat="1" applyFont="1" applyFill="1" applyBorder="1" applyAlignment="1">
      <alignment horizontal="center" vertical="center" wrapText="1"/>
    </xf>
    <xf numFmtId="176" fontId="8" fillId="2" borderId="4" xfId="4" applyNumberFormat="1" applyFont="1" applyFill="1" applyBorder="1" applyAlignment="1" applyProtection="1">
      <alignment horizontal="center" vertical="center" wrapText="1"/>
      <protection hidden="1"/>
    </xf>
    <xf numFmtId="4" fontId="8" fillId="2" borderId="4" xfId="4" applyNumberFormat="1" applyFont="1" applyFill="1" applyBorder="1" applyAlignment="1">
      <alignment horizontal="center" vertical="center" wrapText="1"/>
    </xf>
    <xf numFmtId="0" fontId="35" fillId="2" borderId="0" xfId="0" applyFont="1" applyFill="1" applyBorder="1" applyAlignment="1">
      <alignment vertical="center" wrapText="1"/>
    </xf>
    <xf numFmtId="0" fontId="35" fillId="2" borderId="1" xfId="0" applyFont="1" applyFill="1" applyBorder="1" applyAlignment="1">
      <alignment vertical="center" wrapText="1"/>
    </xf>
    <xf numFmtId="0" fontId="3" fillId="2" borderId="1" xfId="0" applyFont="1" applyFill="1" applyBorder="1" applyAlignment="1">
      <alignment vertical="center" wrapText="1"/>
    </xf>
    <xf numFmtId="167" fontId="86" fillId="0" borderId="1" xfId="0" applyNumberFormat="1" applyFont="1" applyFill="1" applyBorder="1" applyAlignment="1">
      <alignment horizontal="center" vertical="center" wrapText="1"/>
    </xf>
    <xf numFmtId="167" fontId="50" fillId="0" borderId="25" xfId="0" applyNumberFormat="1" applyFont="1" applyFill="1" applyBorder="1" applyAlignment="1">
      <alignment horizontal="center" vertical="center" wrapText="1"/>
    </xf>
    <xf numFmtId="0" fontId="0" fillId="0" borderId="1" xfId="0" applyFill="1" applyBorder="1"/>
    <xf numFmtId="168" fontId="3" fillId="0" borderId="2" xfId="4" applyNumberFormat="1" applyFont="1" applyFill="1" applyBorder="1" applyAlignment="1">
      <alignment horizontal="center" vertical="center" wrapText="1"/>
    </xf>
    <xf numFmtId="167" fontId="50" fillId="0" borderId="4" xfId="0" applyNumberFormat="1" applyFont="1" applyFill="1" applyBorder="1" applyAlignment="1">
      <alignment horizontal="center" vertical="center" wrapText="1"/>
    </xf>
    <xf numFmtId="0" fontId="0" fillId="0" borderId="12" xfId="0" applyFill="1" applyBorder="1"/>
    <xf numFmtId="168" fontId="17" fillId="0" borderId="22" xfId="0" applyNumberFormat="1" applyFont="1" applyFill="1" applyBorder="1" applyAlignment="1">
      <alignment horizontal="center" vertical="center" wrapText="1"/>
    </xf>
    <xf numFmtId="168" fontId="17" fillId="0" borderId="1" xfId="0" applyNumberFormat="1" applyFont="1" applyFill="1" applyBorder="1" applyAlignment="1">
      <alignment horizontal="center" vertical="center" wrapText="1"/>
    </xf>
    <xf numFmtId="168" fontId="17" fillId="0" borderId="25" xfId="0" applyNumberFormat="1" applyFont="1" applyFill="1" applyBorder="1" applyAlignment="1">
      <alignment horizontal="center" vertical="center" wrapText="1"/>
    </xf>
    <xf numFmtId="167" fontId="0" fillId="0" borderId="0" xfId="0" applyNumberFormat="1" applyFill="1"/>
    <xf numFmtId="0" fontId="0" fillId="0" borderId="0" xfId="0" applyFill="1"/>
    <xf numFmtId="167" fontId="57" fillId="0" borderId="0" xfId="0" applyNumberFormat="1" applyFont="1" applyFill="1"/>
    <xf numFmtId="0" fontId="0" fillId="0" borderId="0" xfId="0" applyFill="1" applyAlignment="1">
      <alignment horizontal="center" vertical="center"/>
    </xf>
    <xf numFmtId="169" fontId="58" fillId="0" borderId="29" xfId="13" applyNumberFormat="1" applyFont="1" applyFill="1" applyBorder="1" applyAlignment="1">
      <alignment horizontal="center" vertical="center"/>
    </xf>
    <xf numFmtId="169" fontId="58" fillId="0" borderId="3" xfId="13" applyNumberFormat="1" applyFont="1" applyFill="1" applyBorder="1" applyAlignment="1">
      <alignment horizontal="center" vertical="center"/>
    </xf>
    <xf numFmtId="173" fontId="0" fillId="0" borderId="0" xfId="0" applyNumberFormat="1" applyFill="1" applyAlignment="1">
      <alignment horizontal="center" vertical="center"/>
    </xf>
    <xf numFmtId="165" fontId="57" fillId="0" borderId="0" xfId="0" applyNumberFormat="1" applyFont="1" applyFill="1" applyAlignment="1">
      <alignment horizontal="center" vertical="center"/>
    </xf>
    <xf numFmtId="165" fontId="59" fillId="0" borderId="0" xfId="0" applyNumberFormat="1" applyFont="1" applyFill="1" applyAlignment="1">
      <alignment horizontal="center" vertical="center"/>
    </xf>
    <xf numFmtId="165" fontId="57" fillId="0" borderId="1" xfId="0" applyNumberFormat="1" applyFont="1" applyFill="1" applyBorder="1" applyAlignment="1">
      <alignment horizontal="center" vertical="center"/>
    </xf>
    <xf numFmtId="165" fontId="59" fillId="0" borderId="1" xfId="0" applyNumberFormat="1" applyFont="1" applyFill="1" applyBorder="1" applyAlignment="1">
      <alignment horizontal="center" vertical="center"/>
    </xf>
    <xf numFmtId="165" fontId="0" fillId="0" borderId="0" xfId="0" applyNumberFormat="1" applyFill="1"/>
    <xf numFmtId="165" fontId="0" fillId="0" borderId="1" xfId="0" applyNumberFormat="1" applyFill="1" applyBorder="1"/>
    <xf numFmtId="174" fontId="0" fillId="0" borderId="1" xfId="0" applyNumberFormat="1" applyFill="1" applyBorder="1" applyAlignment="1">
      <alignment horizontal="center"/>
    </xf>
    <xf numFmtId="174" fontId="0" fillId="0" borderId="0" xfId="0" applyNumberFormat="1" applyFill="1" applyAlignment="1">
      <alignment horizontal="center" vertical="center"/>
    </xf>
    <xf numFmtId="174" fontId="0" fillId="0" borderId="8" xfId="0" applyNumberFormat="1" applyFill="1" applyBorder="1" applyAlignment="1">
      <alignment horizontal="center" vertical="center"/>
    </xf>
    <xf numFmtId="165" fontId="0" fillId="0" borderId="1" xfId="0" applyNumberFormat="1" applyFill="1" applyBorder="1" applyAlignment="1">
      <alignment horizontal="center" vertical="center"/>
    </xf>
    <xf numFmtId="10" fontId="0" fillId="0" borderId="0" xfId="0" applyNumberFormat="1" applyFill="1" applyAlignment="1">
      <alignment horizontal="center" vertical="center"/>
    </xf>
    <xf numFmtId="174" fontId="0" fillId="0" borderId="0" xfId="0" applyNumberFormat="1" applyFill="1"/>
    <xf numFmtId="0" fontId="61" fillId="0" borderId="1" xfId="0" applyFont="1" applyFill="1" applyBorder="1" applyAlignment="1">
      <alignment horizontal="center" vertical="center" wrapText="1"/>
    </xf>
    <xf numFmtId="165" fontId="0" fillId="0" borderId="4" xfId="0" applyNumberFormat="1" applyFill="1" applyBorder="1" applyAlignment="1">
      <alignment horizontal="center" vertical="center"/>
    </xf>
    <xf numFmtId="169" fontId="0" fillId="0" borderId="1" xfId="0" applyNumberFormat="1" applyFont="1" applyFill="1" applyBorder="1" applyAlignment="1">
      <alignment horizontal="center" vertical="center"/>
    </xf>
    <xf numFmtId="167" fontId="56" fillId="0" borderId="0" xfId="0" applyNumberFormat="1" applyFont="1" applyFill="1" applyAlignment="1">
      <alignment horizontal="center" vertical="center"/>
    </xf>
    <xf numFmtId="4" fontId="2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5" fillId="2" borderId="30" xfId="0" applyFont="1" applyFill="1" applyBorder="1" applyAlignment="1">
      <alignment horizontal="center"/>
    </xf>
    <xf numFmtId="0" fontId="35" fillId="2" borderId="11" xfId="0" applyFont="1" applyFill="1" applyBorder="1" applyAlignment="1">
      <alignment horizontal="center"/>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12" xfId="0" applyNumberFormat="1" applyFont="1" applyFill="1" applyBorder="1" applyAlignment="1">
      <alignment horizontal="center" vertical="center" wrapText="1"/>
    </xf>
    <xf numFmtId="0" fontId="3" fillId="2" borderId="13" xfId="0" applyNumberFormat="1" applyFont="1" applyFill="1" applyBorder="1" applyAlignment="1">
      <alignment horizontal="center" vertical="center" wrapText="1"/>
    </xf>
    <xf numFmtId="0" fontId="3" fillId="2" borderId="14" xfId="0" applyNumberFormat="1" applyFont="1" applyFill="1" applyBorder="1" applyAlignment="1">
      <alignment horizontal="center" vertical="center" wrapText="1"/>
    </xf>
    <xf numFmtId="0" fontId="35" fillId="2" borderId="0" xfId="0" applyFont="1" applyFill="1" applyAlignment="1">
      <alignment horizontal="left" vertical="center" wrapText="1"/>
    </xf>
    <xf numFmtId="0" fontId="35" fillId="2" borderId="0" xfId="0" applyFont="1" applyFill="1" applyAlignment="1">
      <alignment horizontal="center" vertical="center"/>
    </xf>
    <xf numFmtId="0" fontId="35" fillId="2" borderId="0" xfId="0" applyFont="1" applyFill="1" applyAlignment="1">
      <alignment horizontal="center" wrapText="1"/>
    </xf>
    <xf numFmtId="0" fontId="35" fillId="2" borderId="0" xfId="0" applyFont="1" applyFill="1" applyAlignment="1">
      <alignment horizontal="center" vertical="center" wrapText="1"/>
    </xf>
    <xf numFmtId="0" fontId="37" fillId="2" borderId="0" xfId="0" applyFont="1" applyFill="1" applyAlignment="1">
      <alignment horizontal="right" vertical="center"/>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73" fontId="35" fillId="2" borderId="0" xfId="0" applyNumberFormat="1" applyFont="1" applyFill="1" applyBorder="1" applyAlignment="1">
      <alignment horizontal="left"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top" wrapText="1"/>
    </xf>
    <xf numFmtId="0" fontId="3" fillId="0" borderId="3" xfId="0" applyNumberFormat="1" applyFont="1" applyFill="1" applyBorder="1" applyAlignment="1">
      <alignment horizontal="center" vertical="top" wrapText="1"/>
    </xf>
    <xf numFmtId="0" fontId="3" fillId="0" borderId="4" xfId="0" applyNumberFormat="1" applyFont="1" applyFill="1" applyBorder="1" applyAlignment="1">
      <alignment horizontal="center" vertical="top" wrapText="1"/>
    </xf>
    <xf numFmtId="0" fontId="3" fillId="0" borderId="6"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17" fillId="2" borderId="2" xfId="0" applyNumberFormat="1" applyFont="1" applyFill="1" applyBorder="1" applyAlignment="1">
      <alignment horizontal="left" vertical="top" wrapText="1"/>
    </xf>
    <xf numFmtId="0" fontId="17" fillId="2" borderId="3" xfId="0" applyNumberFormat="1" applyFont="1" applyFill="1" applyBorder="1" applyAlignment="1">
      <alignment horizontal="left" vertical="top" wrapText="1"/>
    </xf>
    <xf numFmtId="0" fontId="17" fillId="2" borderId="4" xfId="0" applyNumberFormat="1" applyFont="1" applyFill="1" applyBorder="1" applyAlignment="1">
      <alignment horizontal="left" vertical="top" wrapText="1"/>
    </xf>
    <xf numFmtId="0" fontId="3" fillId="2" borderId="1" xfId="0" applyNumberFormat="1" applyFont="1" applyFill="1" applyBorder="1" applyAlignment="1">
      <alignment horizontal="left" vertical="top" wrapText="1"/>
    </xf>
    <xf numFmtId="0" fontId="3" fillId="2" borderId="2" xfId="0" applyNumberFormat="1" applyFont="1" applyFill="1" applyBorder="1" applyAlignment="1">
      <alignment horizontal="left" vertical="top" wrapText="1"/>
    </xf>
    <xf numFmtId="0" fontId="3" fillId="2" borderId="3" xfId="0" applyNumberFormat="1" applyFont="1" applyFill="1" applyBorder="1" applyAlignment="1">
      <alignment horizontal="left" vertical="top" wrapText="1"/>
    </xf>
    <xf numFmtId="0" fontId="3" fillId="2" borderId="4" xfId="0" applyNumberFormat="1" applyFont="1" applyFill="1" applyBorder="1" applyAlignment="1">
      <alignment horizontal="left" vertical="top" wrapText="1"/>
    </xf>
    <xf numFmtId="0" fontId="3" fillId="2" borderId="2" xfId="0" applyNumberFormat="1" applyFont="1" applyFill="1" applyBorder="1" applyAlignment="1">
      <alignment horizontal="center" vertical="top" wrapText="1"/>
    </xf>
    <xf numFmtId="0" fontId="3" fillId="2" borderId="3" xfId="0" applyNumberFormat="1" applyFont="1" applyFill="1" applyBorder="1" applyAlignment="1">
      <alignment horizontal="center" vertical="top" wrapText="1"/>
    </xf>
    <xf numFmtId="0" fontId="3" fillId="2" borderId="4" xfId="0" applyNumberFormat="1" applyFont="1" applyFill="1" applyBorder="1" applyAlignment="1">
      <alignment horizontal="center" vertical="top" wrapText="1"/>
    </xf>
    <xf numFmtId="0" fontId="3" fillId="2" borderId="3" xfId="0" applyNumberFormat="1" applyFont="1" applyFill="1" applyBorder="1" applyAlignment="1">
      <alignment horizontal="center" vertical="center" wrapText="1"/>
    </xf>
    <xf numFmtId="0" fontId="17" fillId="2" borderId="2" xfId="0" applyNumberFormat="1" applyFont="1" applyFill="1" applyBorder="1" applyAlignment="1">
      <alignment horizontal="center" vertical="top" wrapText="1"/>
    </xf>
    <xf numFmtId="0" fontId="17" fillId="2" borderId="3" xfId="0" applyNumberFormat="1" applyFont="1" applyFill="1" applyBorder="1" applyAlignment="1">
      <alignment horizontal="center" vertical="top" wrapText="1"/>
    </xf>
    <xf numFmtId="0" fontId="17" fillId="2" borderId="4" xfId="0" applyNumberFormat="1"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0" fontId="8" fillId="0" borderId="2" xfId="0" applyNumberFormat="1" applyFont="1" applyFill="1" applyBorder="1" applyAlignment="1">
      <alignment horizontal="left" vertical="top" wrapText="1"/>
    </xf>
    <xf numFmtId="0" fontId="8" fillId="0" borderId="3" xfId="0" applyNumberFormat="1" applyFont="1" applyFill="1" applyBorder="1" applyAlignment="1">
      <alignment horizontal="left" vertical="top" wrapText="1"/>
    </xf>
    <xf numFmtId="0" fontId="8" fillId="0" borderId="4" xfId="0" applyNumberFormat="1" applyFont="1" applyFill="1" applyBorder="1" applyAlignment="1">
      <alignment horizontal="left" vertical="top" wrapText="1"/>
    </xf>
    <xf numFmtId="0" fontId="8" fillId="2" borderId="2" xfId="0" applyNumberFormat="1" applyFont="1" applyFill="1" applyBorder="1" applyAlignment="1">
      <alignment horizontal="left" vertical="top" wrapText="1"/>
    </xf>
    <xf numFmtId="0" fontId="8" fillId="2" borderId="3" xfId="0" applyNumberFormat="1" applyFont="1" applyFill="1" applyBorder="1" applyAlignment="1">
      <alignment horizontal="left" vertical="top" wrapText="1"/>
    </xf>
    <xf numFmtId="0" fontId="8" fillId="2" borderId="4" xfId="0" applyNumberFormat="1" applyFont="1" applyFill="1" applyBorder="1" applyAlignment="1">
      <alignment horizontal="left" vertical="top" wrapText="1"/>
    </xf>
    <xf numFmtId="0" fontId="9" fillId="2" borderId="2" xfId="0" applyNumberFormat="1" applyFont="1" applyFill="1" applyBorder="1" applyAlignment="1">
      <alignment horizontal="left" vertical="top" wrapText="1"/>
    </xf>
    <xf numFmtId="0" fontId="9" fillId="2" borderId="3" xfId="0" applyNumberFormat="1" applyFont="1" applyFill="1" applyBorder="1" applyAlignment="1">
      <alignment horizontal="left" vertical="top" wrapText="1"/>
    </xf>
    <xf numFmtId="0" fontId="9" fillId="2" borderId="4" xfId="0" applyNumberFormat="1" applyFont="1" applyFill="1" applyBorder="1" applyAlignment="1">
      <alignment horizontal="left" vertical="top" wrapText="1"/>
    </xf>
    <xf numFmtId="0" fontId="8" fillId="2" borderId="1" xfId="0" applyNumberFormat="1" applyFont="1" applyFill="1" applyBorder="1" applyAlignment="1">
      <alignment horizontal="left" vertical="top" wrapText="1"/>
    </xf>
    <xf numFmtId="0" fontId="8" fillId="2" borderId="2"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3" fillId="2" borderId="2" xfId="1" applyNumberFormat="1" applyFont="1" applyFill="1" applyBorder="1" applyAlignment="1" applyProtection="1">
      <alignment horizontal="left" vertical="top" wrapText="1"/>
      <protection hidden="1"/>
    </xf>
    <xf numFmtId="0" fontId="3" fillId="2" borderId="4" xfId="1" applyNumberFormat="1" applyFont="1" applyFill="1" applyBorder="1" applyAlignment="1" applyProtection="1">
      <alignment horizontal="left" vertical="top" wrapText="1"/>
      <protection hidden="1"/>
    </xf>
    <xf numFmtId="0" fontId="3" fillId="2" borderId="3" xfId="1" applyNumberFormat="1" applyFont="1" applyFill="1" applyBorder="1" applyAlignment="1" applyProtection="1">
      <alignment horizontal="left" vertical="top" wrapText="1"/>
      <protection hidden="1"/>
    </xf>
    <xf numFmtId="0" fontId="6" fillId="2" borderId="0" xfId="0" applyNumberFormat="1" applyFont="1" applyFill="1" applyAlignment="1">
      <alignment horizontal="left" vertical="center" wrapText="1"/>
    </xf>
    <xf numFmtId="0" fontId="13" fillId="2"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11" fillId="2" borderId="2" xfId="0" applyNumberFormat="1" applyFont="1" applyFill="1" applyBorder="1" applyAlignment="1">
      <alignment horizontal="left" vertical="top" wrapText="1"/>
    </xf>
    <xf numFmtId="0" fontId="11" fillId="2" borderId="3" xfId="0" applyNumberFormat="1" applyFont="1" applyFill="1" applyBorder="1" applyAlignment="1">
      <alignment horizontal="left" vertical="top" wrapText="1"/>
    </xf>
    <xf numFmtId="0" fontId="11" fillId="2" borderId="4" xfId="0" applyNumberFormat="1" applyFont="1" applyFill="1" applyBorder="1" applyAlignment="1">
      <alignment horizontal="left" vertical="top" wrapText="1"/>
    </xf>
    <xf numFmtId="0" fontId="8" fillId="2" borderId="12" xfId="0" applyNumberFormat="1" applyFont="1" applyFill="1" applyBorder="1" applyAlignment="1">
      <alignment horizontal="left" vertical="center" wrapText="1"/>
    </xf>
    <xf numFmtId="0" fontId="8" fillId="2" borderId="13" xfId="0" applyNumberFormat="1" applyFont="1" applyFill="1" applyBorder="1" applyAlignment="1">
      <alignment horizontal="left" vertical="center" wrapText="1"/>
    </xf>
    <xf numFmtId="0" fontId="8" fillId="2" borderId="14" xfId="0" applyNumberFormat="1" applyFont="1" applyFill="1" applyBorder="1" applyAlignment="1">
      <alignment horizontal="left" vertical="center" wrapText="1"/>
    </xf>
    <xf numFmtId="0" fontId="8" fillId="2" borderId="3" xfId="1" applyNumberFormat="1" applyFont="1" applyFill="1" applyBorder="1" applyAlignment="1" applyProtection="1">
      <alignment horizontal="left" vertical="top" wrapText="1"/>
      <protection hidden="1"/>
    </xf>
    <xf numFmtId="0" fontId="8" fillId="2" borderId="4" xfId="1" applyNumberFormat="1" applyFont="1" applyFill="1" applyBorder="1" applyAlignment="1" applyProtection="1">
      <alignment horizontal="left" vertical="top" wrapText="1"/>
      <protection hidden="1"/>
    </xf>
    <xf numFmtId="0" fontId="3" fillId="2" borderId="6"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wrapText="1"/>
    </xf>
    <xf numFmtId="0" fontId="3" fillId="2" borderId="1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3" fillId="2" borderId="5" xfId="0"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3" fillId="2" borderId="4" xfId="0" applyNumberFormat="1" applyFont="1" applyFill="1" applyBorder="1" applyAlignment="1">
      <alignment horizontal="left" vertical="center" wrapText="1"/>
    </xf>
    <xf numFmtId="0" fontId="8" fillId="2" borderId="2" xfId="1" applyNumberFormat="1" applyFont="1" applyFill="1" applyBorder="1" applyAlignment="1" applyProtection="1">
      <alignment horizontal="left" vertical="top" wrapText="1"/>
      <protection hidden="1"/>
    </xf>
    <xf numFmtId="0" fontId="6" fillId="2" borderId="0" xfId="0" applyNumberFormat="1" applyFont="1" applyFill="1" applyBorder="1" applyAlignment="1">
      <alignment horizontal="left" vertical="center" wrapText="1"/>
    </xf>
    <xf numFmtId="0" fontId="3" fillId="2" borderId="1" xfId="1" applyNumberFormat="1" applyFont="1" applyFill="1" applyBorder="1" applyAlignment="1" applyProtection="1">
      <alignment horizontal="left" vertical="top" wrapText="1"/>
      <protection hidden="1"/>
    </xf>
    <xf numFmtId="0" fontId="3" fillId="2" borderId="12" xfId="0" applyNumberFormat="1" applyFont="1" applyFill="1" applyBorder="1" applyAlignment="1">
      <alignment horizontal="left" vertical="center" wrapText="1"/>
    </xf>
    <xf numFmtId="0" fontId="3" fillId="2" borderId="13" xfId="0" applyNumberFormat="1" applyFont="1" applyFill="1" applyBorder="1" applyAlignment="1">
      <alignment horizontal="left" vertical="center" wrapText="1"/>
    </xf>
    <xf numFmtId="0" fontId="3" fillId="2" borderId="14" xfId="0" applyNumberFormat="1" applyFont="1" applyFill="1" applyBorder="1" applyAlignment="1">
      <alignment horizontal="left" vertical="center" wrapText="1"/>
    </xf>
    <xf numFmtId="0" fontId="6" fillId="2" borderId="0" xfId="0" applyNumberFormat="1" applyFont="1" applyFill="1" applyBorder="1" applyAlignment="1">
      <alignment horizontal="left" vertical="top" wrapText="1"/>
    </xf>
    <xf numFmtId="0" fontId="6" fillId="2" borderId="0" xfId="1" applyNumberFormat="1" applyFont="1" applyFill="1" applyBorder="1" applyAlignment="1" applyProtection="1">
      <alignment horizontal="left" vertical="top" wrapText="1"/>
      <protection hidden="1"/>
    </xf>
    <xf numFmtId="0" fontId="3" fillId="0" borderId="2"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0" fontId="21" fillId="2" borderId="2" xfId="0" applyNumberFormat="1" applyFont="1" applyFill="1" applyBorder="1" applyAlignment="1">
      <alignment horizontal="left" vertical="top" wrapText="1"/>
    </xf>
    <xf numFmtId="0" fontId="21" fillId="2" borderId="4" xfId="0" applyNumberFormat="1" applyFont="1" applyFill="1" applyBorder="1" applyAlignment="1">
      <alignment horizontal="left" vertical="top" wrapText="1"/>
    </xf>
    <xf numFmtId="0" fontId="21" fillId="2" borderId="2"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0" fontId="21" fillId="2" borderId="2" xfId="0" applyNumberFormat="1" applyFont="1" applyFill="1" applyBorder="1" applyAlignment="1">
      <alignment horizontal="center" vertical="top"/>
    </xf>
    <xf numFmtId="0" fontId="21" fillId="2" borderId="3" xfId="0" applyNumberFormat="1" applyFont="1" applyFill="1" applyBorder="1" applyAlignment="1">
      <alignment horizontal="center" vertical="top"/>
    </xf>
    <xf numFmtId="0" fontId="21" fillId="2" borderId="4" xfId="0" applyNumberFormat="1" applyFont="1" applyFill="1" applyBorder="1" applyAlignment="1">
      <alignment horizontal="center" vertical="top"/>
    </xf>
    <xf numFmtId="0" fontId="21" fillId="2" borderId="3" xfId="0" applyNumberFormat="1" applyFont="1" applyFill="1" applyBorder="1" applyAlignment="1">
      <alignment horizontal="left" vertical="top" wrapText="1"/>
    </xf>
    <xf numFmtId="0" fontId="2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center" vertical="center"/>
    </xf>
    <xf numFmtId="0" fontId="16" fillId="0" borderId="0" xfId="0" applyNumberFormat="1" applyFont="1" applyFill="1" applyAlignment="1">
      <alignment horizontal="center" vertical="top" wrapText="1"/>
    </xf>
    <xf numFmtId="0" fontId="19" fillId="0" borderId="12" xfId="0" applyNumberFormat="1" applyFont="1" applyFill="1" applyBorder="1" applyAlignment="1">
      <alignment horizontal="center" vertical="center" wrapText="1"/>
    </xf>
    <xf numFmtId="0" fontId="19" fillId="0" borderId="14"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6" fillId="0" borderId="12" xfId="0" applyNumberFormat="1" applyFont="1" applyFill="1" applyBorder="1" applyAlignment="1">
      <alignment horizontal="center" vertical="center" wrapText="1"/>
    </xf>
    <xf numFmtId="0" fontId="16" fillId="0" borderId="14" xfId="0" applyNumberFormat="1" applyFont="1" applyFill="1" applyBorder="1" applyAlignment="1">
      <alignment horizontal="center" vertical="center" wrapText="1"/>
    </xf>
    <xf numFmtId="168" fontId="16" fillId="0" borderId="12" xfId="0" applyNumberFormat="1" applyFont="1" applyFill="1" applyBorder="1" applyAlignment="1">
      <alignment horizontal="center" vertical="center" wrapText="1"/>
    </xf>
    <xf numFmtId="169" fontId="16" fillId="0" borderId="12" xfId="0" applyNumberFormat="1" applyFont="1" applyFill="1" applyBorder="1" applyAlignment="1">
      <alignment horizontal="center" vertical="center" wrapText="1"/>
    </xf>
    <xf numFmtId="169" fontId="16" fillId="0" borderId="14" xfId="0" applyNumberFormat="1" applyFont="1" applyFill="1" applyBorder="1" applyAlignment="1">
      <alignment horizontal="center" vertical="center" wrapText="1"/>
    </xf>
    <xf numFmtId="0" fontId="21" fillId="2" borderId="2" xfId="0" applyNumberFormat="1" applyFont="1" applyFill="1" applyBorder="1" applyAlignment="1">
      <alignment horizontal="left" vertical="center" wrapText="1"/>
    </xf>
    <xf numFmtId="0" fontId="21" fillId="2" borderId="4" xfId="0" applyNumberFormat="1" applyFont="1" applyFill="1" applyBorder="1" applyAlignment="1">
      <alignment horizontal="left" vertical="center" wrapText="1"/>
    </xf>
    <xf numFmtId="0" fontId="21" fillId="2" borderId="2" xfId="0" applyNumberFormat="1" applyFont="1" applyFill="1" applyBorder="1" applyAlignment="1">
      <alignment horizontal="left" vertical="top"/>
    </xf>
    <xf numFmtId="0" fontId="21" fillId="2" borderId="3" xfId="0" applyNumberFormat="1" applyFont="1" applyFill="1" applyBorder="1" applyAlignment="1">
      <alignment horizontal="left" vertical="top"/>
    </xf>
    <xf numFmtId="0" fontId="21" fillId="2" borderId="4" xfId="0" applyNumberFormat="1" applyFont="1" applyFill="1" applyBorder="1" applyAlignment="1">
      <alignment horizontal="left" vertical="top"/>
    </xf>
    <xf numFmtId="0" fontId="33"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left" vertical="top"/>
    </xf>
    <xf numFmtId="0" fontId="33" fillId="2" borderId="2" xfId="0" applyNumberFormat="1" applyFont="1" applyFill="1" applyBorder="1" applyAlignment="1">
      <alignment horizontal="left" vertical="top" wrapText="1"/>
    </xf>
    <xf numFmtId="0" fontId="33" fillId="2" borderId="4" xfId="0" applyNumberFormat="1" applyFont="1" applyFill="1" applyBorder="1" applyAlignment="1">
      <alignment horizontal="left" vertical="top" wrapText="1"/>
    </xf>
    <xf numFmtId="0" fontId="21" fillId="2" borderId="2" xfId="0" applyNumberFormat="1" applyFont="1" applyFill="1" applyBorder="1" applyAlignment="1">
      <alignment horizontal="center" vertical="center"/>
    </xf>
    <xf numFmtId="0" fontId="21" fillId="2" borderId="3" xfId="0" applyNumberFormat="1" applyFont="1" applyFill="1" applyBorder="1" applyAlignment="1">
      <alignment horizontal="center" vertical="center"/>
    </xf>
    <xf numFmtId="0" fontId="21" fillId="2" borderId="4" xfId="0" applyNumberFormat="1" applyFont="1" applyFill="1" applyBorder="1" applyAlignment="1">
      <alignment horizontal="center" vertical="center"/>
    </xf>
    <xf numFmtId="0" fontId="34" fillId="2" borderId="2" xfId="0" applyNumberFormat="1" applyFont="1" applyFill="1" applyBorder="1" applyAlignment="1">
      <alignment horizontal="left" vertical="top" wrapText="1"/>
    </xf>
    <xf numFmtId="0" fontId="34" fillId="2" borderId="3" xfId="0" applyNumberFormat="1" applyFont="1" applyFill="1" applyBorder="1" applyAlignment="1">
      <alignment horizontal="left" vertical="top" wrapText="1"/>
    </xf>
    <xf numFmtId="0" fontId="34" fillId="2" borderId="4" xfId="0" applyNumberFormat="1" applyFont="1" applyFill="1" applyBorder="1" applyAlignment="1">
      <alignment horizontal="left" vertical="top" wrapText="1"/>
    </xf>
    <xf numFmtId="0" fontId="4" fillId="2" borderId="1" xfId="0" applyNumberFormat="1" applyFont="1" applyFill="1" applyBorder="1" applyAlignment="1">
      <alignment horizontal="left" vertical="top" wrapText="1"/>
    </xf>
    <xf numFmtId="0" fontId="16" fillId="0" borderId="1" xfId="0" applyNumberFormat="1" applyFont="1" applyFill="1" applyBorder="1" applyAlignment="1">
      <alignment horizontal="center" vertical="center" wrapText="1"/>
    </xf>
    <xf numFmtId="0" fontId="9" fillId="2" borderId="2" xfId="0" applyNumberFormat="1" applyFont="1" applyFill="1" applyBorder="1" applyAlignment="1">
      <alignment vertical="top" wrapText="1"/>
    </xf>
    <xf numFmtId="0" fontId="9" fillId="2" borderId="3" xfId="0" applyNumberFormat="1" applyFont="1" applyFill="1" applyBorder="1" applyAlignment="1">
      <alignment vertical="top" wrapText="1"/>
    </xf>
    <xf numFmtId="0" fontId="9" fillId="2" borderId="4" xfId="0" applyNumberFormat="1" applyFont="1" applyFill="1" applyBorder="1" applyAlignment="1">
      <alignment vertical="top" wrapText="1"/>
    </xf>
    <xf numFmtId="0" fontId="4" fillId="2" borderId="2" xfId="0" applyNumberFormat="1" applyFont="1" applyFill="1" applyBorder="1" applyAlignment="1">
      <alignment horizontal="left" vertical="top" wrapText="1"/>
    </xf>
    <xf numFmtId="0" fontId="4" fillId="2" borderId="3" xfId="0" applyNumberFormat="1" applyFont="1" applyFill="1" applyBorder="1" applyAlignment="1">
      <alignment horizontal="left" vertical="top" wrapText="1"/>
    </xf>
    <xf numFmtId="0" fontId="4" fillId="2" borderId="4" xfId="0" applyNumberFormat="1" applyFont="1" applyFill="1" applyBorder="1" applyAlignment="1">
      <alignment horizontal="left" vertical="top" wrapText="1"/>
    </xf>
    <xf numFmtId="0" fontId="26" fillId="2" borderId="1" xfId="0" applyFont="1" applyFill="1" applyBorder="1" applyAlignment="1" applyProtection="1">
      <alignment horizontal="left" vertical="top" wrapText="1"/>
    </xf>
    <xf numFmtId="0" fontId="4" fillId="2" borderId="1" xfId="0" applyNumberFormat="1" applyFont="1" applyFill="1" applyBorder="1" applyAlignment="1">
      <alignment horizontal="center" vertical="center" wrapText="1"/>
    </xf>
    <xf numFmtId="0" fontId="26" fillId="2" borderId="2" xfId="0" applyNumberFormat="1" applyFont="1" applyFill="1" applyBorder="1" applyAlignment="1">
      <alignment horizontal="left" vertical="top" wrapText="1"/>
    </xf>
    <xf numFmtId="0" fontId="26" fillId="2" borderId="3" xfId="0" applyNumberFormat="1" applyFont="1" applyFill="1" applyBorder="1" applyAlignment="1">
      <alignment horizontal="left" vertical="top" wrapText="1"/>
    </xf>
    <xf numFmtId="0" fontId="26" fillId="2" borderId="4" xfId="0" applyNumberFormat="1" applyFont="1" applyFill="1" applyBorder="1" applyAlignment="1">
      <alignment horizontal="left" vertical="top" wrapText="1"/>
    </xf>
    <xf numFmtId="0" fontId="21" fillId="2" borderId="2" xfId="0" applyNumberFormat="1" applyFont="1" applyFill="1" applyBorder="1" applyAlignment="1">
      <alignment horizontal="center" vertical="top" wrapText="1"/>
    </xf>
    <xf numFmtId="0" fontId="21" fillId="2" borderId="3" xfId="0" applyNumberFormat="1" applyFont="1" applyFill="1" applyBorder="1" applyAlignment="1">
      <alignment horizontal="center" vertical="top" wrapText="1"/>
    </xf>
    <xf numFmtId="0" fontId="21" fillId="2" borderId="4" xfId="0" applyNumberFormat="1" applyFont="1" applyFill="1" applyBorder="1" applyAlignment="1">
      <alignment horizontal="center" vertical="top" wrapText="1"/>
    </xf>
    <xf numFmtId="0" fontId="21" fillId="2" borderId="1" xfId="0" applyNumberFormat="1" applyFont="1" applyFill="1" applyBorder="1" applyAlignment="1">
      <alignment vertical="top" wrapText="1"/>
    </xf>
    <xf numFmtId="0" fontId="9" fillId="2" borderId="1" xfId="0" applyNumberFormat="1" applyFont="1" applyFill="1" applyBorder="1" applyAlignment="1">
      <alignment vertical="top" wrapText="1"/>
    </xf>
    <xf numFmtId="0" fontId="9" fillId="2" borderId="1" xfId="0" applyNumberFormat="1" applyFont="1" applyFill="1" applyBorder="1" applyAlignment="1">
      <alignment vertical="top"/>
    </xf>
    <xf numFmtId="0" fontId="9" fillId="2" borderId="1" xfId="0" applyNumberFormat="1" applyFont="1" applyFill="1" applyBorder="1" applyAlignment="1">
      <alignment horizontal="left" vertical="top"/>
    </xf>
    <xf numFmtId="0" fontId="26" fillId="2" borderId="1" xfId="0"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21" fillId="2" borderId="1" xfId="0" applyFont="1" applyFill="1" applyBorder="1" applyAlignment="1" applyProtection="1">
      <alignment horizontal="left" vertical="top" wrapText="1"/>
    </xf>
    <xf numFmtId="0" fontId="21" fillId="2" borderId="1" xfId="0" applyNumberFormat="1" applyFont="1" applyFill="1" applyBorder="1" applyAlignment="1" applyProtection="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21" fillId="2" borderId="1" xfId="0" applyFont="1" applyFill="1" applyBorder="1" applyAlignment="1">
      <alignment horizontal="left" vertical="top" wrapText="1"/>
    </xf>
    <xf numFmtId="0" fontId="27" fillId="2" borderId="2" xfId="0" applyNumberFormat="1" applyFont="1" applyFill="1" applyBorder="1" applyAlignment="1">
      <alignment horizontal="left" vertical="top" wrapText="1"/>
    </xf>
    <xf numFmtId="0" fontId="27" fillId="2" borderId="3" xfId="0" applyNumberFormat="1" applyFont="1" applyFill="1" applyBorder="1" applyAlignment="1">
      <alignment horizontal="left" vertical="top" wrapText="1"/>
    </xf>
    <xf numFmtId="0" fontId="27" fillId="2" borderId="4" xfId="0" applyNumberFormat="1" applyFont="1" applyFill="1" applyBorder="1" applyAlignment="1">
      <alignment horizontal="left" vertical="top" wrapText="1"/>
    </xf>
    <xf numFmtId="0" fontId="25" fillId="2" borderId="1" xfId="0" applyNumberFormat="1" applyFont="1" applyFill="1" applyBorder="1" applyAlignment="1" applyProtection="1">
      <alignment horizontal="left" vertical="top" wrapText="1"/>
    </xf>
    <xf numFmtId="0" fontId="26" fillId="2" borderId="2" xfId="0" applyNumberFormat="1" applyFont="1" applyFill="1" applyBorder="1" applyAlignment="1" applyProtection="1">
      <alignment vertical="top" wrapText="1"/>
    </xf>
    <xf numFmtId="0" fontId="26" fillId="2" borderId="3" xfId="0" applyNumberFormat="1" applyFont="1" applyFill="1" applyBorder="1" applyAlignment="1" applyProtection="1">
      <alignment vertical="top" wrapText="1"/>
    </xf>
    <xf numFmtId="0" fontId="26" fillId="2" borderId="4" xfId="0" applyNumberFormat="1" applyFont="1" applyFill="1" applyBorder="1" applyAlignment="1" applyProtection="1">
      <alignment vertical="top" wrapText="1"/>
    </xf>
    <xf numFmtId="0" fontId="16" fillId="0" borderId="0" xfId="0" applyNumberFormat="1" applyFont="1" applyFill="1" applyBorder="1" applyAlignment="1">
      <alignment horizontal="center" vertical="top" wrapText="1"/>
    </xf>
    <xf numFmtId="0" fontId="21" fillId="2" borderId="1" xfId="3" applyNumberFormat="1" applyFont="1" applyFill="1" applyBorder="1" applyAlignment="1">
      <alignment horizontal="left" vertical="top" wrapText="1"/>
    </xf>
    <xf numFmtId="0" fontId="21" fillId="2" borderId="12" xfId="0" applyNumberFormat="1" applyFont="1" applyFill="1" applyBorder="1" applyAlignment="1">
      <alignment horizontal="center" vertical="center" wrapText="1"/>
    </xf>
    <xf numFmtId="0" fontId="21" fillId="2" borderId="13" xfId="0" applyNumberFormat="1" applyFont="1" applyFill="1" applyBorder="1" applyAlignment="1">
      <alignment horizontal="center" vertical="center" wrapText="1"/>
    </xf>
    <xf numFmtId="0" fontId="21" fillId="2" borderId="14" xfId="0" applyNumberFormat="1" applyFont="1" applyFill="1" applyBorder="1" applyAlignment="1">
      <alignment horizontal="center" vertical="center" wrapText="1"/>
    </xf>
    <xf numFmtId="0" fontId="33" fillId="2" borderId="2" xfId="0" applyNumberFormat="1" applyFont="1" applyFill="1" applyBorder="1" applyAlignment="1">
      <alignment horizontal="center" vertical="center" wrapText="1"/>
    </xf>
    <xf numFmtId="0" fontId="33" fillId="2" borderId="3" xfId="0" applyNumberFormat="1" applyFont="1" applyFill="1" applyBorder="1" applyAlignment="1">
      <alignment horizontal="center" vertical="center" wrapText="1"/>
    </xf>
    <xf numFmtId="0" fontId="33" fillId="2" borderId="4" xfId="0" applyNumberFormat="1" applyFont="1" applyFill="1" applyBorder="1" applyAlignment="1">
      <alignment horizontal="center" vertical="center" wrapText="1"/>
    </xf>
    <xf numFmtId="0" fontId="13" fillId="2" borderId="0" xfId="0" applyNumberFormat="1" applyFont="1" applyFill="1" applyAlignment="1">
      <alignment horizontal="center" vertical="top" wrapText="1"/>
    </xf>
    <xf numFmtId="0" fontId="21" fillId="2" borderId="1" xfId="0" applyNumberFormat="1" applyFont="1" applyFill="1" applyBorder="1" applyAlignment="1">
      <alignment horizontal="center" vertical="top" wrapText="1"/>
    </xf>
    <xf numFmtId="0" fontId="27" fillId="2" borderId="4" xfId="0" applyFont="1" applyFill="1" applyBorder="1" applyAlignment="1">
      <alignment horizontal="left" vertical="top" wrapText="1"/>
    </xf>
    <xf numFmtId="0" fontId="27" fillId="2" borderId="1" xfId="0" applyFont="1" applyFill="1" applyBorder="1" applyAlignment="1">
      <alignment horizontal="left" vertical="top" wrapText="1"/>
    </xf>
    <xf numFmtId="0" fontId="25" fillId="2" borderId="2" xfId="0" applyFont="1" applyFill="1" applyBorder="1" applyAlignment="1" applyProtection="1">
      <alignment vertical="center" wrapText="1"/>
    </xf>
    <xf numFmtId="0" fontId="25" fillId="2" borderId="3" xfId="0" applyFont="1" applyFill="1" applyBorder="1" applyAlignment="1" applyProtection="1">
      <alignment vertical="center" wrapText="1"/>
    </xf>
    <xf numFmtId="0" fontId="25" fillId="2" borderId="4" xfId="0" applyFont="1" applyFill="1" applyBorder="1" applyAlignment="1" applyProtection="1">
      <alignment vertical="center" wrapText="1"/>
    </xf>
    <xf numFmtId="0" fontId="27" fillId="2" borderId="1" xfId="0" applyNumberFormat="1" applyFont="1" applyFill="1" applyBorder="1" applyAlignment="1">
      <alignment horizontal="left" vertical="top" wrapText="1"/>
    </xf>
    <xf numFmtId="0" fontId="66" fillId="2" borderId="2" xfId="0" applyFont="1" applyFill="1" applyBorder="1" applyAlignment="1">
      <alignment horizontal="left" vertical="top" wrapText="1"/>
    </xf>
    <xf numFmtId="0" fontId="66" fillId="2" borderId="3" xfId="0" applyFont="1" applyFill="1" applyBorder="1" applyAlignment="1">
      <alignment horizontal="left" vertical="top" wrapText="1"/>
    </xf>
    <xf numFmtId="0" fontId="66" fillId="2" borderId="4" xfId="0" applyFont="1" applyFill="1" applyBorder="1" applyAlignment="1">
      <alignment horizontal="left" vertical="top" wrapText="1"/>
    </xf>
    <xf numFmtId="0" fontId="27" fillId="2" borderId="2" xfId="0" applyFont="1" applyFill="1" applyBorder="1" applyAlignment="1">
      <alignment horizontal="left" vertical="top" wrapText="1"/>
    </xf>
    <xf numFmtId="0" fontId="27" fillId="2" borderId="3" xfId="0" applyFont="1" applyFill="1" applyBorder="1" applyAlignment="1">
      <alignment horizontal="left" vertical="top" wrapText="1"/>
    </xf>
    <xf numFmtId="0" fontId="26" fillId="2" borderId="1" xfId="0" applyNumberFormat="1" applyFont="1" applyFill="1" applyBorder="1" applyAlignment="1" applyProtection="1">
      <alignment horizontal="left" vertical="top" wrapText="1"/>
    </xf>
    <xf numFmtId="0" fontId="32" fillId="2" borderId="2" xfId="0" applyNumberFormat="1" applyFont="1" applyFill="1" applyBorder="1" applyAlignment="1" applyProtection="1">
      <alignment horizontal="left" vertical="top" wrapText="1"/>
    </xf>
    <xf numFmtId="0" fontId="32" fillId="2" borderId="3" xfId="0" applyNumberFormat="1" applyFont="1" applyFill="1" applyBorder="1" applyAlignment="1" applyProtection="1">
      <alignment horizontal="left" vertical="top" wrapText="1"/>
    </xf>
    <xf numFmtId="0" fontId="32" fillId="2" borderId="4" xfId="0" applyNumberFormat="1" applyFont="1" applyFill="1" applyBorder="1" applyAlignment="1" applyProtection="1">
      <alignment horizontal="left" vertical="top" wrapText="1"/>
    </xf>
    <xf numFmtId="0" fontId="33" fillId="0" borderId="2" xfId="0" applyNumberFormat="1" applyFont="1" applyFill="1" applyBorder="1" applyAlignment="1">
      <alignment horizontal="left" vertical="top" wrapText="1"/>
    </xf>
    <xf numFmtId="0" fontId="33" fillId="0" borderId="3" xfId="0" applyNumberFormat="1" applyFont="1" applyFill="1" applyBorder="1" applyAlignment="1">
      <alignment horizontal="left" vertical="top" wrapText="1"/>
    </xf>
    <xf numFmtId="0" fontId="33" fillId="0" borderId="4" xfId="0" applyNumberFormat="1" applyFont="1" applyFill="1" applyBorder="1" applyAlignment="1">
      <alignment horizontal="left" vertical="top" wrapText="1"/>
    </xf>
    <xf numFmtId="0" fontId="33" fillId="2" borderId="1" xfId="0" applyNumberFormat="1" applyFont="1" applyFill="1" applyBorder="1" applyAlignment="1">
      <alignment horizontal="center" vertical="center" wrapText="1"/>
    </xf>
    <xf numFmtId="0" fontId="17" fillId="2" borderId="2" xfId="0" applyNumberFormat="1" applyFont="1" applyFill="1" applyBorder="1" applyAlignment="1">
      <alignment horizontal="center" vertical="center" wrapText="1"/>
    </xf>
    <xf numFmtId="0" fontId="17" fillId="2" borderId="3" xfId="0" applyNumberFormat="1" applyFont="1" applyFill="1" applyBorder="1" applyAlignment="1">
      <alignment horizontal="center" vertical="center" wrapText="1"/>
    </xf>
    <xf numFmtId="0" fontId="17" fillId="2" borderId="4" xfId="0" applyNumberFormat="1" applyFont="1" applyFill="1" applyBorder="1" applyAlignment="1">
      <alignment horizontal="center" vertical="center" wrapText="1"/>
    </xf>
    <xf numFmtId="0" fontId="11" fillId="2" borderId="1" xfId="0" applyFont="1" applyFill="1" applyBorder="1" applyAlignment="1" applyProtection="1">
      <alignment horizontal="left" vertical="top" wrapText="1"/>
    </xf>
    <xf numFmtId="0" fontId="6" fillId="2" borderId="0" xfId="0" applyNumberFormat="1" applyFont="1" applyFill="1" applyAlignment="1">
      <alignment horizontal="left" vertical="top" wrapText="1"/>
    </xf>
    <xf numFmtId="0" fontId="6" fillId="2" borderId="0" xfId="0" applyNumberFormat="1" applyFont="1" applyFill="1" applyAlignment="1">
      <alignment horizontal="center" vertical="top" wrapText="1"/>
    </xf>
    <xf numFmtId="0" fontId="21" fillId="0" borderId="2" xfId="0" applyNumberFormat="1" applyFont="1" applyFill="1" applyBorder="1" applyAlignment="1">
      <alignment horizontal="center" vertical="center" wrapText="1"/>
    </xf>
    <xf numFmtId="0" fontId="21" fillId="0" borderId="4" xfId="0" applyNumberFormat="1" applyFont="1" applyFill="1" applyBorder="1" applyAlignment="1">
      <alignment horizontal="center" vertical="center" wrapText="1"/>
    </xf>
    <xf numFmtId="0" fontId="25" fillId="2" borderId="2" xfId="0" applyFont="1" applyFill="1" applyBorder="1" applyAlignment="1" applyProtection="1">
      <alignment vertical="top" wrapText="1"/>
    </xf>
    <xf numFmtId="0" fontId="25" fillId="2" borderId="3" xfId="0" applyFont="1" applyFill="1" applyBorder="1" applyAlignment="1" applyProtection="1">
      <alignment vertical="top" wrapText="1"/>
    </xf>
    <xf numFmtId="0" fontId="25" fillId="2" borderId="4" xfId="0" applyFont="1" applyFill="1" applyBorder="1" applyAlignment="1" applyProtection="1">
      <alignment vertical="top" wrapText="1"/>
    </xf>
    <xf numFmtId="0"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top" wrapText="1"/>
    </xf>
    <xf numFmtId="0" fontId="21" fillId="3" borderId="1" xfId="0" applyNumberFormat="1" applyFont="1" applyFill="1" applyBorder="1" applyAlignment="1">
      <alignment horizontal="left" vertical="top" wrapText="1"/>
    </xf>
    <xf numFmtId="0" fontId="9" fillId="2" borderId="2"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2" borderId="1" xfId="0" applyFont="1" applyFill="1" applyBorder="1" applyAlignment="1">
      <alignment horizontal="left" vertical="top" wrapText="1"/>
    </xf>
    <xf numFmtId="0" fontId="21" fillId="0" borderId="2" xfId="0" applyNumberFormat="1" applyFont="1" applyFill="1" applyBorder="1" applyAlignment="1">
      <alignment horizontal="left" vertical="top" wrapText="1"/>
    </xf>
    <xf numFmtId="0" fontId="21" fillId="0" borderId="3" xfId="0" applyNumberFormat="1" applyFont="1" applyFill="1" applyBorder="1" applyAlignment="1">
      <alignment horizontal="left" vertical="top" wrapText="1"/>
    </xf>
    <xf numFmtId="0" fontId="21" fillId="0" borderId="4" xfId="0" applyNumberFormat="1" applyFont="1" applyFill="1" applyBorder="1" applyAlignment="1">
      <alignment horizontal="left" vertical="top" wrapText="1"/>
    </xf>
    <xf numFmtId="0" fontId="6" fillId="2" borderId="0" xfId="0" applyNumberFormat="1" applyFont="1" applyFill="1" applyAlignment="1">
      <alignment horizontal="right" vertical="center" wrapText="1"/>
    </xf>
    <xf numFmtId="0" fontId="9" fillId="2" borderId="1" xfId="0" applyNumberFormat="1" applyFont="1" applyFill="1" applyBorder="1" applyAlignment="1">
      <alignment horizontal="center" vertical="center"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21" fillId="2" borderId="9" xfId="0" applyNumberFormat="1" applyFont="1" applyFill="1" applyBorder="1" applyAlignment="1">
      <alignment horizontal="left" vertical="top" wrapText="1"/>
    </xf>
    <xf numFmtId="0" fontId="21" fillId="2" borderId="30" xfId="0" applyNumberFormat="1" applyFont="1" applyFill="1" applyBorder="1" applyAlignment="1">
      <alignment horizontal="left" vertical="top" wrapText="1"/>
    </xf>
    <xf numFmtId="0" fontId="21" fillId="2" borderId="11" xfId="0" applyNumberFormat="1" applyFont="1" applyFill="1" applyBorder="1" applyAlignment="1">
      <alignment horizontal="left" vertical="top" wrapText="1"/>
    </xf>
    <xf numFmtId="0" fontId="40" fillId="2" borderId="0" xfId="0" applyFont="1" applyFill="1" applyBorder="1" applyAlignment="1">
      <alignment horizontal="left" vertical="center"/>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0" xfId="0" applyFont="1" applyFill="1" applyAlignment="1">
      <alignment horizontal="center"/>
    </xf>
    <xf numFmtId="0" fontId="39" fillId="2" borderId="2"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12" xfId="0" applyFont="1" applyFill="1" applyBorder="1" applyAlignment="1">
      <alignment horizontal="left" vertical="center" wrapText="1"/>
    </xf>
    <xf numFmtId="0" fontId="39" fillId="2" borderId="13" xfId="0" applyFont="1" applyFill="1" applyBorder="1" applyAlignment="1">
      <alignment horizontal="left" vertical="center" wrapText="1"/>
    </xf>
    <xf numFmtId="0" fontId="39" fillId="2" borderId="14" xfId="0" applyFont="1" applyFill="1" applyBorder="1" applyAlignment="1">
      <alignment horizontal="left" vertical="center" wrapText="1"/>
    </xf>
    <xf numFmtId="0" fontId="39" fillId="2" borderId="0" xfId="0" applyFont="1" applyFill="1" applyAlignment="1">
      <alignment horizontal="left" vertical="center"/>
    </xf>
    <xf numFmtId="0" fontId="40" fillId="2" borderId="0" xfId="0" applyFont="1" applyFill="1" applyAlignment="1">
      <alignment horizontal="center" vertical="center"/>
    </xf>
    <xf numFmtId="0" fontId="39" fillId="2" borderId="0" xfId="0" applyFont="1" applyFill="1" applyAlignment="1">
      <alignment horizontal="center" vertical="center"/>
    </xf>
    <xf numFmtId="0" fontId="39" fillId="2" borderId="0" xfId="0" applyFont="1" applyFill="1" applyAlignment="1">
      <alignment horizontal="center" vertical="center" wrapText="1"/>
    </xf>
    <xf numFmtId="0" fontId="54" fillId="0" borderId="35" xfId="14" applyFont="1" applyFill="1" applyBorder="1" applyAlignment="1">
      <alignment horizontal="center" vertical="center" wrapText="1"/>
    </xf>
    <xf numFmtId="0" fontId="55" fillId="0" borderId="0" xfId="14" applyFont="1" applyFill="1" applyBorder="1" applyAlignment="1">
      <alignment horizontal="center" vertical="center" wrapText="1"/>
    </xf>
    <xf numFmtId="0" fontId="55" fillId="0" borderId="32" xfId="14" applyFont="1" applyFill="1" applyBorder="1" applyAlignment="1">
      <alignment horizontal="center" vertical="center" wrapText="1"/>
    </xf>
    <xf numFmtId="0" fontId="56" fillId="2" borderId="8" xfId="0" applyFont="1" applyFill="1" applyBorder="1" applyAlignment="1">
      <alignment horizontal="center" vertical="center"/>
    </xf>
    <xf numFmtId="0" fontId="64" fillId="0" borderId="35"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32" xfId="0" applyFont="1" applyFill="1" applyBorder="1" applyAlignment="1">
      <alignment horizontal="center" vertical="center" wrapText="1"/>
    </xf>
    <xf numFmtId="165" fontId="56" fillId="0" borderId="0" xfId="0" applyNumberFormat="1" applyFont="1" applyAlignment="1">
      <alignment vertical="center"/>
    </xf>
    <xf numFmtId="0" fontId="56" fillId="0" borderId="0" xfId="0" applyFont="1" applyAlignment="1">
      <alignment vertical="center"/>
    </xf>
    <xf numFmtId="0" fontId="56" fillId="0" borderId="0" xfId="0" applyFont="1" applyBorder="1" applyAlignment="1">
      <alignment horizontal="left" vertical="center" wrapText="1"/>
    </xf>
    <xf numFmtId="165" fontId="56" fillId="0" borderId="5" xfId="0" applyNumberFormat="1" applyFont="1" applyBorder="1" applyAlignment="1">
      <alignment vertical="center"/>
    </xf>
    <xf numFmtId="0" fontId="50" fillId="0" borderId="22" xfId="0" applyFont="1" applyFill="1" applyBorder="1" applyAlignment="1">
      <alignment horizontal="center" vertical="center" wrapText="1"/>
    </xf>
    <xf numFmtId="0" fontId="50" fillId="0" borderId="23"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51" fillId="2" borderId="22" xfId="0" applyFont="1" applyFill="1" applyBorder="1" applyAlignment="1">
      <alignment horizontal="center" vertical="center" wrapText="1"/>
    </xf>
    <xf numFmtId="0" fontId="51" fillId="2" borderId="34" xfId="0" applyFont="1" applyFill="1" applyBorder="1" applyAlignment="1">
      <alignment horizontal="center" vertical="center" wrapText="1"/>
    </xf>
    <xf numFmtId="0" fontId="50" fillId="0" borderId="3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56" fillId="0" borderId="8" xfId="0" applyFont="1" applyBorder="1" applyAlignment="1">
      <alignment horizontal="center" vertical="center"/>
    </xf>
    <xf numFmtId="0" fontId="56" fillId="3" borderId="8" xfId="0" applyFont="1" applyFill="1" applyBorder="1" applyAlignment="1">
      <alignment horizontal="center" vertical="center"/>
    </xf>
    <xf numFmtId="169" fontId="64" fillId="0" borderId="2" xfId="0" applyNumberFormat="1" applyFont="1" applyFill="1" applyBorder="1" applyAlignment="1">
      <alignment horizontal="center" vertical="center" wrapText="1"/>
    </xf>
    <xf numFmtId="169" fontId="64" fillId="0" borderId="4" xfId="0" applyNumberFormat="1" applyFont="1" applyFill="1" applyBorder="1" applyAlignment="1">
      <alignment horizontal="center" vertical="center" wrapText="1"/>
    </xf>
    <xf numFmtId="169" fontId="64" fillId="0" borderId="1" xfId="0" applyNumberFormat="1" applyFont="1" applyFill="1" applyBorder="1" applyAlignment="1">
      <alignment horizontal="center" vertical="center" wrapText="1"/>
    </xf>
    <xf numFmtId="0" fontId="64"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39" fillId="2" borderId="2" xfId="0" applyFont="1" applyFill="1" applyBorder="1" applyAlignment="1">
      <alignment horizontal="left" vertical="top" wrapText="1"/>
    </xf>
    <xf numFmtId="0" fontId="39" fillId="2" borderId="3" xfId="0" applyFont="1" applyFill="1" applyBorder="1" applyAlignment="1">
      <alignment horizontal="left" vertical="top" wrapText="1"/>
    </xf>
    <xf numFmtId="0" fontId="39" fillId="2" borderId="4" xfId="0" applyFont="1" applyFill="1" applyBorder="1" applyAlignment="1">
      <alignment horizontal="left" vertical="top" wrapText="1"/>
    </xf>
  </cellXfs>
  <cellStyles count="23">
    <cellStyle name="Гиперссылка" xfId="14" builtinId="8"/>
    <cellStyle name="Денежный" xfId="6" builtinId="4"/>
    <cellStyle name="Денежный 2" xfId="11"/>
    <cellStyle name="Обычный" xfId="0" builtinId="0"/>
    <cellStyle name="Обычный 2" xfId="1"/>
    <cellStyle name="Обычный 2 2" xfId="16"/>
    <cellStyle name="Обычный 2_Приложение 16 изменения на 2012 год по Камню на Оби" xfId="17"/>
    <cellStyle name="Обычный 3" xfId="2"/>
    <cellStyle name="Обычный 4" xfId="8"/>
    <cellStyle name="Обычный 5" xfId="7"/>
    <cellStyle name="Обычный 6" xfId="15"/>
    <cellStyle name="Обычный_План ПИР-2009 ( тех.отд.) с ДЕНЬГАМИ (для Громенко)" xfId="3"/>
    <cellStyle name="Обычный_Сб-macro 2020" xfId="13"/>
    <cellStyle name="Процентный" xfId="12" builtinId="5"/>
    <cellStyle name="Процентный 2" xfId="9"/>
    <cellStyle name="Процентный 2 2" xfId="19"/>
    <cellStyle name="Процентный 3" xfId="18"/>
    <cellStyle name="Стиль 1" xfId="20"/>
    <cellStyle name="Финансовый" xfId="4" builtinId="3"/>
    <cellStyle name="Финансовый 2" xfId="5"/>
    <cellStyle name="Финансовый 2 2" xfId="22"/>
    <cellStyle name="Финансовый 3" xfId="10"/>
    <cellStyle name="Финансовый 4" xfId="21"/>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86;&#1080;%20&#1076;&#1086;&#1082;&#1091;&#1084;&#1077;&#1085;&#1090;&#1099;/&#1043;&#1054;&#1057;&#1055;&#1056;&#1054;&#1043;&#1056;&#1040;&#1052;&#1052;&#1067;/&#1043;&#1055;%20&#1056;&#1040;&#1044;%202020-2022/&#1044;&#1086;&#1087;.%20&#1084;&#1072;&#1090;&#1077;&#1088;&#1080;&#1072;&#1083;&#1099;/&#1080;&#1079;&#1084;&#1077;&#1085;&#1077;&#1085;&#1080;&#1103;%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43;&#1054;&#1057;&#1055;&#1056;&#1054;&#1043;&#1056;&#1040;&#1052;&#1052;&#1067;\&#1043;&#1055;%20&#1056;&#1040;&#1044;%202018-2020%204%20&#1082;&#1074;\2%20&#1074;&#1072;&#1088;&#1080;&#1072;&#1085;&#1090;\&#1055;&#1083;&#1072;&#1085;_&#1088;&#1077;&#1072;&#1083;&#1080;&#1079;&#1072;&#1094;&#1080;&#1080;_&#1043;&#1055;_&#1056;&#1040;&#1044;_2018-2020%20(05.12.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43;&#1054;&#1057;&#1055;&#1056;&#1054;&#1043;&#1056;&#1040;&#1052;&#1052;&#1067;\&#1043;&#1055;%202017-2019\&#1055;&#1083;&#1072;&#1085;%20&#1088;&#1077;&#1072;&#1083;&#1080;&#1079;&#1072;&#1094;&#1080;&#1080;%20&#1043;&#1055;%20&#1056;&#1040;&#1044;%202017-2019%20(&#1085;&#1072;%20&#1089;&#1086;&#1075;&#1083;&#1072;&#1089;+&#1041;&#1044;&#10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дикаторы "/>
      <sheetName val="Мероприятия"/>
      <sheetName val="Подробный перечень(БКАД)"/>
      <sheetName val="Подробный перечень (ОБ)"/>
      <sheetName val="прил. 1  (3)"/>
      <sheetName val="прил .6 с мостом (2)"/>
      <sheetName val="для вставки в ворд"/>
      <sheetName val="Лист3"/>
    </sheetNames>
    <sheetDataSet>
      <sheetData sheetId="0" refreshError="1"/>
      <sheetData sheetId="1">
        <row r="216">
          <cell r="X216">
            <v>17.048000000000002</v>
          </cell>
        </row>
        <row r="220">
          <cell r="X220">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дикаторы "/>
      <sheetName val="Мероприятия"/>
      <sheetName val="Подробный перечень"/>
      <sheetName val="прил. 1  (2)"/>
      <sheetName val="прил .6 с мостом"/>
      <sheetName val="для вставки в ворд"/>
      <sheetName val="Лист3"/>
    </sheetNames>
    <sheetDataSet>
      <sheetData sheetId="0" refreshError="1"/>
      <sheetData sheetId="1" refreshError="1"/>
      <sheetData sheetId="2">
        <row r="13">
          <cell r="AF13">
            <v>0</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дикаторы"/>
      <sheetName val="Мероприятия"/>
      <sheetName val="Подробный перечень"/>
      <sheetName val="прил. 1  (2)"/>
      <sheetName val="прил .6 с мостом"/>
      <sheetName val="для вставки в ворд"/>
      <sheetName val="рррр"/>
    </sheetNames>
    <sheetDataSet>
      <sheetData sheetId="0"/>
      <sheetData sheetId="1">
        <row r="16">
          <cell r="Q16">
            <v>68.47</v>
          </cell>
        </row>
      </sheetData>
      <sheetData sheetId="2">
        <row r="13">
          <cell r="Y13">
            <v>3.8</v>
          </cell>
        </row>
      </sheetData>
      <sheetData sheetId="3"/>
      <sheetData sheetId="4">
        <row r="5">
          <cell r="B5">
            <v>78559983.919999987</v>
          </cell>
          <cell r="C5">
            <v>7389522.1000000006</v>
          </cell>
          <cell r="D5">
            <v>8429259.5199999996</v>
          </cell>
          <cell r="E5">
            <v>9666667.4999999981</v>
          </cell>
          <cell r="F5">
            <v>10032250.300000001</v>
          </cell>
          <cell r="G5">
            <v>9939612.4999999981</v>
          </cell>
          <cell r="H5">
            <v>10814708.099999998</v>
          </cell>
          <cell r="I5">
            <v>11044938.499999998</v>
          </cell>
          <cell r="J5">
            <v>11243025.399999999</v>
          </cell>
        </row>
        <row r="6">
          <cell r="B6">
            <v>9086523.0199999996</v>
          </cell>
          <cell r="C6">
            <v>1562163.2000000002</v>
          </cell>
          <cell r="D6">
            <v>625434.81999999995</v>
          </cell>
          <cell r="E6">
            <v>924750.6</v>
          </cell>
          <cell r="F6">
            <v>899982.3</v>
          </cell>
          <cell r="G6">
            <v>932600</v>
          </cell>
          <cell r="H6">
            <v>1380530.7</v>
          </cell>
          <cell r="I6">
            <v>1380530.7</v>
          </cell>
          <cell r="J6">
            <v>1380530.7</v>
          </cell>
        </row>
        <row r="7">
          <cell r="B7">
            <v>68317536.900000006</v>
          </cell>
          <cell r="C7">
            <v>5446414.7000000002</v>
          </cell>
          <cell r="D7">
            <v>7684169.5999999996</v>
          </cell>
          <cell r="E7">
            <v>8638936.6999999993</v>
          </cell>
          <cell r="F7">
            <v>9029287.8000000007</v>
          </cell>
          <cell r="G7">
            <v>8904032.2999999989</v>
          </cell>
          <cell r="H7">
            <v>9313197.1999999993</v>
          </cell>
          <cell r="I7">
            <v>9539810.5999999996</v>
          </cell>
          <cell r="J7">
            <v>9761688</v>
          </cell>
        </row>
        <row r="8">
          <cell r="B8">
            <v>1155923.9999999998</v>
          </cell>
          <cell r="C8">
            <v>380944.2</v>
          </cell>
          <cell r="D8">
            <v>119655.09999999999</v>
          </cell>
          <cell r="E8">
            <v>102980.2</v>
          </cell>
          <cell r="F8">
            <v>102980.2</v>
          </cell>
          <cell r="G8">
            <v>102980.2</v>
          </cell>
          <cell r="H8">
            <v>120980.2</v>
          </cell>
          <cell r="I8">
            <v>124597.2</v>
          </cell>
          <cell r="J8">
            <v>100806.7</v>
          </cell>
        </row>
        <row r="9">
          <cell r="B9">
            <v>0</v>
          </cell>
          <cell r="C9">
            <v>0</v>
          </cell>
          <cell r="D9">
            <v>0</v>
          </cell>
        </row>
        <row r="10">
          <cell r="B10">
            <v>20485271.619999997</v>
          </cell>
          <cell r="C10">
            <v>1721621.6</v>
          </cell>
          <cell r="D10">
            <v>1278114.1199999999</v>
          </cell>
          <cell r="E10">
            <v>2724550.3000000003</v>
          </cell>
          <cell r="F10">
            <v>2525966</v>
          </cell>
          <cell r="G10">
            <v>2335603.6</v>
          </cell>
          <cell r="H10">
            <v>3257150.7</v>
          </cell>
          <cell r="I10">
            <v>3308747.9000000004</v>
          </cell>
          <cell r="J10">
            <v>3333517.4000000004</v>
          </cell>
        </row>
        <row r="11">
          <cell r="B11">
            <v>8629157.9199999999</v>
          </cell>
          <cell r="C11">
            <v>1104798.1000000001</v>
          </cell>
          <cell r="D11">
            <v>625434.81999999995</v>
          </cell>
          <cell r="E11">
            <v>924750.6</v>
          </cell>
          <cell r="F11">
            <v>899982.3</v>
          </cell>
          <cell r="G11">
            <v>932600</v>
          </cell>
          <cell r="H11">
            <v>1380530.7</v>
          </cell>
          <cell r="I11">
            <v>1380530.7</v>
          </cell>
          <cell r="J11">
            <v>1380530.7</v>
          </cell>
        </row>
        <row r="12">
          <cell r="B12">
            <v>11373151.9</v>
          </cell>
          <cell r="C12">
            <v>288964.5</v>
          </cell>
          <cell r="D12">
            <v>625717.6</v>
          </cell>
          <cell r="E12">
            <v>1777303.5</v>
          </cell>
          <cell r="F12">
            <v>1602362.7000000002</v>
          </cell>
          <cell r="G12">
            <v>1378803.6</v>
          </cell>
          <cell r="H12">
            <v>1850000</v>
          </cell>
          <cell r="I12">
            <v>1900000</v>
          </cell>
          <cell r="J12">
            <v>1950000</v>
          </cell>
        </row>
        <row r="13">
          <cell r="B13">
            <v>482961.80000000005</v>
          </cell>
          <cell r="C13">
            <v>327859</v>
          </cell>
          <cell r="D13">
            <v>26961.7</v>
          </cell>
          <cell r="E13">
            <v>22496.2</v>
          </cell>
          <cell r="F13">
            <v>23621</v>
          </cell>
          <cell r="G13">
            <v>24200</v>
          </cell>
          <cell r="H13">
            <v>26620</v>
          </cell>
          <cell r="I13">
            <v>28217.200000000001</v>
          </cell>
          <cell r="J13">
            <v>2986.7</v>
          </cell>
        </row>
        <row r="15">
          <cell r="B15">
            <v>57000</v>
          </cell>
          <cell r="C15">
            <v>3000</v>
          </cell>
          <cell r="D15">
            <v>3000</v>
          </cell>
          <cell r="E15">
            <v>3000</v>
          </cell>
          <cell r="F15">
            <v>3000</v>
          </cell>
          <cell r="G15">
            <v>3000</v>
          </cell>
          <cell r="H15">
            <v>12000</v>
          </cell>
          <cell r="I15">
            <v>14000</v>
          </cell>
          <cell r="J15">
            <v>16000</v>
          </cell>
        </row>
        <row r="16">
          <cell r="B16">
            <v>0</v>
          </cell>
          <cell r="C16">
            <v>0</v>
          </cell>
          <cell r="D16">
            <v>0</v>
          </cell>
          <cell r="E16">
            <v>0</v>
          </cell>
          <cell r="F16">
            <v>0</v>
          </cell>
          <cell r="G16">
            <v>0</v>
          </cell>
          <cell r="H16">
            <v>0</v>
          </cell>
          <cell r="I16">
            <v>0</v>
          </cell>
          <cell r="J16">
            <v>0</v>
          </cell>
        </row>
        <row r="17">
          <cell r="B17">
            <v>57000</v>
          </cell>
          <cell r="C17">
            <v>3000</v>
          </cell>
          <cell r="D17">
            <v>3000</v>
          </cell>
          <cell r="E17">
            <v>3000</v>
          </cell>
          <cell r="F17">
            <v>3000</v>
          </cell>
          <cell r="G17">
            <v>3000</v>
          </cell>
          <cell r="H17">
            <v>12000</v>
          </cell>
          <cell r="I17">
            <v>14000</v>
          </cell>
          <cell r="J17">
            <v>16000</v>
          </cell>
        </row>
        <row r="18">
          <cell r="B18">
            <v>0</v>
          </cell>
          <cell r="C18">
            <v>0</v>
          </cell>
          <cell r="D18">
            <v>0</v>
          </cell>
          <cell r="E18">
            <v>0</v>
          </cell>
          <cell r="F18">
            <v>0</v>
          </cell>
          <cell r="G18">
            <v>0</v>
          </cell>
          <cell r="H18">
            <v>0</v>
          </cell>
          <cell r="I18">
            <v>0</v>
          </cell>
          <cell r="J18">
            <v>0</v>
          </cell>
        </row>
        <row r="19">
          <cell r="B19">
            <v>0</v>
          </cell>
          <cell r="C19">
            <v>0</v>
          </cell>
          <cell r="D19">
            <v>0</v>
          </cell>
          <cell r="E19">
            <v>0</v>
          </cell>
          <cell r="F19">
            <v>0</v>
          </cell>
          <cell r="G19">
            <v>0</v>
          </cell>
          <cell r="H19">
            <v>0</v>
          </cell>
          <cell r="I19">
            <v>0</v>
          </cell>
          <cell r="J19">
            <v>0</v>
          </cell>
        </row>
        <row r="20">
          <cell r="B20">
            <v>58017712.300000004</v>
          </cell>
          <cell r="C20">
            <v>5664900.5</v>
          </cell>
          <cell r="D20">
            <v>7148145.4000000004</v>
          </cell>
          <cell r="E20">
            <v>6939117.2000000002</v>
          </cell>
          <cell r="F20">
            <v>7503284.2999999998</v>
          </cell>
          <cell r="G20">
            <v>7601008.8999999994</v>
          </cell>
          <cell r="H20">
            <v>7545557.4000000004</v>
          </cell>
          <cell r="I20">
            <v>7722190.5999999996</v>
          </cell>
          <cell r="J20">
            <v>7893508</v>
          </cell>
        </row>
        <row r="21">
          <cell r="B21">
            <v>457365.1</v>
          </cell>
          <cell r="C21">
            <v>457365.1</v>
          </cell>
          <cell r="D21">
            <v>0</v>
          </cell>
          <cell r="E21">
            <v>0</v>
          </cell>
          <cell r="F21">
            <v>0</v>
          </cell>
          <cell r="G21">
            <v>0</v>
          </cell>
          <cell r="H21">
            <v>0</v>
          </cell>
          <cell r="I21">
            <v>0</v>
          </cell>
          <cell r="J21">
            <v>0</v>
          </cell>
        </row>
        <row r="22">
          <cell r="B22">
            <v>56887385.000000007</v>
          </cell>
          <cell r="C22">
            <v>5154450.2</v>
          </cell>
          <cell r="D22">
            <v>7055452</v>
          </cell>
          <cell r="E22">
            <v>6858633.2000000002</v>
          </cell>
          <cell r="F22">
            <v>7423925.0999999996</v>
          </cell>
          <cell r="G22">
            <v>7522228.6999999993</v>
          </cell>
          <cell r="H22">
            <v>7451197.2000000002</v>
          </cell>
          <cell r="I22">
            <v>7625810.5999999996</v>
          </cell>
          <cell r="J22">
            <v>7795688</v>
          </cell>
        </row>
        <row r="23">
          <cell r="B23">
            <v>672962.2</v>
          </cell>
          <cell r="C23">
            <v>53085.2</v>
          </cell>
          <cell r="D23">
            <v>92693.4</v>
          </cell>
          <cell r="E23">
            <v>80484</v>
          </cell>
          <cell r="F23">
            <v>79359.199999999997</v>
          </cell>
          <cell r="G23">
            <v>78780.2</v>
          </cell>
          <cell r="H23">
            <v>94360.2</v>
          </cell>
          <cell r="I23">
            <v>96380</v>
          </cell>
          <cell r="J23">
            <v>97820</v>
          </cell>
        </row>
        <row r="24">
          <cell r="B24">
            <v>0</v>
          </cell>
          <cell r="C24">
            <v>0</v>
          </cell>
          <cell r="D24">
            <v>0</v>
          </cell>
          <cell r="E24">
            <v>0</v>
          </cell>
          <cell r="F24">
            <v>0</v>
          </cell>
          <cell r="G24">
            <v>0</v>
          </cell>
          <cell r="H24">
            <v>0</v>
          </cell>
          <cell r="I24">
            <v>0</v>
          </cell>
          <cell r="J24">
            <v>0</v>
          </cell>
        </row>
        <row r="26">
          <cell r="B26">
            <v>78559983.919999987</v>
          </cell>
          <cell r="C26">
            <v>7389522.1000000006</v>
          </cell>
          <cell r="D26">
            <v>8429259.5199999996</v>
          </cell>
          <cell r="E26">
            <v>9666667.4999999981</v>
          </cell>
          <cell r="F26">
            <v>10032250.300000001</v>
          </cell>
          <cell r="G26">
            <v>9939612.4999999981</v>
          </cell>
          <cell r="H26">
            <v>10814708.099999998</v>
          </cell>
          <cell r="I26">
            <v>11044938.499999998</v>
          </cell>
          <cell r="J26">
            <v>11243025.399999999</v>
          </cell>
        </row>
        <row r="27">
          <cell r="B27">
            <v>9086523.0199999996</v>
          </cell>
          <cell r="C27">
            <v>1562163.2000000002</v>
          </cell>
          <cell r="D27">
            <v>625434.81999999995</v>
          </cell>
          <cell r="E27">
            <v>924750.6</v>
          </cell>
          <cell r="F27">
            <v>899982.3</v>
          </cell>
          <cell r="G27">
            <v>932600</v>
          </cell>
          <cell r="H27">
            <v>1380530.7</v>
          </cell>
          <cell r="I27">
            <v>1380530.7</v>
          </cell>
          <cell r="J27">
            <v>1380530.7</v>
          </cell>
        </row>
        <row r="28">
          <cell r="B28">
            <v>68317536.900000006</v>
          </cell>
          <cell r="C28">
            <v>5446414.7000000002</v>
          </cell>
          <cell r="D28">
            <v>7684169.5999999996</v>
          </cell>
          <cell r="E28">
            <v>8638936.6999999993</v>
          </cell>
          <cell r="F28">
            <v>9029287.8000000007</v>
          </cell>
          <cell r="G28">
            <v>8904032.2999999989</v>
          </cell>
          <cell r="H28">
            <v>9313197.1999999993</v>
          </cell>
          <cell r="I28">
            <v>9539810.5999999996</v>
          </cell>
          <cell r="J28">
            <v>9761688</v>
          </cell>
        </row>
        <row r="29">
          <cell r="B29">
            <v>1155923.9999999998</v>
          </cell>
          <cell r="C29">
            <v>380944.2</v>
          </cell>
          <cell r="D29">
            <v>119655.09999999999</v>
          </cell>
          <cell r="E29">
            <v>102980.2</v>
          </cell>
          <cell r="F29">
            <v>102980.2</v>
          </cell>
          <cell r="G29">
            <v>102980.2</v>
          </cell>
          <cell r="H29">
            <v>120980.2</v>
          </cell>
          <cell r="I29">
            <v>124597.2</v>
          </cell>
          <cell r="J29">
            <v>100806.7</v>
          </cell>
        </row>
        <row r="30">
          <cell r="C30">
            <v>0</v>
          </cell>
          <cell r="D30">
            <v>0</v>
          </cell>
          <cell r="J30">
            <v>0</v>
          </cell>
        </row>
        <row r="31">
          <cell r="B31">
            <v>20485271.619999997</v>
          </cell>
          <cell r="C31">
            <v>1721621.6</v>
          </cell>
          <cell r="D31">
            <v>1278114.1199999999</v>
          </cell>
          <cell r="E31">
            <v>2724550.3000000003</v>
          </cell>
          <cell r="F31">
            <v>2525966</v>
          </cell>
          <cell r="G31">
            <v>2335603.6</v>
          </cell>
          <cell r="H31">
            <v>3257150.7</v>
          </cell>
          <cell r="I31">
            <v>3308747.9000000004</v>
          </cell>
          <cell r="J31">
            <v>3333517.4000000004</v>
          </cell>
        </row>
        <row r="32">
          <cell r="B32">
            <v>8629157.9199999999</v>
          </cell>
          <cell r="C32">
            <v>1104798.1000000001</v>
          </cell>
          <cell r="D32">
            <v>625434.81999999995</v>
          </cell>
          <cell r="E32">
            <v>924750.6</v>
          </cell>
          <cell r="F32">
            <v>899982.3</v>
          </cell>
          <cell r="G32">
            <v>932600</v>
          </cell>
          <cell r="H32">
            <v>1380530.7</v>
          </cell>
          <cell r="I32">
            <v>1380530.7</v>
          </cell>
          <cell r="J32">
            <v>1380530.7</v>
          </cell>
        </row>
        <row r="33">
          <cell r="B33">
            <v>11373151.9</v>
          </cell>
          <cell r="C33">
            <v>288964.5</v>
          </cell>
          <cell r="D33">
            <v>625717.6</v>
          </cell>
          <cell r="E33">
            <v>1777303.5</v>
          </cell>
          <cell r="F33">
            <v>1602362.7000000002</v>
          </cell>
          <cell r="G33">
            <v>1378803.6</v>
          </cell>
          <cell r="H33">
            <v>1850000</v>
          </cell>
          <cell r="I33">
            <v>1900000</v>
          </cell>
          <cell r="J33">
            <v>1950000</v>
          </cell>
        </row>
        <row r="34">
          <cell r="B34">
            <v>482961.80000000005</v>
          </cell>
          <cell r="C34">
            <v>327859</v>
          </cell>
          <cell r="D34">
            <v>26961.7</v>
          </cell>
          <cell r="E34">
            <v>22496.2</v>
          </cell>
          <cell r="F34">
            <v>23621</v>
          </cell>
          <cell r="G34">
            <v>24200</v>
          </cell>
          <cell r="H34">
            <v>26620</v>
          </cell>
          <cell r="I34">
            <v>28217.200000000001</v>
          </cell>
          <cell r="J34">
            <v>2986.7</v>
          </cell>
        </row>
        <row r="35">
          <cell r="C35">
            <v>0</v>
          </cell>
          <cell r="D35">
            <v>0</v>
          </cell>
        </row>
        <row r="36">
          <cell r="B36">
            <v>57000</v>
          </cell>
          <cell r="C36">
            <v>3000</v>
          </cell>
          <cell r="D36">
            <v>3000</v>
          </cell>
          <cell r="E36">
            <v>3000</v>
          </cell>
          <cell r="F36">
            <v>3000</v>
          </cell>
          <cell r="G36">
            <v>3000</v>
          </cell>
          <cell r="H36">
            <v>12000</v>
          </cell>
          <cell r="I36">
            <v>14000</v>
          </cell>
          <cell r="J36">
            <v>16000</v>
          </cell>
        </row>
        <row r="37">
          <cell r="B37">
            <v>0</v>
          </cell>
          <cell r="C37">
            <v>0</v>
          </cell>
          <cell r="D37">
            <v>0</v>
          </cell>
          <cell r="E37">
            <v>0</v>
          </cell>
          <cell r="F37">
            <v>0</v>
          </cell>
          <cell r="G37">
            <v>0</v>
          </cell>
          <cell r="H37">
            <v>0</v>
          </cell>
          <cell r="I37">
            <v>0</v>
          </cell>
          <cell r="J37">
            <v>0</v>
          </cell>
        </row>
        <row r="38">
          <cell r="B38">
            <v>57000</v>
          </cell>
          <cell r="C38">
            <v>3000</v>
          </cell>
          <cell r="D38">
            <v>3000</v>
          </cell>
          <cell r="E38">
            <v>3000</v>
          </cell>
          <cell r="F38">
            <v>3000</v>
          </cell>
          <cell r="G38">
            <v>3000</v>
          </cell>
          <cell r="H38">
            <v>12000</v>
          </cell>
          <cell r="I38">
            <v>14000</v>
          </cell>
          <cell r="J38">
            <v>16000</v>
          </cell>
        </row>
        <row r="39">
          <cell r="B39">
            <v>0</v>
          </cell>
          <cell r="C39">
            <v>0</v>
          </cell>
          <cell r="D39">
            <v>0</v>
          </cell>
          <cell r="E39">
            <v>0</v>
          </cell>
          <cell r="F39">
            <v>0</v>
          </cell>
          <cell r="G39">
            <v>0</v>
          </cell>
          <cell r="H39">
            <v>0</v>
          </cell>
          <cell r="I39">
            <v>0</v>
          </cell>
          <cell r="J39">
            <v>0</v>
          </cell>
        </row>
        <row r="40">
          <cell r="B40">
            <v>0</v>
          </cell>
          <cell r="C40">
            <v>0</v>
          </cell>
          <cell r="D40">
            <v>0</v>
          </cell>
          <cell r="E40">
            <v>0</v>
          </cell>
          <cell r="F40">
            <v>0</v>
          </cell>
          <cell r="G40">
            <v>0</v>
          </cell>
          <cell r="H40">
            <v>0</v>
          </cell>
          <cell r="I40">
            <v>0</v>
          </cell>
          <cell r="J40">
            <v>0</v>
          </cell>
        </row>
        <row r="41">
          <cell r="B41">
            <v>58017712.300000004</v>
          </cell>
          <cell r="C41">
            <v>5664900.5</v>
          </cell>
          <cell r="D41">
            <v>7148145.4000000004</v>
          </cell>
          <cell r="E41">
            <v>6939117.2000000002</v>
          </cell>
          <cell r="F41">
            <v>7503284.2999999998</v>
          </cell>
          <cell r="G41">
            <v>7601008.8999999994</v>
          </cell>
          <cell r="H41">
            <v>7545557.4000000004</v>
          </cell>
          <cell r="I41">
            <v>7722190.5999999996</v>
          </cell>
          <cell r="J41">
            <v>7893508</v>
          </cell>
        </row>
        <row r="42">
          <cell r="B42">
            <v>457365.1</v>
          </cell>
          <cell r="C42">
            <v>457365.1</v>
          </cell>
          <cell r="D42">
            <v>0</v>
          </cell>
          <cell r="E42">
            <v>0</v>
          </cell>
          <cell r="F42">
            <v>0</v>
          </cell>
          <cell r="G42">
            <v>0</v>
          </cell>
          <cell r="H42">
            <v>0</v>
          </cell>
          <cell r="I42">
            <v>0</v>
          </cell>
          <cell r="J42">
            <v>0</v>
          </cell>
        </row>
        <row r="43">
          <cell r="B43">
            <v>56887385.000000007</v>
          </cell>
          <cell r="C43">
            <v>5154450.2</v>
          </cell>
          <cell r="D43">
            <v>7055452</v>
          </cell>
          <cell r="E43">
            <v>6858633.2000000002</v>
          </cell>
          <cell r="F43">
            <v>7423925.0999999996</v>
          </cell>
          <cell r="G43">
            <v>7522228.6999999993</v>
          </cell>
          <cell r="H43">
            <v>7451197.2000000002</v>
          </cell>
          <cell r="I43">
            <v>7625810.5999999996</v>
          </cell>
          <cell r="J43">
            <v>7795688</v>
          </cell>
        </row>
        <row r="44">
          <cell r="B44">
            <v>672962.2</v>
          </cell>
          <cell r="C44">
            <v>53085.2</v>
          </cell>
          <cell r="D44">
            <v>92693.4</v>
          </cell>
          <cell r="E44">
            <v>80484</v>
          </cell>
          <cell r="F44">
            <v>79359.199999999997</v>
          </cell>
          <cell r="G44">
            <v>78780.2</v>
          </cell>
          <cell r="H44">
            <v>94360.2</v>
          </cell>
          <cell r="I44">
            <v>96380</v>
          </cell>
          <cell r="J44">
            <v>97820</v>
          </cell>
        </row>
        <row r="45">
          <cell r="B45">
            <v>0</v>
          </cell>
          <cell r="C45">
            <v>0</v>
          </cell>
          <cell r="D45">
            <v>0</v>
          </cell>
          <cell r="E45">
            <v>0</v>
          </cell>
          <cell r="F45">
            <v>0</v>
          </cell>
          <cell r="G45">
            <v>0</v>
          </cell>
          <cell r="H45">
            <v>0</v>
          </cell>
          <cell r="I45">
            <v>0</v>
          </cell>
          <cell r="J45">
            <v>0</v>
          </cell>
        </row>
        <row r="46">
          <cell r="B46">
            <v>4087696.2</v>
          </cell>
          <cell r="C46">
            <v>533688</v>
          </cell>
          <cell r="D46">
            <v>560906</v>
          </cell>
          <cell r="E46">
            <v>429099</v>
          </cell>
          <cell r="F46">
            <v>454844.9</v>
          </cell>
          <cell r="G46">
            <v>482135.6</v>
          </cell>
          <cell r="H46">
            <v>511063.8</v>
          </cell>
          <cell r="I46">
            <v>541727.6</v>
          </cell>
          <cell r="J46">
            <v>574231.30000000005</v>
          </cell>
        </row>
        <row r="47">
          <cell r="B47">
            <v>9086523.0500000007</v>
          </cell>
          <cell r="C47">
            <v>1562163.2000000002</v>
          </cell>
          <cell r="D47">
            <v>625434.81999999995</v>
          </cell>
          <cell r="E47">
            <v>924750.63000000012</v>
          </cell>
          <cell r="F47">
            <v>899982.3</v>
          </cell>
          <cell r="G47">
            <v>932600</v>
          </cell>
          <cell r="H47">
            <v>1380530.7</v>
          </cell>
          <cell r="I47">
            <v>1380530.7</v>
          </cell>
          <cell r="J47">
            <v>1380530.7</v>
          </cell>
        </row>
        <row r="50">
          <cell r="B50">
            <v>472799.23</v>
          </cell>
          <cell r="C50">
            <v>95879.3</v>
          </cell>
          <cell r="D50">
            <v>60969.599999999999</v>
          </cell>
          <cell r="E50">
            <v>315950.33</v>
          </cell>
        </row>
        <row r="51">
          <cell r="B51">
            <v>8156358.7200000007</v>
          </cell>
          <cell r="C51">
            <v>1008918.8</v>
          </cell>
          <cell r="D51">
            <v>564465.22</v>
          </cell>
          <cell r="E51">
            <v>608800.30000000005</v>
          </cell>
          <cell r="F51">
            <v>899982.3</v>
          </cell>
          <cell r="G51">
            <v>932600</v>
          </cell>
          <cell r="H51">
            <v>1380530.7</v>
          </cell>
          <cell r="I51">
            <v>1380530.7</v>
          </cell>
          <cell r="J51">
            <v>1380530.7</v>
          </cell>
        </row>
        <row r="52">
          <cell r="B52">
            <v>457365.1</v>
          </cell>
          <cell r="C52">
            <v>457365.1</v>
          </cell>
        </row>
        <row r="55">
          <cell r="B55">
            <v>0</v>
          </cell>
          <cell r="D55">
            <v>0</v>
          </cell>
        </row>
        <row r="56">
          <cell r="B56">
            <v>0</v>
          </cell>
        </row>
      </sheetData>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consultantplus://offline/ref=BC496DE9CD4DD003661B9BE3DD29CC0BB84219353379C154704F53E6C66F167571238B5D4FA498D2047A2859L0N" TargetMode="External"/><Relationship Id="rId18" Type="http://schemas.openxmlformats.org/officeDocument/2006/relationships/hyperlink" Target="consultantplus://offline/ref=BC496DE9CD4DD003661B9BE3DD29CC0BB84219353379C154704F53E6C66F167571238B5D4FA498D2047A2859L0N" TargetMode="External"/><Relationship Id="rId26" Type="http://schemas.openxmlformats.org/officeDocument/2006/relationships/hyperlink" Target="consultantplus://offline/ref=BC496DE9CD4DD003661B9BE3DD29CC0BB84219353379C154704F53E6C66F167571238B5D4FA498D2047A2859L0N" TargetMode="External"/><Relationship Id="rId3" Type="http://schemas.openxmlformats.org/officeDocument/2006/relationships/hyperlink" Target="consultantplus://offline/ref=BC496DE9CD4DD003661B9BE3DD29CC0BB84219353379C154704F53E6C66F167571238B5D4FA498D2047A2859L0N" TargetMode="External"/><Relationship Id="rId21" Type="http://schemas.openxmlformats.org/officeDocument/2006/relationships/hyperlink" Target="consultantplus://offline/ref=BC496DE9CD4DD003661B9BE3DD29CC0BB84219353379C154704F53E6C66F167571238B5D4FA498D2047A2859L0N" TargetMode="External"/><Relationship Id="rId7" Type="http://schemas.openxmlformats.org/officeDocument/2006/relationships/hyperlink" Target="consultantplus://offline/ref=BC496DE9CD4DD003661B9BE3DD29CC0BB84219353379C154704F53E6C66F167571238B5D4FA498D2047A2859L3N" TargetMode="External"/><Relationship Id="rId12" Type="http://schemas.openxmlformats.org/officeDocument/2006/relationships/hyperlink" Target="consultantplus://offline/ref=BC496DE9CD4DD003661B9BE3DD29CC0BB84219353379C154704F53E6C66F167571238B5D4FA498D2047A2859L0N" TargetMode="External"/><Relationship Id="rId17" Type="http://schemas.openxmlformats.org/officeDocument/2006/relationships/hyperlink" Target="consultantplus://offline/ref=BC496DE9CD4DD003661B9BE3DD29CC0BB84219353379C154704F53E6C66F167571238B5D4FA498D2047A2859L0N" TargetMode="External"/><Relationship Id="rId25" Type="http://schemas.openxmlformats.org/officeDocument/2006/relationships/hyperlink" Target="consultantplus://offline/ref=BC496DE9CD4DD003661B9BE3DD29CC0BB84219353379C154704F53E6C66F167571238B5D4FA498D2047A2859L0N" TargetMode="External"/><Relationship Id="rId33" Type="http://schemas.openxmlformats.org/officeDocument/2006/relationships/comments" Target="../comments3.xml"/><Relationship Id="rId2" Type="http://schemas.openxmlformats.org/officeDocument/2006/relationships/hyperlink" Target="consultantplus://offline/ref=BC496DE9CD4DD003661B9BE3DD29CC0BB84219353379C154704F53E6C66F167571238B5D4FA498D2047A2859L0N" TargetMode="External"/><Relationship Id="rId16" Type="http://schemas.openxmlformats.org/officeDocument/2006/relationships/hyperlink" Target="consultantplus://offline/ref=BC496DE9CD4DD003661B9BE3DD29CC0BB84219353379C154704F53E6C66F167571238B5D4FA498D2047A2859L0N" TargetMode="External"/><Relationship Id="rId20" Type="http://schemas.openxmlformats.org/officeDocument/2006/relationships/hyperlink" Target="consultantplus://offline/ref=BC496DE9CD4DD003661B9BE3DD29CC0BB84219353379C154704F53E6C66F167571238B5D4FA498D2047A2859L3N" TargetMode="External"/><Relationship Id="rId29" Type="http://schemas.openxmlformats.org/officeDocument/2006/relationships/hyperlink" Target="consultantplus://offline/ref=BC496DE9CD4DD003661B85EECB459202B04F45393C7FCE04281008BB91661C22366CD21F0BA999D550L3N" TargetMode="External"/><Relationship Id="rId1" Type="http://schemas.openxmlformats.org/officeDocument/2006/relationships/hyperlink" Target="consultantplus://offline/ref=BC496DE9CD4DD003661B9BE3DD29CC0BB84219353379C154704F53E6C66F167571238B5D4FA498D2047A2859L0N" TargetMode="External"/><Relationship Id="rId6" Type="http://schemas.openxmlformats.org/officeDocument/2006/relationships/hyperlink" Target="consultantplus://offline/ref=BC496DE9CD4DD003661B9BE3DD29CC0BB84219353379C154704F53E6C66F167571238B5D4FA498D2047A2859L0N" TargetMode="External"/><Relationship Id="rId11" Type="http://schemas.openxmlformats.org/officeDocument/2006/relationships/hyperlink" Target="consultantplus://offline/ref=BC496DE9CD4DD003661B9BE3DD29CC0BB84219353379C154704F53E6C66F167571238B5D4FA498D2047A2859L0N" TargetMode="External"/><Relationship Id="rId24" Type="http://schemas.openxmlformats.org/officeDocument/2006/relationships/hyperlink" Target="consultantplus://offline/ref=BC496DE9CD4DD003661B9BE3DD29CC0BB84219353379C154704F53E6C66F167571238B5D4FA498D2047A2859L0N" TargetMode="External"/><Relationship Id="rId32" Type="http://schemas.openxmlformats.org/officeDocument/2006/relationships/vmlDrawing" Target="../drawings/vmlDrawing3.vml"/><Relationship Id="rId5" Type="http://schemas.openxmlformats.org/officeDocument/2006/relationships/hyperlink" Target="consultantplus://offline/ref=BC496DE9CD4DD003661B9BE3DD29CC0BB84219353379C154704F53E6C66F167571238B5D4FA498D2047A2859L0N" TargetMode="External"/><Relationship Id="rId15" Type="http://schemas.openxmlformats.org/officeDocument/2006/relationships/hyperlink" Target="consultantplus://offline/ref=BC496DE9CD4DD003661B9BE3DD29CC0BB84219353379C154704F53E6C66F167571238B5D4FA498D2047A2859L0N" TargetMode="External"/><Relationship Id="rId23" Type="http://schemas.openxmlformats.org/officeDocument/2006/relationships/hyperlink" Target="consultantplus://offline/ref=BC496DE9CD4DD003661B9BE3DD29CC0BB84219353379C154704F53E6C66F167571238B5D4FA498D2047A2859L0N" TargetMode="External"/><Relationship Id="rId28" Type="http://schemas.openxmlformats.org/officeDocument/2006/relationships/hyperlink" Target="consultantplus://offline/ref=BC496DE9CD4DD003661B85EECB459202B04F45393C7FCE04281008BB91661C22366CD21F0BA999D550L3N" TargetMode="External"/><Relationship Id="rId10" Type="http://schemas.openxmlformats.org/officeDocument/2006/relationships/hyperlink" Target="consultantplus://offline/ref=BC496DE9CD4DD003661B9BE3DD29CC0BB84219353379C154704F53E6C66F167571238B5D4FA498D2047A2859L0N" TargetMode="External"/><Relationship Id="rId19" Type="http://schemas.openxmlformats.org/officeDocument/2006/relationships/hyperlink" Target="consultantplus://offline/ref=BC496DE9CD4DD003661B9BE3DD29CC0BB84219353379C154704F53E6C66F167571238B5D4FA498D2047A2859L0N" TargetMode="External"/><Relationship Id="rId31" Type="http://schemas.openxmlformats.org/officeDocument/2006/relationships/printerSettings" Target="../printerSettings/printerSettings6.bin"/><Relationship Id="rId4" Type="http://schemas.openxmlformats.org/officeDocument/2006/relationships/hyperlink" Target="consultantplus://offline/ref=BC496DE9CD4DD003661B9BE3DD29CC0BB84219353379C154704F53E6C66F167571238B5D4FA498D2047A2859L0N" TargetMode="External"/><Relationship Id="rId9" Type="http://schemas.openxmlformats.org/officeDocument/2006/relationships/hyperlink" Target="consultantplus://offline/ref=BC496DE9CD4DD003661B9BE3DD29CC0BB84219353379C154704F53E6C66F167571238B5D4FA498D2047A2859L0N" TargetMode="External"/><Relationship Id="rId14" Type="http://schemas.openxmlformats.org/officeDocument/2006/relationships/hyperlink" Target="consultantplus://offline/ref=BC496DE9CD4DD003661B9BE3DD29CC0BB84219353379C154704F53E6C66F167571238B5D4FA498D2047A2859L0N" TargetMode="External"/><Relationship Id="rId22" Type="http://schemas.openxmlformats.org/officeDocument/2006/relationships/hyperlink" Target="consultantplus://offline/ref=BC496DE9CD4DD003661B9BE3DD29CC0BB84219353379C154704F53E6C66F167571238B5D4FA498D2047A2859L0N" TargetMode="External"/><Relationship Id="rId27" Type="http://schemas.openxmlformats.org/officeDocument/2006/relationships/hyperlink" Target="consultantplus://offline/ref=BC496DE9CD4DD003661B85EECB459202B04E433B3E7BCE04281008BB91661C22366CD21F0BA999D350L2N" TargetMode="External"/><Relationship Id="rId30" Type="http://schemas.openxmlformats.org/officeDocument/2006/relationships/hyperlink" Target="consultantplus://offline/ref=BC496DE9CD4DD003661B85EECB459202B04F45393C7FCE04281008BB91661C22366CD21F0BA999D550L3N" TargetMode="External"/><Relationship Id="rId8" Type="http://schemas.openxmlformats.org/officeDocument/2006/relationships/hyperlink" Target="consultantplus://offline/ref=BC496DE9CD4DD003661B9BE3DD29CC0BB84219353379C154704F53E6C66F167571238B5D4FA498D2047A2859L0N"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0"/>
  <sheetViews>
    <sheetView tabSelected="1" view="pageBreakPreview" zoomScaleNormal="70" zoomScaleSheetLayoutView="100" workbookViewId="0">
      <selection activeCell="Q49" sqref="Q49"/>
    </sheetView>
  </sheetViews>
  <sheetFormatPr defaultColWidth="8.85546875" defaultRowHeight="15.75"/>
  <cols>
    <col min="1" max="1" width="3.7109375" style="139" customWidth="1"/>
    <col min="2" max="2" width="24.7109375" style="139" customWidth="1"/>
    <col min="3" max="3" width="23.7109375" style="139" customWidth="1"/>
    <col min="4" max="4" width="12.140625" style="139" customWidth="1"/>
    <col min="5" max="5" width="11" style="139" customWidth="1"/>
    <col min="6" max="6" width="13.5703125" style="139" hidden="1" customWidth="1"/>
    <col min="7" max="7" width="8.7109375" style="139" hidden="1" customWidth="1"/>
    <col min="8" max="8" width="7.28515625" style="139" hidden="1" customWidth="1"/>
    <col min="9" max="9" width="7.85546875" style="139" hidden="1" customWidth="1"/>
    <col min="10" max="10" width="12.42578125" style="139" hidden="1" customWidth="1"/>
    <col min="11" max="11" width="11.42578125" style="139" customWidth="1"/>
    <col min="12" max="15" width="13" style="139" customWidth="1"/>
    <col min="16" max="16" width="11.140625" style="139" customWidth="1"/>
    <col min="17" max="17" width="10.28515625" style="139" customWidth="1"/>
    <col min="18" max="18" width="28.5703125" style="139" customWidth="1"/>
    <col min="19" max="16384" width="8.85546875" style="139"/>
  </cols>
  <sheetData>
    <row r="1" spans="1:19" ht="31.9" customHeight="1">
      <c r="K1" s="946" t="s">
        <v>917</v>
      </c>
      <c r="L1" s="946"/>
      <c r="M1" s="946"/>
      <c r="N1" s="946"/>
      <c r="O1" s="946"/>
      <c r="P1" s="946"/>
      <c r="Q1" s="946"/>
      <c r="R1" s="946"/>
      <c r="S1" s="169"/>
    </row>
    <row r="2" spans="1:19">
      <c r="S2" s="169"/>
    </row>
    <row r="3" spans="1:19">
      <c r="S3" s="169"/>
    </row>
    <row r="4" spans="1:19" ht="32.25" customHeight="1">
      <c r="B4" s="947" t="s">
        <v>774</v>
      </c>
      <c r="C4" s="945"/>
      <c r="D4" s="945"/>
      <c r="E4" s="945"/>
      <c r="F4" s="945"/>
      <c r="G4" s="945"/>
      <c r="H4" s="945"/>
      <c r="I4" s="945"/>
      <c r="J4" s="945"/>
      <c r="K4" s="945"/>
      <c r="L4" s="945"/>
      <c r="M4" s="945"/>
      <c r="N4" s="945"/>
      <c r="O4" s="945"/>
      <c r="P4" s="945"/>
      <c r="Q4" s="945"/>
      <c r="R4" s="945"/>
    </row>
    <row r="5" spans="1:19" ht="64.5" customHeight="1">
      <c r="B5" s="947" t="s">
        <v>918</v>
      </c>
      <c r="C5" s="947"/>
      <c r="D5" s="947"/>
      <c r="E5" s="947"/>
      <c r="F5" s="947"/>
      <c r="G5" s="947"/>
      <c r="H5" s="947"/>
      <c r="I5" s="947"/>
      <c r="J5" s="947"/>
      <c r="K5" s="947"/>
      <c r="L5" s="947"/>
      <c r="M5" s="947"/>
      <c r="N5" s="947"/>
      <c r="O5" s="947"/>
      <c r="P5" s="947"/>
      <c r="Q5" s="947"/>
      <c r="R5" s="947"/>
    </row>
    <row r="6" spans="1:19" ht="14.45" customHeight="1">
      <c r="K6" s="948" t="s">
        <v>372</v>
      </c>
      <c r="L6" s="948"/>
      <c r="M6" s="948"/>
      <c r="N6" s="948"/>
      <c r="O6" s="948"/>
      <c r="P6" s="948"/>
      <c r="Q6" s="948"/>
      <c r="R6" s="948"/>
    </row>
    <row r="7" spans="1:19" ht="14.45" customHeight="1">
      <c r="B7" s="945" t="s">
        <v>371</v>
      </c>
      <c r="C7" s="945"/>
      <c r="D7" s="945"/>
      <c r="E7" s="945"/>
      <c r="F7" s="945"/>
      <c r="G7" s="945"/>
      <c r="H7" s="945"/>
      <c r="I7" s="945"/>
      <c r="J7" s="945"/>
      <c r="K7" s="945"/>
      <c r="L7" s="945"/>
      <c r="M7" s="945"/>
      <c r="N7" s="945"/>
      <c r="O7" s="945"/>
      <c r="P7" s="945"/>
      <c r="Q7" s="945"/>
      <c r="R7" s="945"/>
    </row>
    <row r="8" spans="1:19" ht="14.45" customHeight="1">
      <c r="B8" s="945" t="s">
        <v>780</v>
      </c>
      <c r="C8" s="945"/>
      <c r="D8" s="945"/>
      <c r="E8" s="945"/>
      <c r="F8" s="945"/>
      <c r="G8" s="945"/>
      <c r="H8" s="945"/>
      <c r="I8" s="945"/>
      <c r="J8" s="945"/>
      <c r="K8" s="945"/>
      <c r="L8" s="945"/>
      <c r="M8" s="945"/>
      <c r="N8" s="945"/>
      <c r="O8" s="945"/>
      <c r="P8" s="945"/>
      <c r="Q8" s="945"/>
      <c r="R8" s="945"/>
    </row>
    <row r="9" spans="1:19" ht="14.45" customHeight="1">
      <c r="B9" s="945" t="s">
        <v>533</v>
      </c>
      <c r="C9" s="945"/>
      <c r="D9" s="945"/>
      <c r="E9" s="945"/>
      <c r="F9" s="945"/>
      <c r="G9" s="945"/>
      <c r="H9" s="945"/>
      <c r="I9" s="945"/>
      <c r="J9" s="945"/>
      <c r="K9" s="945"/>
      <c r="L9" s="945"/>
      <c r="M9" s="945"/>
      <c r="N9" s="945"/>
      <c r="O9" s="945"/>
      <c r="P9" s="945"/>
      <c r="Q9" s="945"/>
      <c r="R9" s="945"/>
    </row>
    <row r="11" spans="1:19" ht="35.450000000000003" customHeight="1">
      <c r="A11" s="934"/>
      <c r="B11" s="949" t="s">
        <v>370</v>
      </c>
      <c r="C11" s="949" t="s">
        <v>369</v>
      </c>
      <c r="D11" s="949" t="s">
        <v>368</v>
      </c>
      <c r="E11" s="949" t="s">
        <v>367</v>
      </c>
      <c r="F11" s="950" t="s">
        <v>144</v>
      </c>
      <c r="G11" s="950" t="s">
        <v>145</v>
      </c>
      <c r="H11" s="950"/>
      <c r="I11" s="950"/>
      <c r="J11" s="950"/>
      <c r="K11" s="941" t="s">
        <v>781</v>
      </c>
      <c r="L11" s="942"/>
      <c r="M11" s="942"/>
      <c r="N11" s="942"/>
      <c r="O11" s="942"/>
      <c r="P11" s="942"/>
      <c r="Q11" s="943"/>
      <c r="R11" s="949" t="s">
        <v>366</v>
      </c>
    </row>
    <row r="12" spans="1:19" ht="14.45" customHeight="1">
      <c r="A12" s="934"/>
      <c r="B12" s="949"/>
      <c r="C12" s="949"/>
      <c r="D12" s="949"/>
      <c r="E12" s="949"/>
      <c r="F12" s="950"/>
      <c r="G12" s="950"/>
      <c r="H12" s="950"/>
      <c r="I12" s="950"/>
      <c r="J12" s="950"/>
      <c r="K12" s="939" t="s">
        <v>919</v>
      </c>
      <c r="L12" s="941" t="s">
        <v>920</v>
      </c>
      <c r="M12" s="942"/>
      <c r="N12" s="942"/>
      <c r="O12" s="943"/>
      <c r="P12" s="939" t="s">
        <v>390</v>
      </c>
      <c r="Q12" s="939" t="s">
        <v>391</v>
      </c>
      <c r="R12" s="949"/>
    </row>
    <row r="13" spans="1:19" ht="51.75" customHeight="1">
      <c r="A13" s="934"/>
      <c r="B13" s="949"/>
      <c r="C13" s="949"/>
      <c r="D13" s="949"/>
      <c r="E13" s="949"/>
      <c r="F13" s="950"/>
      <c r="G13" s="375" t="s">
        <v>146</v>
      </c>
      <c r="H13" s="375" t="s">
        <v>147</v>
      </c>
      <c r="I13" s="375" t="s">
        <v>148</v>
      </c>
      <c r="J13" s="375" t="s">
        <v>149</v>
      </c>
      <c r="K13" s="940"/>
      <c r="L13" s="511" t="s">
        <v>146</v>
      </c>
      <c r="M13" s="511" t="s">
        <v>147</v>
      </c>
      <c r="N13" s="511" t="s">
        <v>148</v>
      </c>
      <c r="O13" s="511" t="s">
        <v>149</v>
      </c>
      <c r="P13" s="940"/>
      <c r="Q13" s="940"/>
      <c r="R13" s="949"/>
    </row>
    <row r="14" spans="1:19">
      <c r="A14" s="934"/>
      <c r="B14" s="376">
        <v>1</v>
      </c>
      <c r="C14" s="376">
        <v>2</v>
      </c>
      <c r="D14" s="376">
        <v>3</v>
      </c>
      <c r="E14" s="376">
        <v>4</v>
      </c>
      <c r="F14" s="375">
        <v>5</v>
      </c>
      <c r="G14" s="375">
        <v>6</v>
      </c>
      <c r="H14" s="375">
        <v>7</v>
      </c>
      <c r="I14" s="375">
        <v>8</v>
      </c>
      <c r="J14" s="375">
        <v>9</v>
      </c>
      <c r="K14" s="375">
        <v>5</v>
      </c>
      <c r="L14" s="375">
        <v>6</v>
      </c>
      <c r="M14" s="375">
        <v>7</v>
      </c>
      <c r="N14" s="375">
        <v>8</v>
      </c>
      <c r="O14" s="375">
        <v>9</v>
      </c>
      <c r="P14" s="375">
        <v>10</v>
      </c>
      <c r="Q14" s="375">
        <v>11</v>
      </c>
      <c r="R14" s="376">
        <v>12</v>
      </c>
    </row>
    <row r="15" spans="1:19" ht="31.15" customHeight="1">
      <c r="A15" s="934"/>
      <c r="B15" s="930" t="s">
        <v>738</v>
      </c>
      <c r="C15" s="930"/>
      <c r="D15" s="930"/>
      <c r="E15" s="930"/>
      <c r="F15" s="930"/>
      <c r="G15" s="930"/>
      <c r="H15" s="930"/>
      <c r="I15" s="930"/>
      <c r="J15" s="930"/>
      <c r="K15" s="930"/>
      <c r="L15" s="930"/>
      <c r="M15" s="930"/>
      <c r="N15" s="930"/>
      <c r="O15" s="930"/>
      <c r="P15" s="930"/>
      <c r="Q15" s="930"/>
      <c r="R15" s="930"/>
    </row>
    <row r="16" spans="1:19" ht="47.45" customHeight="1">
      <c r="A16" s="934"/>
      <c r="B16" s="930" t="s">
        <v>353</v>
      </c>
      <c r="C16" s="930"/>
      <c r="D16" s="930"/>
      <c r="E16" s="930"/>
      <c r="F16" s="930"/>
      <c r="G16" s="930"/>
      <c r="H16" s="930"/>
      <c r="I16" s="930"/>
      <c r="J16" s="930"/>
      <c r="K16" s="930"/>
      <c r="L16" s="930"/>
      <c r="M16" s="930"/>
      <c r="N16" s="930"/>
      <c r="O16" s="930"/>
      <c r="P16" s="930"/>
      <c r="Q16" s="930"/>
      <c r="R16" s="930"/>
    </row>
    <row r="17" spans="1:18" ht="98.45" customHeight="1">
      <c r="A17" s="934"/>
      <c r="B17" s="931" t="s">
        <v>365</v>
      </c>
      <c r="C17" s="164" t="s">
        <v>364</v>
      </c>
      <c r="D17" s="376" t="s">
        <v>356</v>
      </c>
      <c r="E17" s="376">
        <v>0.01</v>
      </c>
      <c r="F17" s="159">
        <f>J17</f>
        <v>80.569999999999993</v>
      </c>
      <c r="G17" s="159"/>
      <c r="H17" s="159"/>
      <c r="I17" s="159"/>
      <c r="J17" s="168">
        <v>80.569999999999993</v>
      </c>
      <c r="K17" s="167">
        <f>'прил. 1  (3)'!$N$14</f>
        <v>84.274411314425066</v>
      </c>
      <c r="L17" s="150" t="s">
        <v>279</v>
      </c>
      <c r="M17" s="150" t="s">
        <v>279</v>
      </c>
      <c r="N17" s="150" t="s">
        <v>279</v>
      </c>
      <c r="O17" s="150" t="s">
        <v>279</v>
      </c>
      <c r="P17" s="150">
        <f>'прил. 1  (3)'!$O$14</f>
        <v>84.37573752790972</v>
      </c>
      <c r="Q17" s="150">
        <f>'прил. 1  (3)'!$P$14</f>
        <v>84.478658184448136</v>
      </c>
      <c r="R17" s="143" t="s">
        <v>354</v>
      </c>
    </row>
    <row r="18" spans="1:18" ht="99" customHeight="1">
      <c r="A18" s="934"/>
      <c r="B18" s="932"/>
      <c r="C18" s="164" t="s">
        <v>363</v>
      </c>
      <c r="D18" s="376" t="s">
        <v>362</v>
      </c>
      <c r="E18" s="376">
        <v>0.01</v>
      </c>
      <c r="F18" s="159">
        <f>J18</f>
        <v>57.88</v>
      </c>
      <c r="G18" s="159"/>
      <c r="H18" s="159"/>
      <c r="I18" s="159"/>
      <c r="J18" s="168">
        <v>57.88</v>
      </c>
      <c r="K18" s="167">
        <f>'прил. 1  (3)'!$N$15</f>
        <v>60.211863075196412</v>
      </c>
      <c r="L18" s="150" t="s">
        <v>279</v>
      </c>
      <c r="M18" s="150" t="s">
        <v>279</v>
      </c>
      <c r="N18" s="150" t="s">
        <v>279</v>
      </c>
      <c r="O18" s="150" t="s">
        <v>279</v>
      </c>
      <c r="P18" s="150">
        <f>'прил. 1  (3)'!$O$15</f>
        <v>60.287312008978674</v>
      </c>
      <c r="Q18" s="150">
        <f>'прил. 1  (3)'!$P$15</f>
        <v>60.376257014590351</v>
      </c>
      <c r="R18" s="143" t="s">
        <v>354</v>
      </c>
    </row>
    <row r="19" spans="1:18" ht="127.5" customHeight="1">
      <c r="A19" s="934"/>
      <c r="B19" s="932"/>
      <c r="C19" s="165" t="s">
        <v>361</v>
      </c>
      <c r="D19" s="376" t="s">
        <v>355</v>
      </c>
      <c r="E19" s="376">
        <v>0.01</v>
      </c>
      <c r="F19" s="147">
        <f>J19</f>
        <v>12801.5</v>
      </c>
      <c r="G19" s="159"/>
      <c r="H19" s="159"/>
      <c r="I19" s="159"/>
      <c r="J19" s="158">
        <v>12801.5</v>
      </c>
      <c r="K19" s="154">
        <f>'прил. 1  (3)'!$N$16</f>
        <v>12731.924000000001</v>
      </c>
      <c r="L19" s="150" t="s">
        <v>279</v>
      </c>
      <c r="M19" s="150" t="s">
        <v>279</v>
      </c>
      <c r="N19" s="150" t="s">
        <v>279</v>
      </c>
      <c r="O19" s="150" t="s">
        <v>279</v>
      </c>
      <c r="P19" s="154">
        <f>'прил. 1  (3)'!$O$16</f>
        <v>12732.569000000001</v>
      </c>
      <c r="Q19" s="154">
        <f>'прил. 1  (3)'!$P$16</f>
        <v>12735.819000000001</v>
      </c>
      <c r="R19" s="143" t="s">
        <v>354</v>
      </c>
    </row>
    <row r="20" spans="1:18" ht="148.15" customHeight="1">
      <c r="A20" s="934"/>
      <c r="B20" s="932"/>
      <c r="C20" s="164" t="s">
        <v>777</v>
      </c>
      <c r="D20" s="376" t="s">
        <v>355</v>
      </c>
      <c r="E20" s="376">
        <v>0.08</v>
      </c>
      <c r="F20" s="147">
        <f>J20</f>
        <v>38.299999999999997</v>
      </c>
      <c r="G20" s="159"/>
      <c r="H20" s="159"/>
      <c r="I20" s="159"/>
      <c r="J20" s="146">
        <v>38.299999999999997</v>
      </c>
      <c r="K20" s="154">
        <f>'прил. 1  (3)'!$N$17</f>
        <v>34.485999999999997</v>
      </c>
      <c r="L20" s="150" t="s">
        <v>279</v>
      </c>
      <c r="M20" s="150" t="s">
        <v>279</v>
      </c>
      <c r="N20" s="150" t="s">
        <v>279</v>
      </c>
      <c r="O20" s="150" t="s">
        <v>279</v>
      </c>
      <c r="P20" s="154">
        <f>'прил. 1  (3)'!$O$17</f>
        <v>31.945</v>
      </c>
      <c r="Q20" s="154">
        <f>'прил. 1  (3)'!$P$17</f>
        <v>34.35</v>
      </c>
      <c r="R20" s="143" t="s">
        <v>354</v>
      </c>
    </row>
    <row r="21" spans="1:18" ht="78.75" customHeight="1">
      <c r="A21" s="934"/>
      <c r="B21" s="932"/>
      <c r="C21" s="327" t="s">
        <v>727</v>
      </c>
      <c r="D21" s="376" t="s">
        <v>760</v>
      </c>
      <c r="E21" s="376">
        <v>0.02</v>
      </c>
      <c r="F21" s="147"/>
      <c r="G21" s="159"/>
      <c r="H21" s="159"/>
      <c r="I21" s="159"/>
      <c r="J21" s="146"/>
      <c r="K21" s="154">
        <f>'прил. 1  (3)'!$N$18</f>
        <v>5</v>
      </c>
      <c r="L21" s="150" t="s">
        <v>279</v>
      </c>
      <c r="M21" s="150"/>
      <c r="N21" s="150"/>
      <c r="O21" s="150"/>
      <c r="P21" s="154">
        <f>'прил. 1  (3)'!$O$18</f>
        <v>0</v>
      </c>
      <c r="Q21" s="154">
        <f>'прил. 1  (3)'!$P$18</f>
        <v>0</v>
      </c>
      <c r="R21" s="143" t="s">
        <v>522</v>
      </c>
    </row>
    <row r="22" spans="1:18" ht="129.6" customHeight="1">
      <c r="A22" s="934"/>
      <c r="B22" s="932"/>
      <c r="C22" s="164" t="s">
        <v>706</v>
      </c>
      <c r="D22" s="376" t="s">
        <v>355</v>
      </c>
      <c r="E22" s="376">
        <v>0.02</v>
      </c>
      <c r="F22" s="147">
        <f>J22</f>
        <v>15.6</v>
      </c>
      <c r="G22" s="159"/>
      <c r="H22" s="159"/>
      <c r="I22" s="159"/>
      <c r="J22" s="146">
        <v>15.6</v>
      </c>
      <c r="K22" s="154">
        <f>'прил. 1  (3)'!$N$19</f>
        <v>1.5</v>
      </c>
      <c r="L22" s="150" t="s">
        <v>279</v>
      </c>
      <c r="M22" s="150" t="s">
        <v>279</v>
      </c>
      <c r="N22" s="150" t="s">
        <v>279</v>
      </c>
      <c r="O22" s="150" t="s">
        <v>279</v>
      </c>
      <c r="P22" s="154">
        <f>'прил. 1  (3)'!$O$19</f>
        <v>0.64500000000000002</v>
      </c>
      <c r="Q22" s="154">
        <f>'прил. 1  (3)'!$P$19</f>
        <v>3.25</v>
      </c>
      <c r="R22" s="143" t="s">
        <v>354</v>
      </c>
    </row>
    <row r="23" spans="1:18" ht="225.75" customHeight="1">
      <c r="A23" s="934"/>
      <c r="B23" s="932"/>
      <c r="C23" s="164" t="s">
        <v>721</v>
      </c>
      <c r="D23" s="376" t="s">
        <v>355</v>
      </c>
      <c r="E23" s="376">
        <v>0.05</v>
      </c>
      <c r="F23" s="147">
        <v>10.9</v>
      </c>
      <c r="G23" s="159"/>
      <c r="H23" s="159"/>
      <c r="I23" s="159"/>
      <c r="J23" s="146">
        <v>10.9</v>
      </c>
      <c r="K23" s="154">
        <f>'прил. 1  (3)'!$N$20</f>
        <v>23.7</v>
      </c>
      <c r="L23" s="150" t="s">
        <v>279</v>
      </c>
      <c r="M23" s="150" t="s">
        <v>279</v>
      </c>
      <c r="N23" s="150" t="s">
        <v>279</v>
      </c>
      <c r="O23" s="150" t="s">
        <v>279</v>
      </c>
      <c r="P23" s="154">
        <f>'прил. 1  (3)'!$O$20</f>
        <v>27.1</v>
      </c>
      <c r="Q23" s="154">
        <f>'прил. 1  (3)'!$P$20</f>
        <v>31.1</v>
      </c>
      <c r="R23" s="143" t="s">
        <v>354</v>
      </c>
    </row>
    <row r="24" spans="1:18" ht="242.25" customHeight="1">
      <c r="A24" s="934"/>
      <c r="B24" s="932"/>
      <c r="C24" s="163" t="s">
        <v>722</v>
      </c>
      <c r="D24" s="376" t="s">
        <v>355</v>
      </c>
      <c r="E24" s="376">
        <v>0.03</v>
      </c>
      <c r="F24" s="147"/>
      <c r="G24" s="159"/>
      <c r="H24" s="159"/>
      <c r="I24" s="159"/>
      <c r="J24" s="146"/>
      <c r="K24" s="326">
        <f>'прил. 1  (3)'!$N$21</f>
        <v>12.486000000000001</v>
      </c>
      <c r="L24" s="326"/>
      <c r="M24" s="326"/>
      <c r="N24" s="326"/>
      <c r="O24" s="326"/>
      <c r="P24" s="326">
        <f>'прил. 1  (3)'!$O$21</f>
        <v>12.8</v>
      </c>
      <c r="Q24" s="326">
        <f>'прил. 1  (3)'!$P$21</f>
        <v>12.6</v>
      </c>
      <c r="R24" s="143" t="s">
        <v>354</v>
      </c>
    </row>
    <row r="25" spans="1:18" ht="178.5">
      <c r="A25" s="934"/>
      <c r="B25" s="932"/>
      <c r="C25" s="357" t="s">
        <v>700</v>
      </c>
      <c r="D25" s="557" t="s">
        <v>356</v>
      </c>
      <c r="E25" s="557">
        <v>0.13900000000000001</v>
      </c>
      <c r="F25" s="147"/>
      <c r="G25" s="159"/>
      <c r="H25" s="159"/>
      <c r="I25" s="159"/>
      <c r="J25" s="146"/>
      <c r="K25" s="621">
        <f>'прил. 1  (3)'!$N$22</f>
        <v>13.99</v>
      </c>
      <c r="L25" s="621"/>
      <c r="M25" s="621" t="s">
        <v>279</v>
      </c>
      <c r="N25" s="621"/>
      <c r="O25" s="621" t="s">
        <v>279</v>
      </c>
      <c r="P25" s="621">
        <f>'прил. 1  (3)'!$O$22</f>
        <v>44.16</v>
      </c>
      <c r="Q25" s="621">
        <f>'прил. 1  (3)'!$P$22</f>
        <v>71.61</v>
      </c>
      <c r="R25" s="143" t="s">
        <v>522</v>
      </c>
    </row>
    <row r="26" spans="1:18" ht="247.5" customHeight="1">
      <c r="A26" s="934"/>
      <c r="B26" s="932"/>
      <c r="C26" s="357" t="s">
        <v>698</v>
      </c>
      <c r="D26" s="557" t="s">
        <v>356</v>
      </c>
      <c r="E26" s="557">
        <v>1E-3</v>
      </c>
      <c r="F26" s="147"/>
      <c r="G26" s="159"/>
      <c r="H26" s="159"/>
      <c r="I26" s="159"/>
      <c r="J26" s="146"/>
      <c r="K26" s="150">
        <f>'прил. 1  (3)'!$N$23</f>
        <v>33.270000000000003</v>
      </c>
      <c r="L26" s="150"/>
      <c r="M26" s="150"/>
      <c r="N26" s="150"/>
      <c r="O26" s="150"/>
      <c r="P26" s="150">
        <f>'прил. 1  (3)'!$O$23</f>
        <v>73.56</v>
      </c>
      <c r="Q26" s="150">
        <f>'прил. 1  (3)'!$P$23</f>
        <v>86.22</v>
      </c>
      <c r="R26" s="143" t="s">
        <v>522</v>
      </c>
    </row>
    <row r="27" spans="1:18" ht="102">
      <c r="A27" s="934"/>
      <c r="B27" s="932"/>
      <c r="C27" s="327" t="s">
        <v>723</v>
      </c>
      <c r="D27" s="376" t="s">
        <v>475</v>
      </c>
      <c r="E27" s="376">
        <v>0.02</v>
      </c>
      <c r="F27" s="147"/>
      <c r="G27" s="159"/>
      <c r="H27" s="159"/>
      <c r="I27" s="159"/>
      <c r="J27" s="146"/>
      <c r="K27" s="154">
        <v>38</v>
      </c>
      <c r="L27" s="150"/>
      <c r="M27" s="150"/>
      <c r="N27" s="150"/>
      <c r="O27" s="150"/>
      <c r="P27" s="150" t="s">
        <v>279</v>
      </c>
      <c r="Q27" s="150" t="s">
        <v>279</v>
      </c>
      <c r="R27" s="143" t="s">
        <v>354</v>
      </c>
    </row>
    <row r="28" spans="1:18" ht="135.6" hidden="1" customHeight="1">
      <c r="A28" s="934"/>
      <c r="B28" s="932"/>
      <c r="C28" s="162" t="s">
        <v>724</v>
      </c>
      <c r="D28" s="376" t="s">
        <v>355</v>
      </c>
      <c r="E28" s="154" t="s">
        <v>279</v>
      </c>
      <c r="F28" s="147"/>
      <c r="G28" s="159"/>
      <c r="H28" s="159"/>
      <c r="I28" s="159"/>
      <c r="J28" s="146"/>
      <c r="K28" s="154" t="s">
        <v>279</v>
      </c>
      <c r="L28" s="150" t="s">
        <v>279</v>
      </c>
      <c r="M28" s="150" t="s">
        <v>279</v>
      </c>
      <c r="N28" s="150" t="s">
        <v>279</v>
      </c>
      <c r="O28" s="150" t="s">
        <v>279</v>
      </c>
      <c r="P28" s="154" t="s">
        <v>279</v>
      </c>
      <c r="Q28" s="154" t="s">
        <v>279</v>
      </c>
      <c r="R28" s="143" t="s">
        <v>726</v>
      </c>
    </row>
    <row r="29" spans="1:18" ht="204">
      <c r="A29" s="934"/>
      <c r="B29" s="932"/>
      <c r="C29" s="162" t="s">
        <v>725</v>
      </c>
      <c r="D29" s="376" t="s">
        <v>356</v>
      </c>
      <c r="E29" s="376">
        <v>0.04</v>
      </c>
      <c r="F29" s="147"/>
      <c r="G29" s="159"/>
      <c r="H29" s="159"/>
      <c r="I29" s="159"/>
      <c r="J29" s="146"/>
      <c r="K29" s="154">
        <f>'прил. 1  (3)'!$N$26</f>
        <v>61.108719376779419</v>
      </c>
      <c r="L29" s="150"/>
      <c r="M29" s="150"/>
      <c r="N29" s="150"/>
      <c r="O29" s="150"/>
      <c r="P29" s="154">
        <f>'прил. 1  (3)'!$O$26</f>
        <v>59.026678483485696</v>
      </c>
      <c r="Q29" s="154">
        <f>'прил. 1  (3)'!$P$26</f>
        <v>57.690981632198138</v>
      </c>
      <c r="R29" s="143" t="s">
        <v>354</v>
      </c>
    </row>
    <row r="30" spans="1:18" ht="114.75" hidden="1" customHeight="1">
      <c r="A30" s="934"/>
      <c r="B30" s="932"/>
      <c r="C30" s="161" t="s">
        <v>694</v>
      </c>
      <c r="D30" s="376" t="s">
        <v>355</v>
      </c>
      <c r="E30" s="376">
        <v>0</v>
      </c>
      <c r="F30" s="147"/>
      <c r="G30" s="159"/>
      <c r="H30" s="159"/>
      <c r="I30" s="159"/>
      <c r="J30" s="146"/>
      <c r="K30" s="154">
        <f>'прил. 1  (3)'!$M$27</f>
        <v>6772.6279999999997</v>
      </c>
      <c r="L30" s="150"/>
      <c r="M30" s="150"/>
      <c r="N30" s="150"/>
      <c r="O30" s="150"/>
      <c r="P30" s="154">
        <f>'прил. 1  (3)'!$N$27</f>
        <v>6774.6279999999997</v>
      </c>
      <c r="Q30" s="154">
        <f>'прил. 1  (3)'!$O$27</f>
        <v>6776.6279999999997</v>
      </c>
      <c r="R30" s="143" t="s">
        <v>354</v>
      </c>
    </row>
    <row r="31" spans="1:18" ht="89.25">
      <c r="A31" s="934"/>
      <c r="B31" s="932"/>
      <c r="C31" s="161" t="s">
        <v>840</v>
      </c>
      <c r="D31" s="619" t="s">
        <v>355</v>
      </c>
      <c r="E31" s="619">
        <v>0.01</v>
      </c>
      <c r="F31" s="147"/>
      <c r="G31" s="159"/>
      <c r="H31" s="159"/>
      <c r="I31" s="159"/>
      <c r="J31" s="146"/>
      <c r="K31" s="154">
        <f>'прил. 1  (3)'!$N$28</f>
        <v>2002.1699999999998</v>
      </c>
      <c r="L31" s="150"/>
      <c r="M31" s="150"/>
      <c r="N31" s="150"/>
      <c r="O31" s="150"/>
      <c r="P31" s="154">
        <f>'прил. 1  (3)'!$O$28</f>
        <v>1989.37</v>
      </c>
      <c r="Q31" s="154">
        <f>'прил. 1  (3)'!$P$28</f>
        <v>1974.37</v>
      </c>
      <c r="R31" s="143" t="s">
        <v>354</v>
      </c>
    </row>
    <row r="32" spans="1:18" ht="127.5">
      <c r="A32" s="934"/>
      <c r="B32" s="932"/>
      <c r="C32" s="161" t="s">
        <v>844</v>
      </c>
      <c r="D32" s="619" t="s">
        <v>356</v>
      </c>
      <c r="E32" s="619">
        <v>1.4999999999999999E-2</v>
      </c>
      <c r="F32" s="147"/>
      <c r="G32" s="159"/>
      <c r="H32" s="159"/>
      <c r="I32" s="159"/>
      <c r="J32" s="146"/>
      <c r="K32" s="621">
        <f>'прил. 1  (3)'!$N$29</f>
        <v>36.4</v>
      </c>
      <c r="L32" s="621"/>
      <c r="M32" s="621"/>
      <c r="N32" s="621"/>
      <c r="O32" s="621"/>
      <c r="P32" s="621">
        <f>'прил. 1  (3)'!$O$29</f>
        <v>70</v>
      </c>
      <c r="Q32" s="621">
        <f>'прил. 1  (3)'!$P$29</f>
        <v>100</v>
      </c>
      <c r="R32" s="143"/>
    </row>
    <row r="33" spans="1:26" ht="15.75" hidden="1" customHeight="1">
      <c r="A33" s="934"/>
      <c r="B33" s="932"/>
      <c r="C33" s="161"/>
      <c r="D33" s="720"/>
      <c r="E33" s="720"/>
      <c r="F33" s="147"/>
      <c r="G33" s="159"/>
      <c r="H33" s="159"/>
      <c r="I33" s="159"/>
      <c r="J33" s="146"/>
      <c r="K33" s="621"/>
      <c r="L33" s="621"/>
      <c r="M33" s="621"/>
      <c r="N33" s="621"/>
      <c r="O33" s="621"/>
      <c r="P33" s="621"/>
      <c r="Q33" s="621"/>
      <c r="R33" s="143"/>
    </row>
    <row r="34" spans="1:26" ht="15.75" hidden="1" customHeight="1">
      <c r="A34" s="934"/>
      <c r="B34" s="932"/>
      <c r="C34" s="161"/>
      <c r="D34" s="720"/>
      <c r="E34" s="720"/>
      <c r="F34" s="147"/>
      <c r="G34" s="159"/>
      <c r="H34" s="159"/>
      <c r="I34" s="159"/>
      <c r="J34" s="146"/>
      <c r="K34" s="621"/>
      <c r="L34" s="621"/>
      <c r="M34" s="621"/>
      <c r="N34" s="621"/>
      <c r="O34" s="621"/>
      <c r="P34" s="621"/>
      <c r="Q34" s="621"/>
      <c r="R34" s="143"/>
    </row>
    <row r="35" spans="1:26" ht="102">
      <c r="A35" s="934"/>
      <c r="B35" s="933"/>
      <c r="C35" s="160" t="s">
        <v>835</v>
      </c>
      <c r="D35" s="376" t="s">
        <v>356</v>
      </c>
      <c r="E35" s="376">
        <v>1.4999999999999999E-2</v>
      </c>
      <c r="F35" s="147"/>
      <c r="G35" s="159"/>
      <c r="H35" s="159"/>
      <c r="I35" s="159"/>
      <c r="J35" s="146"/>
      <c r="K35" s="621">
        <f>'прил. 1  (3)'!$N$30</f>
        <v>57</v>
      </c>
      <c r="L35" s="621"/>
      <c r="M35" s="621"/>
      <c r="N35" s="621"/>
      <c r="O35" s="621"/>
      <c r="P35" s="621">
        <f>'прил. 1  (3)'!$O$30</f>
        <v>100</v>
      </c>
      <c r="Q35" s="621">
        <f>'прил. 1  (3)'!$P$30</f>
        <v>0</v>
      </c>
      <c r="R35" s="143" t="s">
        <v>354</v>
      </c>
    </row>
    <row r="36" spans="1:26" ht="15.75" hidden="1" customHeight="1">
      <c r="A36" s="934"/>
      <c r="B36" s="719"/>
      <c r="C36" s="725" t="s">
        <v>885</v>
      </c>
      <c r="D36" s="720"/>
      <c r="E36" s="720"/>
      <c r="F36" s="147"/>
      <c r="G36" s="159"/>
      <c r="H36" s="159"/>
      <c r="I36" s="159"/>
      <c r="J36" s="146"/>
      <c r="K36" s="621"/>
      <c r="L36" s="621"/>
      <c r="M36" s="621"/>
      <c r="N36" s="621"/>
      <c r="O36" s="621"/>
      <c r="P36" s="621"/>
      <c r="Q36" s="621"/>
      <c r="R36" s="143"/>
    </row>
    <row r="37" spans="1:26" ht="175.9" customHeight="1">
      <c r="A37" s="934"/>
      <c r="B37" s="936" t="s">
        <v>457</v>
      </c>
      <c r="C37" s="148" t="s">
        <v>837</v>
      </c>
      <c r="D37" s="376" t="s">
        <v>355</v>
      </c>
      <c r="E37" s="376">
        <v>0.09</v>
      </c>
      <c r="F37" s="147">
        <f>J37</f>
        <v>9325.9000000000015</v>
      </c>
      <c r="G37" s="376"/>
      <c r="H37" s="376"/>
      <c r="I37" s="376"/>
      <c r="J37" s="146">
        <f>J38+J39</f>
        <v>9325.9000000000015</v>
      </c>
      <c r="K37" s="154">
        <f>'прил. 1  (3)'!$N$31</f>
        <v>16357.47229157517</v>
      </c>
      <c r="L37" s="150" t="s">
        <v>279</v>
      </c>
      <c r="M37" s="150" t="s">
        <v>279</v>
      </c>
      <c r="N37" s="150" t="s">
        <v>279</v>
      </c>
      <c r="O37" s="150" t="s">
        <v>279</v>
      </c>
      <c r="P37" s="154">
        <f>'прил. 1  (3)'!$O$31</f>
        <v>16641.324433682032</v>
      </c>
      <c r="Q37" s="154">
        <f>'прил. 1  (3)'!$P$31</f>
        <v>16831.871999999999</v>
      </c>
      <c r="R37" s="143" t="s">
        <v>354</v>
      </c>
      <c r="S37" s="155"/>
      <c r="T37" s="155"/>
      <c r="U37" s="155"/>
      <c r="V37" s="155"/>
      <c r="W37" s="155"/>
      <c r="X37" s="155"/>
      <c r="Y37" s="155"/>
      <c r="Z37" s="155"/>
    </row>
    <row r="38" spans="1:26" ht="63.75">
      <c r="A38" s="934"/>
      <c r="B38" s="937"/>
      <c r="C38" s="151" t="s">
        <v>358</v>
      </c>
      <c r="D38" s="376" t="s">
        <v>355</v>
      </c>
      <c r="E38" s="376"/>
      <c r="F38" s="147">
        <f>J38</f>
        <v>4635.6000000000004</v>
      </c>
      <c r="G38" s="376"/>
      <c r="H38" s="376"/>
      <c r="I38" s="376"/>
      <c r="J38" s="158">
        <v>4635.6000000000004</v>
      </c>
      <c r="K38" s="154">
        <f>'прил. 1  (3)'!$N$32</f>
        <v>4951.6082915751713</v>
      </c>
      <c r="L38" s="150" t="s">
        <v>279</v>
      </c>
      <c r="M38" s="150" t="s">
        <v>279</v>
      </c>
      <c r="N38" s="150" t="s">
        <v>279</v>
      </c>
      <c r="O38" s="150" t="s">
        <v>279</v>
      </c>
      <c r="P38" s="154">
        <f>'прил. 1  (3)'!$O$32</f>
        <v>5216.9564336820304</v>
      </c>
      <c r="Q38" s="154">
        <f>'прил. 1  (3)'!$P$32</f>
        <v>5388.4</v>
      </c>
      <c r="R38" s="143"/>
      <c r="S38" s="155"/>
      <c r="T38" s="155"/>
      <c r="U38" s="155"/>
      <c r="V38" s="155"/>
      <c r="W38" s="155"/>
      <c r="X38" s="155"/>
      <c r="Y38" s="155"/>
      <c r="Z38" s="155"/>
    </row>
    <row r="39" spans="1:26" ht="52.9" customHeight="1">
      <c r="A39" s="934"/>
      <c r="B39" s="937"/>
      <c r="C39" s="148" t="s">
        <v>357</v>
      </c>
      <c r="D39" s="376" t="s">
        <v>355</v>
      </c>
      <c r="E39" s="376"/>
      <c r="F39" s="147">
        <f>J39</f>
        <v>4690.3</v>
      </c>
      <c r="G39" s="376"/>
      <c r="H39" s="376"/>
      <c r="I39" s="376"/>
      <c r="J39" s="146">
        <v>4690.3</v>
      </c>
      <c r="K39" s="154">
        <f>'прил. 1  (3)'!$N$33</f>
        <v>11405.864</v>
      </c>
      <c r="L39" s="150" t="s">
        <v>279</v>
      </c>
      <c r="M39" s="150" t="s">
        <v>279</v>
      </c>
      <c r="N39" s="150" t="s">
        <v>279</v>
      </c>
      <c r="O39" s="150" t="s">
        <v>279</v>
      </c>
      <c r="P39" s="154">
        <f>'прил. 1  (3)'!$O$33</f>
        <v>11424.368</v>
      </c>
      <c r="Q39" s="154">
        <f>'прил. 1  (3)'!$P$33</f>
        <v>11443.472</v>
      </c>
      <c r="R39" s="143"/>
      <c r="S39" s="155"/>
      <c r="T39" s="155"/>
      <c r="U39" s="155"/>
      <c r="V39" s="155"/>
      <c r="W39" s="155"/>
      <c r="X39" s="155"/>
      <c r="Y39" s="155"/>
      <c r="Z39" s="155"/>
    </row>
    <row r="40" spans="1:26" ht="183.6" customHeight="1">
      <c r="A40" s="934"/>
      <c r="B40" s="937"/>
      <c r="C40" s="148" t="s">
        <v>841</v>
      </c>
      <c r="D40" s="157" t="s">
        <v>355</v>
      </c>
      <c r="E40" s="376">
        <v>0.08</v>
      </c>
      <c r="F40" s="147"/>
      <c r="G40" s="376"/>
      <c r="H40" s="376"/>
      <c r="I40" s="376"/>
      <c r="J40" s="146">
        <f>J41+J42</f>
        <v>202.7</v>
      </c>
      <c r="K40" s="154">
        <f>'прил. 1  (3)'!$N$34</f>
        <v>413.3</v>
      </c>
      <c r="L40" s="150" t="s">
        <v>279</v>
      </c>
      <c r="M40" s="150" t="s">
        <v>279</v>
      </c>
      <c r="N40" s="150" t="s">
        <v>279</v>
      </c>
      <c r="O40" s="150" t="s">
        <v>279</v>
      </c>
      <c r="P40" s="154">
        <f>'прил. 1  (3)'!$O$34</f>
        <v>400.2</v>
      </c>
      <c r="Q40" s="154">
        <f>'прил. 1  (3)'!$P$34</f>
        <v>382</v>
      </c>
      <c r="R40" s="143" t="s">
        <v>359</v>
      </c>
      <c r="S40" s="155"/>
      <c r="T40" s="155"/>
      <c r="U40" s="155"/>
      <c r="V40" s="155"/>
      <c r="W40" s="155"/>
      <c r="X40" s="155"/>
      <c r="Y40" s="155"/>
      <c r="Z40" s="155"/>
    </row>
    <row r="41" spans="1:26" ht="68.25" customHeight="1">
      <c r="A41" s="934"/>
      <c r="B41" s="937"/>
      <c r="C41" s="151" t="s">
        <v>358</v>
      </c>
      <c r="D41" s="157" t="s">
        <v>355</v>
      </c>
      <c r="E41" s="376"/>
      <c r="F41" s="147"/>
      <c r="G41" s="376"/>
      <c r="H41" s="376"/>
      <c r="I41" s="376"/>
      <c r="J41" s="146">
        <f>20+12.7</f>
        <v>32.700000000000003</v>
      </c>
      <c r="K41" s="154">
        <f>'прил. 1  (3)'!$N$35</f>
        <v>163.30000000000001</v>
      </c>
      <c r="L41" s="150" t="s">
        <v>279</v>
      </c>
      <c r="M41" s="150" t="s">
        <v>279</v>
      </c>
      <c r="N41" s="150" t="s">
        <v>279</v>
      </c>
      <c r="O41" s="150" t="s">
        <v>279</v>
      </c>
      <c r="P41" s="154">
        <f>'прил. 1  (3)'!$O$35</f>
        <v>250.2</v>
      </c>
      <c r="Q41" s="154">
        <f>'прил. 1  (3)'!$P$35</f>
        <v>232</v>
      </c>
      <c r="R41" s="143"/>
      <c r="S41" s="155"/>
      <c r="T41" s="155"/>
      <c r="U41" s="155"/>
      <c r="V41" s="155"/>
      <c r="W41" s="155"/>
      <c r="X41" s="155"/>
      <c r="Y41" s="155"/>
      <c r="Z41" s="155"/>
    </row>
    <row r="42" spans="1:26" ht="38.25">
      <c r="A42" s="934"/>
      <c r="B42" s="937"/>
      <c r="C42" s="148" t="s">
        <v>357</v>
      </c>
      <c r="D42" s="157" t="s">
        <v>355</v>
      </c>
      <c r="E42" s="376"/>
      <c r="F42" s="147"/>
      <c r="G42" s="376"/>
      <c r="H42" s="376"/>
      <c r="I42" s="376"/>
      <c r="J42" s="146">
        <v>170</v>
      </c>
      <c r="K42" s="154">
        <f>'прил. 1  (3)'!$N$36</f>
        <v>250</v>
      </c>
      <c r="L42" s="150" t="s">
        <v>279</v>
      </c>
      <c r="M42" s="150" t="s">
        <v>279</v>
      </c>
      <c r="N42" s="150" t="s">
        <v>279</v>
      </c>
      <c r="O42" s="150" t="s">
        <v>279</v>
      </c>
      <c r="P42" s="154">
        <f>'прил. 1  (3)'!$O$36</f>
        <v>150</v>
      </c>
      <c r="Q42" s="154">
        <f>'прил. 1  (3)'!$P$36</f>
        <v>150</v>
      </c>
      <c r="R42" s="143"/>
      <c r="S42" s="155"/>
      <c r="T42" s="155"/>
      <c r="U42" s="155"/>
      <c r="V42" s="155"/>
      <c r="W42" s="155"/>
      <c r="X42" s="155"/>
      <c r="Y42" s="155"/>
      <c r="Z42" s="155"/>
    </row>
    <row r="43" spans="1:26" s="509" customFormat="1" ht="98.25" hidden="1" customHeight="1">
      <c r="A43" s="934"/>
      <c r="B43" s="937"/>
      <c r="C43" s="500" t="s">
        <v>761</v>
      </c>
      <c r="D43" s="501" t="s">
        <v>475</v>
      </c>
      <c r="E43" s="502">
        <v>0</v>
      </c>
      <c r="F43" s="503"/>
      <c r="G43" s="502"/>
      <c r="H43" s="502"/>
      <c r="I43" s="502"/>
      <c r="J43" s="504"/>
      <c r="K43" s="505">
        <f>'прил. 1  (3)'!$M$37</f>
        <v>16</v>
      </c>
      <c r="L43" s="506"/>
      <c r="M43" s="506"/>
      <c r="N43" s="506"/>
      <c r="O43" s="506"/>
      <c r="P43" s="505">
        <f>'прил. 1  (3)'!$N$37</f>
        <v>7</v>
      </c>
      <c r="Q43" s="505">
        <f>'прил. 1  (3)'!$O$37</f>
        <v>5</v>
      </c>
      <c r="R43" s="507" t="s">
        <v>354</v>
      </c>
      <c r="S43" s="508"/>
      <c r="T43" s="508"/>
      <c r="U43" s="508"/>
      <c r="V43" s="508"/>
      <c r="W43" s="508"/>
      <c r="X43" s="508"/>
      <c r="Y43" s="508"/>
      <c r="Z43" s="508"/>
    </row>
    <row r="44" spans="1:26" ht="114.75" hidden="1">
      <c r="A44" s="934"/>
      <c r="B44" s="937"/>
      <c r="C44" s="148" t="s">
        <v>842</v>
      </c>
      <c r="D44" s="157" t="s">
        <v>355</v>
      </c>
      <c r="E44" s="376">
        <v>0</v>
      </c>
      <c r="F44" s="147"/>
      <c r="G44" s="376"/>
      <c r="H44" s="376"/>
      <c r="I44" s="376"/>
      <c r="J44" s="146"/>
      <c r="K44" s="154">
        <v>0</v>
      </c>
      <c r="L44" s="150"/>
      <c r="M44" s="150"/>
      <c r="N44" s="150"/>
      <c r="O44" s="150"/>
      <c r="P44" s="154" t="s">
        <v>279</v>
      </c>
      <c r="Q44" s="154" t="s">
        <v>279</v>
      </c>
      <c r="R44" s="143" t="s">
        <v>354</v>
      </c>
      <c r="S44" s="155"/>
      <c r="T44" s="155"/>
      <c r="U44" s="155"/>
      <c r="V44" s="155"/>
      <c r="W44" s="155"/>
      <c r="X44" s="155"/>
      <c r="Y44" s="155"/>
      <c r="Z44" s="155"/>
    </row>
    <row r="45" spans="1:26" ht="153">
      <c r="A45" s="934"/>
      <c r="B45" s="937"/>
      <c r="C45" s="148" t="s">
        <v>1101</v>
      </c>
      <c r="D45" s="157" t="s">
        <v>356</v>
      </c>
      <c r="E45" s="376">
        <v>0.1</v>
      </c>
      <c r="F45" s="147"/>
      <c r="G45" s="376"/>
      <c r="H45" s="376"/>
      <c r="I45" s="376"/>
      <c r="J45" s="156">
        <f>J37/SUM(J19+J50)</f>
        <v>0.36759123857423842</v>
      </c>
      <c r="K45" s="154">
        <v>59.8</v>
      </c>
      <c r="L45" s="150" t="s">
        <v>279</v>
      </c>
      <c r="M45" s="150" t="s">
        <v>279</v>
      </c>
      <c r="N45" s="150" t="s">
        <v>279</v>
      </c>
      <c r="O45" s="150" t="s">
        <v>279</v>
      </c>
      <c r="P45" s="154">
        <v>60.8</v>
      </c>
      <c r="Q45" s="154">
        <v>61.5</v>
      </c>
      <c r="R45" s="143" t="s">
        <v>354</v>
      </c>
      <c r="S45" s="155"/>
      <c r="T45" s="155"/>
      <c r="U45" s="155"/>
      <c r="V45" s="155"/>
      <c r="W45" s="155"/>
      <c r="X45" s="155"/>
      <c r="Y45" s="155"/>
      <c r="Z45" s="155"/>
    </row>
    <row r="46" spans="1:26" ht="63.75">
      <c r="A46" s="934"/>
      <c r="B46" s="937"/>
      <c r="C46" s="151" t="s">
        <v>358</v>
      </c>
      <c r="D46" s="157" t="s">
        <v>356</v>
      </c>
      <c r="E46" s="376"/>
      <c r="F46" s="147"/>
      <c r="G46" s="376"/>
      <c r="H46" s="376"/>
      <c r="I46" s="376"/>
      <c r="J46" s="156">
        <f>J38/J19</f>
        <v>0.36211381478732962</v>
      </c>
      <c r="K46" s="154">
        <f>'прил. 1  (3)'!$N$40</f>
        <v>38.891280623220581</v>
      </c>
      <c r="L46" s="150" t="s">
        <v>279</v>
      </c>
      <c r="M46" s="150" t="s">
        <v>279</v>
      </c>
      <c r="N46" s="150" t="s">
        <v>279</v>
      </c>
      <c r="O46" s="150" t="s">
        <v>279</v>
      </c>
      <c r="P46" s="154">
        <f>'прил. 1  (3)'!$O$40</f>
        <v>40.973321516514304</v>
      </c>
      <c r="Q46" s="154">
        <f>'прил. 1  (3)'!$P$40</f>
        <v>42.309018367801862</v>
      </c>
      <c r="R46" s="143"/>
      <c r="S46" s="155"/>
      <c r="T46" s="155"/>
      <c r="U46" s="155"/>
      <c r="V46" s="155"/>
      <c r="W46" s="155"/>
      <c r="X46" s="155"/>
      <c r="Y46" s="155"/>
      <c r="Z46" s="155"/>
    </row>
    <row r="47" spans="1:26" ht="38.25">
      <c r="A47" s="934"/>
      <c r="B47" s="937"/>
      <c r="C47" s="148" t="s">
        <v>357</v>
      </c>
      <c r="D47" s="157" t="s">
        <v>356</v>
      </c>
      <c r="E47" s="376"/>
      <c r="F47" s="147"/>
      <c r="G47" s="376"/>
      <c r="H47" s="376"/>
      <c r="I47" s="376"/>
      <c r="J47" s="156">
        <f>J39/J50</f>
        <v>0.37317007192412965</v>
      </c>
      <c r="K47" s="149">
        <v>77.900000000000006</v>
      </c>
      <c r="L47" s="150" t="s">
        <v>279</v>
      </c>
      <c r="M47" s="150" t="s">
        <v>279</v>
      </c>
      <c r="N47" s="150" t="s">
        <v>279</v>
      </c>
      <c r="O47" s="150" t="s">
        <v>279</v>
      </c>
      <c r="P47" s="149">
        <v>78.099999999999994</v>
      </c>
      <c r="Q47" s="149">
        <v>78.2</v>
      </c>
      <c r="R47" s="143"/>
      <c r="S47" s="155"/>
      <c r="T47" s="155"/>
      <c r="U47" s="155"/>
      <c r="V47" s="155"/>
      <c r="W47" s="155"/>
      <c r="X47" s="155"/>
      <c r="Y47" s="155"/>
      <c r="Z47" s="155"/>
    </row>
    <row r="48" spans="1:26" ht="15.75" hidden="1" customHeight="1">
      <c r="A48" s="934"/>
      <c r="B48" s="937"/>
      <c r="C48" s="152" t="s">
        <v>886</v>
      </c>
      <c r="D48" s="376"/>
      <c r="E48" s="376"/>
      <c r="F48" s="147"/>
      <c r="G48" s="376"/>
      <c r="H48" s="376"/>
      <c r="I48" s="376"/>
      <c r="J48" s="154"/>
      <c r="K48" s="150"/>
      <c r="L48" s="150"/>
      <c r="M48" s="150"/>
      <c r="N48" s="150"/>
      <c r="O48" s="150"/>
      <c r="P48" s="153"/>
      <c r="Q48" s="153"/>
      <c r="R48" s="143"/>
    </row>
    <row r="49" spans="1:18" ht="114.75">
      <c r="A49" s="934"/>
      <c r="B49" s="937"/>
      <c r="C49" s="152" t="s">
        <v>1103</v>
      </c>
      <c r="D49" s="376" t="s">
        <v>356</v>
      </c>
      <c r="E49" s="376">
        <v>0.04</v>
      </c>
      <c r="F49" s="147">
        <f t="shared" ref="F49:F53" si="0">J49</f>
        <v>18.5</v>
      </c>
      <c r="G49" s="376"/>
      <c r="H49" s="376"/>
      <c r="I49" s="376"/>
      <c r="J49" s="376">
        <v>18.5</v>
      </c>
      <c r="K49" s="154">
        <f>'прил. 1  (3)'!$N$43</f>
        <v>19.11</v>
      </c>
      <c r="L49" s="150" t="s">
        <v>279</v>
      </c>
      <c r="M49" s="150" t="s">
        <v>279</v>
      </c>
      <c r="N49" s="150" t="s">
        <v>279</v>
      </c>
      <c r="O49" s="150" t="s">
        <v>279</v>
      </c>
      <c r="P49" s="149">
        <f>'прил. 1  (3)'!$O$43</f>
        <v>19.009999999999998</v>
      </c>
      <c r="Q49" s="149">
        <f>'прил. 1  (3)'!$P$43</f>
        <v>18.909999999999997</v>
      </c>
      <c r="R49" s="143" t="s">
        <v>354</v>
      </c>
    </row>
    <row r="50" spans="1:18" ht="76.5">
      <c r="A50" s="934"/>
      <c r="B50" s="937"/>
      <c r="C50" s="151" t="s">
        <v>1104</v>
      </c>
      <c r="D50" s="376" t="s">
        <v>355</v>
      </c>
      <c r="E50" s="376">
        <v>0.01</v>
      </c>
      <c r="F50" s="147">
        <f t="shared" si="0"/>
        <v>12568.8</v>
      </c>
      <c r="G50" s="376"/>
      <c r="H50" s="376"/>
      <c r="I50" s="376"/>
      <c r="J50" s="146">
        <v>12568.8</v>
      </c>
      <c r="K50" s="154">
        <f>'прил. 1  (3)'!$N$44</f>
        <v>14634.01</v>
      </c>
      <c r="L50" s="150" t="s">
        <v>279</v>
      </c>
      <c r="M50" s="150" t="s">
        <v>279</v>
      </c>
      <c r="N50" s="150" t="s">
        <v>279</v>
      </c>
      <c r="O50" s="150" t="s">
        <v>279</v>
      </c>
      <c r="P50" s="149">
        <f>'прил. 1  (3)'!$O$44</f>
        <v>14634.710000000001</v>
      </c>
      <c r="Q50" s="149">
        <f>'прил. 1  (3)'!$P$44</f>
        <v>14635.01</v>
      </c>
      <c r="R50" s="143" t="s">
        <v>354</v>
      </c>
    </row>
    <row r="51" spans="1:18" ht="89.25">
      <c r="A51" s="934"/>
      <c r="B51" s="937"/>
      <c r="C51" s="148" t="s">
        <v>1105</v>
      </c>
      <c r="D51" s="376" t="s">
        <v>355</v>
      </c>
      <c r="E51" s="376">
        <v>0.05</v>
      </c>
      <c r="F51" s="147">
        <f t="shared" si="0"/>
        <v>10.5</v>
      </c>
      <c r="G51" s="376"/>
      <c r="H51" s="376"/>
      <c r="I51" s="376"/>
      <c r="J51" s="146">
        <v>10.5</v>
      </c>
      <c r="K51" s="154">
        <f>'прил. 1  (3)'!$N$45</f>
        <v>4.5</v>
      </c>
      <c r="L51" s="150" t="s">
        <v>279</v>
      </c>
      <c r="M51" s="150" t="s">
        <v>279</v>
      </c>
      <c r="N51" s="150" t="s">
        <v>279</v>
      </c>
      <c r="O51" s="150" t="s">
        <v>279</v>
      </c>
      <c r="P51" s="149">
        <f>'прил. 1  (3)'!$O$45</f>
        <v>4.9000000000000004</v>
      </c>
      <c r="Q51" s="149">
        <f>'прил. 1  (3)'!$P$45</f>
        <v>9.5</v>
      </c>
      <c r="R51" s="143" t="s">
        <v>354</v>
      </c>
    </row>
    <row r="52" spans="1:18" ht="102">
      <c r="A52" s="934"/>
      <c r="B52" s="937"/>
      <c r="C52" s="148" t="s">
        <v>1106</v>
      </c>
      <c r="D52" s="376" t="s">
        <v>355</v>
      </c>
      <c r="E52" s="376">
        <v>0.03</v>
      </c>
      <c r="F52" s="147">
        <f t="shared" si="0"/>
        <v>3</v>
      </c>
      <c r="G52" s="376"/>
      <c r="H52" s="376"/>
      <c r="I52" s="376"/>
      <c r="J52" s="146">
        <v>3</v>
      </c>
      <c r="K52" s="154">
        <f>'прил. 1  (3)'!$N$46</f>
        <v>0.5</v>
      </c>
      <c r="L52" s="150" t="s">
        <v>279</v>
      </c>
      <c r="M52" s="150" t="s">
        <v>279</v>
      </c>
      <c r="N52" s="150" t="s">
        <v>279</v>
      </c>
      <c r="O52" s="150" t="s">
        <v>279</v>
      </c>
      <c r="P52" s="149">
        <f>'прил. 1  (3)'!$O$46</f>
        <v>0.7</v>
      </c>
      <c r="Q52" s="149">
        <f>'прил. 1  (3)'!$P$46</f>
        <v>0.3</v>
      </c>
      <c r="R52" s="143" t="s">
        <v>354</v>
      </c>
    </row>
    <row r="53" spans="1:18" ht="165.75">
      <c r="A53" s="934"/>
      <c r="B53" s="937"/>
      <c r="C53" s="148" t="s">
        <v>1107</v>
      </c>
      <c r="D53" s="376" t="s">
        <v>355</v>
      </c>
      <c r="E53" s="376">
        <v>0.02</v>
      </c>
      <c r="F53" s="147">
        <f t="shared" si="0"/>
        <v>7.5</v>
      </c>
      <c r="G53" s="376"/>
      <c r="H53" s="376"/>
      <c r="I53" s="376"/>
      <c r="J53" s="146">
        <v>7.5</v>
      </c>
      <c r="K53" s="154">
        <f>'прил. 1  (3)'!$N$47</f>
        <v>4</v>
      </c>
      <c r="L53" s="150" t="s">
        <v>279</v>
      </c>
      <c r="M53" s="150" t="s">
        <v>279</v>
      </c>
      <c r="N53" s="150" t="s">
        <v>279</v>
      </c>
      <c r="O53" s="150" t="s">
        <v>279</v>
      </c>
      <c r="P53" s="149">
        <f>'прил. 1  (3)'!$O$47</f>
        <v>4.2</v>
      </c>
      <c r="Q53" s="149">
        <f>'прил. 1  (3)'!$P$47</f>
        <v>9.1999999999999993</v>
      </c>
      <c r="R53" s="143" t="s">
        <v>354</v>
      </c>
    </row>
    <row r="54" spans="1:18" ht="89.25" hidden="1" customHeight="1">
      <c r="A54" s="934"/>
      <c r="B54" s="937"/>
      <c r="C54" s="148" t="s">
        <v>843</v>
      </c>
      <c r="D54" s="376" t="s">
        <v>355</v>
      </c>
      <c r="E54" s="376">
        <v>0</v>
      </c>
      <c r="F54" s="147"/>
      <c r="G54" s="376"/>
      <c r="H54" s="376"/>
      <c r="I54" s="376"/>
      <c r="J54" s="146"/>
      <c r="K54" s="145">
        <f>'прил. 1  (3)'!$M$48</f>
        <v>4162.1000000000004</v>
      </c>
      <c r="L54" s="145"/>
      <c r="M54" s="145"/>
      <c r="N54" s="145"/>
      <c r="O54" s="145"/>
      <c r="P54" s="144">
        <f>'прил. 1  (3)'!$N$48</f>
        <v>4172.1000000000004</v>
      </c>
      <c r="Q54" s="144">
        <f>'прил. 1  (3)'!$O$48</f>
        <v>4182.1000000000004</v>
      </c>
      <c r="R54" s="143" t="s">
        <v>354</v>
      </c>
    </row>
    <row r="55" spans="1:18" ht="76.5">
      <c r="A55" s="934"/>
      <c r="B55" s="937"/>
      <c r="C55" s="142" t="s">
        <v>1108</v>
      </c>
      <c r="D55" s="468" t="s">
        <v>355</v>
      </c>
      <c r="E55" s="468">
        <v>0.01</v>
      </c>
      <c r="F55" s="469">
        <v>7.5</v>
      </c>
      <c r="G55" s="468"/>
      <c r="H55" s="468"/>
      <c r="I55" s="468"/>
      <c r="J55" s="470">
        <v>7.5</v>
      </c>
      <c r="K55" s="471">
        <f>'прил. 1  (3)'!$N$49</f>
        <v>5844</v>
      </c>
      <c r="L55" s="471" t="s">
        <v>279</v>
      </c>
      <c r="M55" s="471" t="s">
        <v>279</v>
      </c>
      <c r="N55" s="471" t="s">
        <v>279</v>
      </c>
      <c r="O55" s="471" t="s">
        <v>279</v>
      </c>
      <c r="P55" s="472">
        <f>'прил. 1  (3)'!$O$49</f>
        <v>5829</v>
      </c>
      <c r="Q55" s="472">
        <f>'прил. 1  (3)'!$P$49</f>
        <v>5814</v>
      </c>
      <c r="R55" s="166" t="s">
        <v>354</v>
      </c>
    </row>
    <row r="56" spans="1:18" ht="102.75" customHeight="1">
      <c r="A56" s="934"/>
      <c r="B56" s="937"/>
      <c r="C56" s="164" t="s">
        <v>1115</v>
      </c>
      <c r="D56" s="141" t="s">
        <v>356</v>
      </c>
      <c r="E56" s="141">
        <v>0.02</v>
      </c>
      <c r="F56" s="141">
        <v>7.5</v>
      </c>
      <c r="G56" s="141"/>
      <c r="H56" s="141"/>
      <c r="I56" s="141"/>
      <c r="J56" s="141">
        <v>7.5</v>
      </c>
      <c r="K56" s="140">
        <f>'прил. 1  (3)'!$N$50</f>
        <v>63.4</v>
      </c>
      <c r="L56" s="140" t="s">
        <v>279</v>
      </c>
      <c r="M56" s="140" t="s">
        <v>279</v>
      </c>
      <c r="N56" s="140" t="s">
        <v>279</v>
      </c>
      <c r="O56" s="140" t="s">
        <v>279</v>
      </c>
      <c r="P56" s="140">
        <f>'прил. 1  (3)'!$O$50</f>
        <v>69.2</v>
      </c>
      <c r="Q56" s="140">
        <f>'прил. 1  (3)'!$P$50</f>
        <v>73.8</v>
      </c>
      <c r="R56" s="377" t="s">
        <v>354</v>
      </c>
    </row>
    <row r="57" spans="1:18" ht="94.5" customHeight="1">
      <c r="A57" s="934"/>
      <c r="B57" s="937"/>
      <c r="C57" s="493" t="s">
        <v>1116</v>
      </c>
      <c r="D57" s="141" t="s">
        <v>356</v>
      </c>
      <c r="E57" s="141">
        <v>0.02</v>
      </c>
      <c r="F57" s="141"/>
      <c r="G57" s="141"/>
      <c r="H57" s="141"/>
      <c r="I57" s="141"/>
      <c r="J57" s="141"/>
      <c r="K57" s="495">
        <f>'прил. 1  (3)'!$N$51</f>
        <v>1.41</v>
      </c>
      <c r="L57" s="495" t="s">
        <v>279</v>
      </c>
      <c r="M57" s="495" t="s">
        <v>279</v>
      </c>
      <c r="N57" s="495" t="s">
        <v>279</v>
      </c>
      <c r="O57" s="495" t="s">
        <v>279</v>
      </c>
      <c r="P57" s="495">
        <f>'прил. 1  (3)'!$O$51</f>
        <v>1.4</v>
      </c>
      <c r="Q57" s="495">
        <f>'прил. 1  (3)'!$P$51</f>
        <v>1.4</v>
      </c>
      <c r="R57" s="489" t="s">
        <v>354</v>
      </c>
    </row>
    <row r="58" spans="1:18" ht="102.75">
      <c r="A58" s="934"/>
      <c r="B58" s="937"/>
      <c r="C58" s="492" t="s">
        <v>1117</v>
      </c>
      <c r="D58" s="141" t="s">
        <v>356</v>
      </c>
      <c r="E58" s="141">
        <v>0.02</v>
      </c>
      <c r="F58" s="141"/>
      <c r="G58" s="141"/>
      <c r="H58" s="141"/>
      <c r="I58" s="141"/>
      <c r="J58" s="141"/>
      <c r="K58" s="140">
        <f>'прил. 1  (3)'!$N$52</f>
        <v>79.099999999999994</v>
      </c>
      <c r="L58" s="140" t="s">
        <v>279</v>
      </c>
      <c r="M58" s="140" t="s">
        <v>279</v>
      </c>
      <c r="N58" s="140" t="s">
        <v>279</v>
      </c>
      <c r="O58" s="140" t="s">
        <v>279</v>
      </c>
      <c r="P58" s="140">
        <f>'прил. 1  (3)'!$O$52</f>
        <v>72.099999999999994</v>
      </c>
      <c r="Q58" s="140">
        <f>'прил. 1  (3)'!$P$52</f>
        <v>65.099999999999994</v>
      </c>
      <c r="R58" s="489" t="s">
        <v>354</v>
      </c>
    </row>
    <row r="59" spans="1:18" ht="324" customHeight="1">
      <c r="A59" s="934"/>
      <c r="B59" s="937"/>
      <c r="C59" s="623" t="s">
        <v>1118</v>
      </c>
      <c r="D59" s="141" t="s">
        <v>356</v>
      </c>
      <c r="E59" s="141">
        <v>0.01</v>
      </c>
      <c r="F59" s="141"/>
      <c r="G59" s="141"/>
      <c r="H59" s="141"/>
      <c r="I59" s="141"/>
      <c r="J59" s="141"/>
      <c r="K59" s="140">
        <f>'прил. 1  (3)'!$N$53</f>
        <v>20</v>
      </c>
      <c r="L59" s="140" t="s">
        <v>279</v>
      </c>
      <c r="M59" s="140" t="s">
        <v>279</v>
      </c>
      <c r="N59" s="140" t="s">
        <v>279</v>
      </c>
      <c r="O59" s="140" t="s">
        <v>279</v>
      </c>
      <c r="P59" s="140">
        <f>'прил. 1  (3)'!$O$53</f>
        <v>40</v>
      </c>
      <c r="Q59" s="140">
        <f>'прил. 1  (3)'!$P$53</f>
        <v>53</v>
      </c>
      <c r="R59" s="489" t="s">
        <v>354</v>
      </c>
    </row>
    <row r="60" spans="1:18" ht="243" customHeight="1">
      <c r="A60" s="934"/>
      <c r="B60" s="937"/>
      <c r="C60" s="623" t="s">
        <v>1119</v>
      </c>
      <c r="D60" s="141" t="s">
        <v>356</v>
      </c>
      <c r="E60" s="141">
        <v>0.01</v>
      </c>
      <c r="F60" s="141"/>
      <c r="G60" s="141"/>
      <c r="H60" s="141"/>
      <c r="I60" s="141"/>
      <c r="J60" s="141"/>
      <c r="K60" s="140">
        <f>'прил. 1  (3)'!$N$54</f>
        <v>20</v>
      </c>
      <c r="L60" s="140" t="s">
        <v>279</v>
      </c>
      <c r="M60" s="140" t="s">
        <v>279</v>
      </c>
      <c r="N60" s="140" t="s">
        <v>279</v>
      </c>
      <c r="O60" s="140" t="s">
        <v>279</v>
      </c>
      <c r="P60" s="140">
        <f>'прил. 1  (3)'!$O$54</f>
        <v>35</v>
      </c>
      <c r="Q60" s="140">
        <f>'прил. 1  (3)'!$P$54</f>
        <v>50</v>
      </c>
      <c r="R60" s="489" t="s">
        <v>354</v>
      </c>
    </row>
    <row r="61" spans="1:18" ht="96.75" customHeight="1">
      <c r="A61" s="935"/>
      <c r="B61" s="938"/>
      <c r="C61" s="896" t="s">
        <v>1120</v>
      </c>
      <c r="D61" s="159" t="s">
        <v>356</v>
      </c>
      <c r="E61" s="159">
        <v>0.02</v>
      </c>
      <c r="F61" s="895"/>
      <c r="G61" s="895"/>
      <c r="H61" s="895"/>
      <c r="I61" s="895"/>
      <c r="J61" s="895"/>
      <c r="K61" s="150">
        <f>'прил. 1  (3)'!$N$55</f>
        <v>40.205649999999999</v>
      </c>
      <c r="L61" s="150" t="s">
        <v>279</v>
      </c>
      <c r="M61" s="150" t="s">
        <v>279</v>
      </c>
      <c r="N61" s="150" t="s">
        <v>279</v>
      </c>
      <c r="O61" s="150" t="s">
        <v>279</v>
      </c>
      <c r="P61" s="150">
        <f>'прил. 1  (3)'!$O$55</f>
        <v>42.560360000000003</v>
      </c>
      <c r="Q61" s="150">
        <f>'прил. 1  (3)'!$P$55</f>
        <v>44.091929999999998</v>
      </c>
      <c r="R61" s="896" t="s">
        <v>522</v>
      </c>
    </row>
    <row r="62" spans="1:18" ht="21" customHeight="1">
      <c r="A62" s="894"/>
      <c r="B62" s="894"/>
      <c r="C62" s="894"/>
      <c r="D62" s="894"/>
      <c r="E62" s="894"/>
      <c r="F62" s="894"/>
      <c r="G62" s="894"/>
      <c r="H62" s="894"/>
      <c r="I62" s="894"/>
      <c r="J62" s="894"/>
      <c r="K62" s="894"/>
      <c r="L62" s="894"/>
      <c r="M62" s="894"/>
      <c r="N62" s="894"/>
      <c r="O62" s="894"/>
      <c r="P62" s="894"/>
      <c r="Q62" s="894"/>
      <c r="R62" s="894"/>
    </row>
    <row r="63" spans="1:18" ht="27" customHeight="1">
      <c r="A63" s="951" t="s">
        <v>778</v>
      </c>
      <c r="B63" s="951"/>
      <c r="C63" s="951"/>
      <c r="D63" s="951"/>
      <c r="E63" s="951"/>
      <c r="F63" s="951"/>
      <c r="G63" s="951"/>
      <c r="H63" s="951"/>
      <c r="I63" s="951"/>
      <c r="J63" s="951"/>
      <c r="K63" s="951"/>
      <c r="L63" s="951"/>
      <c r="M63" s="951"/>
      <c r="N63" s="951"/>
      <c r="O63" s="951"/>
      <c r="P63" s="951"/>
      <c r="Q63" s="951"/>
      <c r="R63" s="951"/>
    </row>
    <row r="64" spans="1:18" ht="16.5" customHeight="1">
      <c r="A64" s="951"/>
      <c r="B64" s="951"/>
      <c r="C64" s="951"/>
      <c r="D64" s="951"/>
      <c r="E64" s="951"/>
      <c r="F64" s="951"/>
      <c r="G64" s="951"/>
      <c r="H64" s="951"/>
      <c r="I64" s="951"/>
      <c r="J64" s="951"/>
      <c r="K64" s="951"/>
      <c r="L64" s="951"/>
      <c r="M64" s="951"/>
      <c r="N64" s="951"/>
      <c r="O64" s="951"/>
      <c r="P64" s="951"/>
      <c r="Q64" s="951"/>
      <c r="R64" s="951"/>
    </row>
    <row r="65" spans="1:18" ht="6" customHeight="1"/>
    <row r="66" spans="1:18" hidden="1">
      <c r="A66" s="459" t="s">
        <v>474</v>
      </c>
      <c r="B66" s="459" t="s">
        <v>482</v>
      </c>
      <c r="C66" s="459"/>
      <c r="D66" s="459"/>
      <c r="E66" s="459"/>
      <c r="F66" s="459"/>
      <c r="G66" s="459"/>
      <c r="H66" s="459"/>
      <c r="I66" s="459"/>
      <c r="J66" s="459"/>
      <c r="K66" s="459"/>
      <c r="L66" s="459"/>
      <c r="M66" s="459"/>
      <c r="N66" s="459"/>
      <c r="O66" s="459"/>
      <c r="P66" s="459"/>
    </row>
    <row r="67" spans="1:18" ht="11.25" customHeight="1">
      <c r="A67" s="944" t="s">
        <v>779</v>
      </c>
      <c r="B67" s="944"/>
      <c r="C67" s="944"/>
      <c r="D67" s="944"/>
      <c r="E67" s="944"/>
      <c r="F67" s="944"/>
      <c r="G67" s="944"/>
      <c r="H67" s="944"/>
      <c r="I67" s="944"/>
      <c r="J67" s="944"/>
      <c r="K67" s="944"/>
      <c r="L67" s="944"/>
      <c r="M67" s="944"/>
      <c r="N67" s="944"/>
      <c r="O67" s="944"/>
      <c r="P67" s="944"/>
      <c r="Q67" s="944"/>
      <c r="R67" s="944"/>
    </row>
    <row r="68" spans="1:18">
      <c r="A68" s="944"/>
      <c r="B68" s="944"/>
      <c r="C68" s="944"/>
      <c r="D68" s="944"/>
      <c r="E68" s="944"/>
      <c r="F68" s="944"/>
      <c r="G68" s="944"/>
      <c r="H68" s="944"/>
      <c r="I68" s="944"/>
      <c r="J68" s="944"/>
      <c r="K68" s="944"/>
      <c r="L68" s="944"/>
      <c r="M68" s="944"/>
      <c r="N68" s="944"/>
      <c r="O68" s="944"/>
      <c r="P68" s="944"/>
      <c r="Q68" s="944"/>
      <c r="R68" s="944"/>
    </row>
    <row r="70" spans="1:18">
      <c r="A70" s="139" t="s">
        <v>1121</v>
      </c>
    </row>
  </sheetData>
  <mergeCells count="26">
    <mergeCell ref="A67:R68"/>
    <mergeCell ref="B8:R8"/>
    <mergeCell ref="K1:R1"/>
    <mergeCell ref="B4:R4"/>
    <mergeCell ref="B5:R5"/>
    <mergeCell ref="K6:R6"/>
    <mergeCell ref="B7:R7"/>
    <mergeCell ref="B9:R9"/>
    <mergeCell ref="B11:B13"/>
    <mergeCell ref="C11:C13"/>
    <mergeCell ref="D11:D13"/>
    <mergeCell ref="E11:E13"/>
    <mergeCell ref="F11:F13"/>
    <mergeCell ref="G11:J12"/>
    <mergeCell ref="A63:R64"/>
    <mergeCell ref="R11:R13"/>
    <mergeCell ref="B15:R15"/>
    <mergeCell ref="B16:R16"/>
    <mergeCell ref="B17:B35"/>
    <mergeCell ref="A11:A61"/>
    <mergeCell ref="B37:B61"/>
    <mergeCell ref="K12:K13"/>
    <mergeCell ref="L12:O12"/>
    <mergeCell ref="P12:P13"/>
    <mergeCell ref="Q12:Q13"/>
    <mergeCell ref="K11:Q11"/>
  </mergeCells>
  <printOptions horizontalCentered="1"/>
  <pageMargins left="0.70866141732283472" right="0.70866141732283472" top="0.74803149606299213" bottom="0.74803149606299213" header="0.31496062992125984" footer="0.31496062992125984"/>
  <pageSetup paperSize="9" scale="46" fitToHeight="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01"/>
  <sheetViews>
    <sheetView view="pageBreakPreview" topLeftCell="A203" zoomScale="85" zoomScaleNormal="90" zoomScaleSheetLayoutView="85" workbookViewId="0">
      <selection activeCell="A228" sqref="A228:Z228"/>
    </sheetView>
  </sheetViews>
  <sheetFormatPr defaultColWidth="8.85546875" defaultRowHeight="15"/>
  <cols>
    <col min="1" max="1" width="39.42578125" style="10" customWidth="1"/>
    <col min="2" max="2" width="22.140625" style="549" customWidth="1"/>
    <col min="3" max="3" width="7.5703125" style="10" customWidth="1"/>
    <col min="4" max="5" width="9" style="10" bestFit="1" customWidth="1"/>
    <col min="6" max="6" width="14.140625" style="10" customWidth="1"/>
    <col min="7" max="7" width="7.5703125" style="10" customWidth="1"/>
    <col min="8" max="8" width="14.42578125" style="10" hidden="1" customWidth="1"/>
    <col min="9" max="12" width="13.5703125" style="10" hidden="1" customWidth="1"/>
    <col min="13" max="13" width="0.140625" style="10" hidden="1" customWidth="1"/>
    <col min="14" max="14" width="13.7109375" style="10" hidden="1" customWidth="1"/>
    <col min="15" max="15" width="11.42578125" style="10" hidden="1" customWidth="1"/>
    <col min="16" max="16" width="14.7109375" style="10" hidden="1" customWidth="1"/>
    <col min="17" max="17" width="12.140625" style="10" hidden="1" customWidth="1"/>
    <col min="18" max="21" width="13.5703125" style="82" customWidth="1"/>
    <col min="22" max="22" width="12.85546875" style="82" customWidth="1"/>
    <col min="23" max="24" width="16.140625" style="10" customWidth="1"/>
    <col min="25" max="25" width="15.140625" style="10" customWidth="1"/>
    <col min="26" max="26" width="19.5703125" style="10" customWidth="1"/>
    <col min="27" max="27" width="17.42578125" style="314" hidden="1" customWidth="1"/>
    <col min="28" max="28" width="12.85546875" style="10" hidden="1" customWidth="1"/>
    <col min="29" max="29" width="11.5703125" style="10" hidden="1" customWidth="1"/>
    <col min="30" max="30" width="10.7109375" style="10" hidden="1" customWidth="1"/>
    <col min="31" max="31" width="9.140625" style="10" hidden="1" customWidth="1"/>
    <col min="32" max="32" width="11.5703125" style="10" hidden="1" customWidth="1"/>
    <col min="33" max="34" width="11.7109375" style="10" bestFit="1" customWidth="1"/>
    <col min="35" max="35" width="10.7109375" style="10" bestFit="1" customWidth="1"/>
    <col min="36" max="16384" width="8.85546875" style="10"/>
  </cols>
  <sheetData>
    <row r="1" spans="1:34" ht="37.15" customHeight="1">
      <c r="W1" s="995" t="s">
        <v>921</v>
      </c>
      <c r="X1" s="995"/>
      <c r="Y1" s="995"/>
      <c r="Z1" s="995"/>
    </row>
    <row r="2" spans="1:34" ht="22.9" customHeight="1">
      <c r="Z2" s="21" t="s">
        <v>193</v>
      </c>
    </row>
    <row r="3" spans="1:34" ht="20.45" customHeight="1">
      <c r="A3" s="996" t="s">
        <v>190</v>
      </c>
      <c r="B3" s="996"/>
      <c r="C3" s="996"/>
      <c r="D3" s="996"/>
      <c r="E3" s="996"/>
      <c r="F3" s="996"/>
      <c r="G3" s="996"/>
      <c r="H3" s="996"/>
      <c r="I3" s="996"/>
      <c r="J3" s="996"/>
      <c r="K3" s="996"/>
      <c r="L3" s="996"/>
      <c r="M3" s="996"/>
      <c r="N3" s="996"/>
      <c r="O3" s="996"/>
      <c r="P3" s="996"/>
      <c r="Q3" s="996"/>
      <c r="R3" s="996"/>
      <c r="S3" s="996"/>
      <c r="T3" s="996"/>
      <c r="U3" s="996"/>
      <c r="V3" s="996"/>
      <c r="W3" s="996"/>
      <c r="X3" s="996"/>
      <c r="Y3" s="996"/>
      <c r="Z3" s="996"/>
    </row>
    <row r="4" spans="1:34" ht="26.45" customHeight="1">
      <c r="A4" s="996" t="s">
        <v>191</v>
      </c>
      <c r="B4" s="996"/>
      <c r="C4" s="996"/>
      <c r="D4" s="996"/>
      <c r="E4" s="996"/>
      <c r="F4" s="996"/>
      <c r="G4" s="996"/>
      <c r="H4" s="996"/>
      <c r="I4" s="996"/>
      <c r="J4" s="996"/>
      <c r="K4" s="996"/>
      <c r="L4" s="996"/>
      <c r="M4" s="996"/>
      <c r="N4" s="996"/>
      <c r="O4" s="996"/>
      <c r="P4" s="996"/>
      <c r="Q4" s="996"/>
      <c r="R4" s="996"/>
      <c r="S4" s="996"/>
      <c r="T4" s="996"/>
      <c r="U4" s="996"/>
      <c r="V4" s="996"/>
      <c r="W4" s="996"/>
      <c r="X4" s="996"/>
      <c r="Y4" s="996"/>
      <c r="Z4" s="996"/>
    </row>
    <row r="5" spans="1:34" ht="45" customHeight="1">
      <c r="A5" s="996" t="s">
        <v>555</v>
      </c>
      <c r="B5" s="996"/>
      <c r="C5" s="996"/>
      <c r="D5" s="996"/>
      <c r="E5" s="996"/>
      <c r="F5" s="996"/>
      <c r="G5" s="996"/>
      <c r="H5" s="996"/>
      <c r="I5" s="996"/>
      <c r="J5" s="996"/>
      <c r="K5" s="996"/>
      <c r="L5" s="996"/>
      <c r="M5" s="996"/>
      <c r="N5" s="996"/>
      <c r="O5" s="996"/>
      <c r="P5" s="996"/>
      <c r="Q5" s="996"/>
      <c r="R5" s="996"/>
      <c r="S5" s="996"/>
      <c r="T5" s="996"/>
      <c r="U5" s="996"/>
      <c r="V5" s="996"/>
      <c r="W5" s="996"/>
      <c r="X5" s="996"/>
      <c r="Y5" s="996"/>
      <c r="Z5" s="996"/>
    </row>
    <row r="6" spans="1:34" ht="26.45" customHeight="1">
      <c r="A6" s="996" t="s">
        <v>922</v>
      </c>
      <c r="B6" s="996"/>
      <c r="C6" s="996"/>
      <c r="D6" s="996"/>
      <c r="E6" s="996"/>
      <c r="F6" s="996"/>
      <c r="G6" s="996"/>
      <c r="H6" s="996"/>
      <c r="I6" s="996"/>
      <c r="J6" s="996"/>
      <c r="K6" s="996"/>
      <c r="L6" s="996"/>
      <c r="M6" s="996"/>
      <c r="N6" s="996"/>
      <c r="O6" s="996"/>
      <c r="P6" s="996"/>
      <c r="Q6" s="996"/>
      <c r="R6" s="996"/>
      <c r="S6" s="996"/>
      <c r="T6" s="996"/>
      <c r="U6" s="996"/>
      <c r="V6" s="996"/>
      <c r="W6" s="996"/>
      <c r="X6" s="996"/>
      <c r="Y6" s="996"/>
      <c r="Z6" s="996"/>
    </row>
    <row r="7" spans="1:34">
      <c r="A7" s="22"/>
    </row>
    <row r="8" spans="1:34" ht="21" customHeight="1">
      <c r="A8" s="950" t="s">
        <v>0</v>
      </c>
      <c r="B8" s="1014" t="s">
        <v>1</v>
      </c>
      <c r="C8" s="1006" t="s">
        <v>143</v>
      </c>
      <c r="D8" s="1007"/>
      <c r="E8" s="1007"/>
      <c r="F8" s="1007"/>
      <c r="G8" s="1008"/>
      <c r="H8" s="1006" t="s">
        <v>144</v>
      </c>
      <c r="I8" s="950" t="s">
        <v>145</v>
      </c>
      <c r="J8" s="950"/>
      <c r="K8" s="950"/>
      <c r="L8" s="950"/>
      <c r="M8" s="950" t="s">
        <v>8</v>
      </c>
      <c r="N8" s="950" t="s">
        <v>268</v>
      </c>
      <c r="O8" s="950"/>
      <c r="P8" s="950"/>
      <c r="Q8" s="950"/>
      <c r="R8" s="997" t="s">
        <v>465</v>
      </c>
      <c r="S8" s="958" t="s">
        <v>997</v>
      </c>
      <c r="T8" s="959"/>
      <c r="U8" s="959"/>
      <c r="V8" s="960"/>
      <c r="W8" s="950" t="s">
        <v>525</v>
      </c>
      <c r="X8" s="939" t="s">
        <v>924</v>
      </c>
      <c r="Y8" s="950" t="s">
        <v>2</v>
      </c>
      <c r="Z8" s="950" t="s">
        <v>3</v>
      </c>
    </row>
    <row r="9" spans="1:34">
      <c r="A9" s="950"/>
      <c r="B9" s="1015"/>
      <c r="C9" s="1009"/>
      <c r="D9" s="1010"/>
      <c r="E9" s="1010"/>
      <c r="F9" s="1010"/>
      <c r="G9" s="1011"/>
      <c r="H9" s="1013"/>
      <c r="I9" s="950"/>
      <c r="J9" s="950"/>
      <c r="K9" s="950"/>
      <c r="L9" s="950"/>
      <c r="M9" s="950"/>
      <c r="N9" s="950"/>
      <c r="O9" s="950"/>
      <c r="P9" s="950"/>
      <c r="Q9" s="950"/>
      <c r="R9" s="997"/>
      <c r="S9" s="961"/>
      <c r="T9" s="962"/>
      <c r="U9" s="962"/>
      <c r="V9" s="963"/>
      <c r="W9" s="950"/>
      <c r="X9" s="974"/>
      <c r="Y9" s="950"/>
      <c r="Z9" s="950"/>
    </row>
    <row r="10" spans="1:34" ht="45" customHeight="1">
      <c r="A10" s="950"/>
      <c r="B10" s="1016"/>
      <c r="C10" s="50" t="s">
        <v>4</v>
      </c>
      <c r="D10" s="334" t="s">
        <v>492</v>
      </c>
      <c r="E10" s="50" t="s">
        <v>493</v>
      </c>
      <c r="F10" s="50" t="s">
        <v>6</v>
      </c>
      <c r="G10" s="50" t="s">
        <v>7</v>
      </c>
      <c r="H10" s="1009"/>
      <c r="I10" s="50" t="s">
        <v>146</v>
      </c>
      <c r="J10" s="50" t="s">
        <v>147</v>
      </c>
      <c r="K10" s="50" t="s">
        <v>148</v>
      </c>
      <c r="L10" s="50" t="s">
        <v>149</v>
      </c>
      <c r="M10" s="950"/>
      <c r="N10" s="50" t="s">
        <v>146</v>
      </c>
      <c r="O10" s="50" t="s">
        <v>147</v>
      </c>
      <c r="P10" s="50" t="s">
        <v>148</v>
      </c>
      <c r="Q10" s="50" t="s">
        <v>149</v>
      </c>
      <c r="R10" s="997"/>
      <c r="S10" s="288" t="s">
        <v>146</v>
      </c>
      <c r="T10" s="288" t="s">
        <v>147</v>
      </c>
      <c r="U10" s="288" t="s">
        <v>148</v>
      </c>
      <c r="V10" s="288" t="s">
        <v>149</v>
      </c>
      <c r="W10" s="950"/>
      <c r="X10" s="940"/>
      <c r="Y10" s="950"/>
      <c r="Z10" s="950"/>
    </row>
    <row r="11" spans="1:34" ht="14.45" customHeight="1">
      <c r="A11" s="50">
        <v>1</v>
      </c>
      <c r="B11" s="546">
        <v>2</v>
      </c>
      <c r="C11" s="50">
        <v>3</v>
      </c>
      <c r="D11" s="334">
        <v>4</v>
      </c>
      <c r="E11" s="50">
        <v>5</v>
      </c>
      <c r="F11" s="50">
        <v>6</v>
      </c>
      <c r="G11" s="50">
        <v>7</v>
      </c>
      <c r="H11" s="50">
        <v>7</v>
      </c>
      <c r="I11" s="50">
        <v>8</v>
      </c>
      <c r="J11" s="50">
        <v>9</v>
      </c>
      <c r="K11" s="50">
        <v>10</v>
      </c>
      <c r="L11" s="50">
        <v>11</v>
      </c>
      <c r="M11" s="50">
        <v>7</v>
      </c>
      <c r="N11" s="50">
        <v>8</v>
      </c>
      <c r="O11" s="50">
        <v>9</v>
      </c>
      <c r="P11" s="50">
        <v>10</v>
      </c>
      <c r="Q11" s="50">
        <v>11</v>
      </c>
      <c r="R11" s="83">
        <v>8</v>
      </c>
      <c r="S11" s="288">
        <v>9</v>
      </c>
      <c r="T11" s="288">
        <v>10</v>
      </c>
      <c r="U11" s="288">
        <v>11</v>
      </c>
      <c r="V11" s="288">
        <v>12</v>
      </c>
      <c r="W11" s="590">
        <v>13</v>
      </c>
      <c r="X11" s="116">
        <v>14</v>
      </c>
      <c r="Y11" s="50">
        <v>15</v>
      </c>
      <c r="Z11" s="50">
        <v>16</v>
      </c>
    </row>
    <row r="12" spans="1:34" ht="28.15" customHeight="1">
      <c r="A12" s="1012" t="s">
        <v>280</v>
      </c>
      <c r="B12" s="1012"/>
      <c r="C12" s="1012"/>
      <c r="D12" s="1012"/>
      <c r="E12" s="1012"/>
      <c r="F12" s="1012"/>
      <c r="G12" s="1012"/>
      <c r="H12" s="1012"/>
      <c r="I12" s="1012"/>
      <c r="J12" s="1012"/>
      <c r="K12" s="1012"/>
      <c r="L12" s="1012"/>
      <c r="M12" s="1012"/>
      <c r="N12" s="1012"/>
      <c r="O12" s="1012"/>
      <c r="P12" s="1012"/>
      <c r="Q12" s="1012"/>
      <c r="R12" s="1012"/>
      <c r="S12" s="1012"/>
      <c r="T12" s="1012"/>
      <c r="U12" s="1012"/>
      <c r="V12" s="1012"/>
      <c r="W12" s="1012"/>
      <c r="X12" s="1012"/>
      <c r="Y12" s="1012"/>
      <c r="Z12" s="1012"/>
    </row>
    <row r="13" spans="1:34" ht="28.15" customHeight="1">
      <c r="A13" s="982" t="s">
        <v>826</v>
      </c>
      <c r="B13" s="547" t="s">
        <v>176</v>
      </c>
      <c r="C13" s="474"/>
      <c r="D13" s="474"/>
      <c r="E13" s="474"/>
      <c r="F13" s="474"/>
      <c r="G13" s="474"/>
      <c r="H13" s="474"/>
      <c r="I13" s="474"/>
      <c r="J13" s="474"/>
      <c r="K13" s="474"/>
      <c r="L13" s="474"/>
      <c r="M13" s="474"/>
      <c r="N13" s="474"/>
      <c r="O13" s="474"/>
      <c r="P13" s="474"/>
      <c r="Q13" s="474"/>
      <c r="R13" s="474"/>
      <c r="S13" s="474"/>
      <c r="T13" s="474"/>
      <c r="U13" s="474"/>
      <c r="V13" s="474"/>
      <c r="W13" s="591"/>
      <c r="X13" s="474"/>
      <c r="Y13" s="975" t="s">
        <v>896</v>
      </c>
      <c r="Z13" s="964" t="s">
        <v>775</v>
      </c>
    </row>
    <row r="14" spans="1:34" ht="28.15" customHeight="1">
      <c r="A14" s="983"/>
      <c r="B14" s="547" t="s">
        <v>668</v>
      </c>
      <c r="C14" s="474"/>
      <c r="D14" s="474"/>
      <c r="E14" s="474"/>
      <c r="F14" s="474"/>
      <c r="G14" s="474"/>
      <c r="H14" s="474"/>
      <c r="I14" s="474"/>
      <c r="J14" s="474"/>
      <c r="K14" s="474"/>
      <c r="L14" s="474"/>
      <c r="M14" s="474"/>
      <c r="N14" s="474"/>
      <c r="O14" s="474"/>
      <c r="P14" s="474"/>
      <c r="Q14" s="474"/>
      <c r="R14" s="474"/>
      <c r="S14" s="63" t="s">
        <v>496</v>
      </c>
      <c r="T14" s="63" t="s">
        <v>496</v>
      </c>
      <c r="U14" s="63" t="s">
        <v>496</v>
      </c>
      <c r="V14" s="11" t="s">
        <v>496</v>
      </c>
      <c r="W14" s="591"/>
      <c r="X14" s="474"/>
      <c r="Y14" s="976"/>
      <c r="Z14" s="965"/>
    </row>
    <row r="15" spans="1:34" ht="21.75" customHeight="1">
      <c r="A15" s="983"/>
      <c r="B15" s="547" t="s">
        <v>25</v>
      </c>
      <c r="C15" s="11"/>
      <c r="D15" s="127"/>
      <c r="E15" s="127"/>
      <c r="F15" s="11"/>
      <c r="G15" s="11"/>
      <c r="H15" s="474"/>
      <c r="I15" s="474"/>
      <c r="J15" s="474"/>
      <c r="K15" s="474"/>
      <c r="L15" s="474"/>
      <c r="M15" s="474"/>
      <c r="N15" s="474"/>
      <c r="O15" s="474"/>
      <c r="P15" s="474"/>
      <c r="Q15" s="474"/>
      <c r="R15" s="63">
        <f t="shared" ref="R15:X15" si="0">R16+R17+R19+R18</f>
        <v>4288598.95</v>
      </c>
      <c r="S15" s="63">
        <f t="shared" si="0"/>
        <v>9582.7999999999993</v>
      </c>
      <c r="T15" s="63">
        <f t="shared" si="0"/>
        <v>0</v>
      </c>
      <c r="U15" s="63">
        <f t="shared" si="0"/>
        <v>0</v>
      </c>
      <c r="V15" s="63">
        <f t="shared" si="0"/>
        <v>4279016.1500000004</v>
      </c>
      <c r="W15" s="63">
        <f t="shared" si="0"/>
        <v>6478204.5</v>
      </c>
      <c r="X15" s="63">
        <f t="shared" si="0"/>
        <v>4698758.3000000007</v>
      </c>
      <c r="Y15" s="976"/>
      <c r="Z15" s="965"/>
    </row>
    <row r="16" spans="1:34" ht="29.25" customHeight="1">
      <c r="A16" s="983"/>
      <c r="B16" s="547" t="s">
        <v>10</v>
      </c>
      <c r="C16" s="11">
        <v>176</v>
      </c>
      <c r="D16" s="127" t="s">
        <v>494</v>
      </c>
      <c r="E16" s="127" t="s">
        <v>495</v>
      </c>
      <c r="F16" s="11" t="s">
        <v>739</v>
      </c>
      <c r="G16" s="11" t="s">
        <v>28</v>
      </c>
      <c r="H16" s="474"/>
      <c r="I16" s="474"/>
      <c r="J16" s="474"/>
      <c r="K16" s="474"/>
      <c r="L16" s="474"/>
      <c r="M16" s="474"/>
      <c r="N16" s="474"/>
      <c r="O16" s="474"/>
      <c r="P16" s="474"/>
      <c r="Q16" s="474"/>
      <c r="R16" s="63">
        <f t="shared" ref="R16:X16" si="1">R25+R46+R62+R69</f>
        <v>2403963.2000000002</v>
      </c>
      <c r="S16" s="63">
        <f t="shared" si="1"/>
        <v>9582.7999999999993</v>
      </c>
      <c r="T16" s="63">
        <f t="shared" si="1"/>
        <v>0</v>
      </c>
      <c r="U16" s="63">
        <f t="shared" si="1"/>
        <v>0</v>
      </c>
      <c r="V16" s="63">
        <f t="shared" si="1"/>
        <v>2394380.4000000004</v>
      </c>
      <c r="W16" s="63">
        <f t="shared" si="1"/>
        <v>5106323.5</v>
      </c>
      <c r="X16" s="63">
        <f t="shared" si="1"/>
        <v>4429562.4000000004</v>
      </c>
      <c r="Y16" s="976"/>
      <c r="Z16" s="965"/>
      <c r="AH16" s="76"/>
    </row>
    <row r="17" spans="1:26" ht="28.5" customHeight="1">
      <c r="A17" s="983"/>
      <c r="B17" s="547" t="s">
        <v>443</v>
      </c>
      <c r="C17" s="11">
        <v>176</v>
      </c>
      <c r="D17" s="127" t="s">
        <v>494</v>
      </c>
      <c r="E17" s="127" t="s">
        <v>495</v>
      </c>
      <c r="F17" s="11" t="s">
        <v>739</v>
      </c>
      <c r="G17" s="11" t="s">
        <v>28</v>
      </c>
      <c r="H17" s="11"/>
      <c r="I17" s="11"/>
      <c r="J17" s="11"/>
      <c r="K17" s="11"/>
      <c r="L17" s="11"/>
      <c r="M17" s="11"/>
      <c r="N17" s="11"/>
      <c r="O17" s="11"/>
      <c r="P17" s="11"/>
      <c r="Q17" s="11"/>
      <c r="R17" s="63">
        <f>'Подробный перечень(БКАД)'!$G$1189</f>
        <v>1490000</v>
      </c>
      <c r="S17" s="63">
        <f>'Подробный перечень(БКАД)'!$H$1189</f>
        <v>0</v>
      </c>
      <c r="T17" s="63">
        <f>'Подробный перечень(БКАД)'!$I$1189</f>
        <v>0</v>
      </c>
      <c r="U17" s="63">
        <f>'Подробный перечень(БКАД)'!$J$1189</f>
        <v>0</v>
      </c>
      <c r="V17" s="63">
        <f>'Подробный перечень(БКАД)'!$K$1189</f>
        <v>1490000</v>
      </c>
      <c r="W17" s="63">
        <f>'Подробный перечень(БКАД)'!$L$1189</f>
        <v>1000000</v>
      </c>
      <c r="X17" s="63">
        <f>'Подробный перечень(БКАД)'!$M$1189</f>
        <v>0</v>
      </c>
      <c r="Y17" s="976"/>
      <c r="Z17" s="965"/>
    </row>
    <row r="18" spans="1:26" ht="20.25" customHeight="1">
      <c r="A18" s="983"/>
      <c r="B18" s="728" t="s">
        <v>890</v>
      </c>
      <c r="C18" s="727">
        <v>124</v>
      </c>
      <c r="D18" s="727" t="s">
        <v>494</v>
      </c>
      <c r="E18" s="727" t="s">
        <v>495</v>
      </c>
      <c r="F18" s="727" t="s">
        <v>739</v>
      </c>
      <c r="G18" s="727" t="s">
        <v>28</v>
      </c>
      <c r="H18" s="727"/>
      <c r="I18" s="727"/>
      <c r="J18" s="727"/>
      <c r="K18" s="727"/>
      <c r="L18" s="727"/>
      <c r="M18" s="727"/>
      <c r="N18" s="727"/>
      <c r="O18" s="727"/>
      <c r="P18" s="727"/>
      <c r="Q18" s="727"/>
      <c r="R18" s="63">
        <f t="shared" ref="R18:X18" si="2">R27</f>
        <v>0</v>
      </c>
      <c r="S18" s="63">
        <f t="shared" si="2"/>
        <v>0</v>
      </c>
      <c r="T18" s="63">
        <f t="shared" si="2"/>
        <v>0</v>
      </c>
      <c r="U18" s="63">
        <f t="shared" si="2"/>
        <v>0</v>
      </c>
      <c r="V18" s="63">
        <f t="shared" si="2"/>
        <v>0</v>
      </c>
      <c r="W18" s="63">
        <f t="shared" si="2"/>
        <v>0</v>
      </c>
      <c r="X18" s="63">
        <f t="shared" si="2"/>
        <v>0</v>
      </c>
      <c r="Y18" s="976"/>
      <c r="Z18" s="965"/>
    </row>
    <row r="19" spans="1:26" ht="25.5" customHeight="1">
      <c r="A19" s="983"/>
      <c r="B19" s="547" t="s">
        <v>673</v>
      </c>
      <c r="C19" s="11"/>
      <c r="D19" s="11"/>
      <c r="E19" s="11"/>
      <c r="F19" s="11"/>
      <c r="G19" s="11"/>
      <c r="H19" s="11"/>
      <c r="I19" s="11"/>
      <c r="J19" s="11"/>
      <c r="K19" s="11"/>
      <c r="L19" s="11"/>
      <c r="M19" s="11"/>
      <c r="N19" s="11"/>
      <c r="O19" s="11"/>
      <c r="P19" s="11"/>
      <c r="Q19" s="11"/>
      <c r="R19" s="63">
        <f>'Подробный перечень(БКАД)'!$G$1190</f>
        <v>394635.75</v>
      </c>
      <c r="S19" s="63">
        <f>'Подробный перечень(БКАД)'!$H$1190</f>
        <v>0</v>
      </c>
      <c r="T19" s="63">
        <f>'Подробный перечень(БКАД)'!$I$1190</f>
        <v>0</v>
      </c>
      <c r="U19" s="63">
        <f>'Подробный перечень(БКАД)'!$J$1190</f>
        <v>0</v>
      </c>
      <c r="V19" s="63">
        <f>'Подробный перечень(БКАД)'!$K$1190</f>
        <v>394635.75</v>
      </c>
      <c r="W19" s="63">
        <f>'Подробный перечень(БКАД)'!$L$1190</f>
        <v>371881</v>
      </c>
      <c r="X19" s="63">
        <f>'Подробный перечень(БКАД)'!$M$1190</f>
        <v>269195.90000000002</v>
      </c>
      <c r="Y19" s="977"/>
      <c r="Z19" s="966"/>
    </row>
    <row r="20" spans="1:26" ht="25.5" customHeight="1">
      <c r="A20" s="983"/>
      <c r="B20" s="811" t="s">
        <v>454</v>
      </c>
      <c r="C20" s="777"/>
      <c r="D20" s="777"/>
      <c r="E20" s="777"/>
      <c r="F20" s="777"/>
      <c r="G20" s="777"/>
      <c r="H20" s="777"/>
      <c r="I20" s="777"/>
      <c r="J20" s="777"/>
      <c r="K20" s="777"/>
      <c r="L20" s="777"/>
      <c r="M20" s="777"/>
      <c r="N20" s="777"/>
      <c r="O20" s="777"/>
      <c r="P20" s="777"/>
      <c r="Q20" s="777"/>
      <c r="R20" s="63"/>
      <c r="S20" s="63"/>
      <c r="T20" s="63"/>
      <c r="U20" s="63"/>
      <c r="V20" s="63"/>
      <c r="W20" s="63"/>
      <c r="X20" s="63"/>
      <c r="Y20" s="815"/>
      <c r="Z20" s="813"/>
    </row>
    <row r="21" spans="1:26" ht="25.5" customHeight="1">
      <c r="A21" s="984"/>
      <c r="B21" s="811" t="s">
        <v>1061</v>
      </c>
      <c r="C21" s="777"/>
      <c r="D21" s="777"/>
      <c r="E21" s="777"/>
      <c r="F21" s="777"/>
      <c r="G21" s="777"/>
      <c r="H21" s="777"/>
      <c r="I21" s="777"/>
      <c r="J21" s="777"/>
      <c r="K21" s="777"/>
      <c r="L21" s="777"/>
      <c r="M21" s="777"/>
      <c r="N21" s="777"/>
      <c r="O21" s="777"/>
      <c r="P21" s="777"/>
      <c r="Q21" s="777"/>
      <c r="R21" s="63"/>
      <c r="S21" s="63"/>
      <c r="T21" s="63"/>
      <c r="U21" s="63"/>
      <c r="V21" s="63"/>
      <c r="W21" s="63"/>
      <c r="X21" s="63"/>
      <c r="Y21" s="815"/>
      <c r="Z21" s="813"/>
    </row>
    <row r="22" spans="1:26" ht="24.75" customHeight="1">
      <c r="A22" s="988" t="s">
        <v>808</v>
      </c>
      <c r="B22" s="547" t="s">
        <v>176</v>
      </c>
      <c r="C22" s="11"/>
      <c r="D22" s="11"/>
      <c r="E22" s="11"/>
      <c r="F22" s="11"/>
      <c r="G22" s="11"/>
      <c r="H22" s="11"/>
      <c r="I22" s="11"/>
      <c r="J22" s="11"/>
      <c r="K22" s="11"/>
      <c r="L22" s="11"/>
      <c r="M22" s="11"/>
      <c r="N22" s="11"/>
      <c r="O22" s="11"/>
      <c r="P22" s="11"/>
      <c r="Q22" s="11"/>
      <c r="R22" s="63">
        <f>V22</f>
        <v>17.859323092576776</v>
      </c>
      <c r="S22" s="63"/>
      <c r="T22" s="63"/>
      <c r="U22" s="63"/>
      <c r="V22" s="63">
        <f>'Подробный перечень(БКАД)'!$K$11</f>
        <v>17.859323092576776</v>
      </c>
      <c r="W22" s="63">
        <f>'Подробный перечень(БКАД)'!$L$11</f>
        <v>15.299999999999999</v>
      </c>
      <c r="X22" s="63">
        <f>'Подробный перечень(БКАД)'!$M$11</f>
        <v>17</v>
      </c>
      <c r="Y22" s="964" t="s">
        <v>897</v>
      </c>
      <c r="Z22" s="967" t="s">
        <v>1092</v>
      </c>
    </row>
    <row r="23" spans="1:26" ht="27.75" customHeight="1">
      <c r="A23" s="988"/>
      <c r="B23" s="547" t="s">
        <v>668</v>
      </c>
      <c r="C23" s="11"/>
      <c r="D23" s="11"/>
      <c r="E23" s="11"/>
      <c r="F23" s="11"/>
      <c r="G23" s="11"/>
      <c r="H23" s="11"/>
      <c r="I23" s="11"/>
      <c r="J23" s="11"/>
      <c r="K23" s="11"/>
      <c r="L23" s="11"/>
      <c r="M23" s="11"/>
      <c r="N23" s="11"/>
      <c r="O23" s="11"/>
      <c r="P23" s="11"/>
      <c r="Q23" s="11"/>
      <c r="R23" s="741">
        <f>R31</f>
        <v>79349.899999999994</v>
      </c>
      <c r="S23" s="741" t="s">
        <v>496</v>
      </c>
      <c r="T23" s="741" t="s">
        <v>496</v>
      </c>
      <c r="U23" s="741" t="s">
        <v>496</v>
      </c>
      <c r="V23" s="741" t="s">
        <v>496</v>
      </c>
      <c r="W23" s="741">
        <f>W31</f>
        <v>118039.21568627452</v>
      </c>
      <c r="X23" s="741">
        <f>X31</f>
        <v>68266.170588235284</v>
      </c>
      <c r="Y23" s="965"/>
      <c r="Z23" s="967"/>
    </row>
    <row r="24" spans="1:26" ht="24" customHeight="1">
      <c r="A24" s="988"/>
      <c r="B24" s="547" t="s">
        <v>25</v>
      </c>
      <c r="C24" s="11">
        <v>176</v>
      </c>
      <c r="D24" s="11" t="s">
        <v>494</v>
      </c>
      <c r="E24" s="11" t="s">
        <v>495</v>
      </c>
      <c r="F24" s="11" t="s">
        <v>563</v>
      </c>
      <c r="G24" s="11" t="s">
        <v>28</v>
      </c>
      <c r="H24" s="11"/>
      <c r="I24" s="11"/>
      <c r="J24" s="11"/>
      <c r="K24" s="11"/>
      <c r="L24" s="11"/>
      <c r="M24" s="11"/>
      <c r="N24" s="11"/>
      <c r="O24" s="11"/>
      <c r="P24" s="11"/>
      <c r="Q24" s="11"/>
      <c r="R24" s="63">
        <f>R25+R26+R27</f>
        <v>1431399.8</v>
      </c>
      <c r="S24" s="63">
        <f>S25+S26+S27</f>
        <v>5736.3</v>
      </c>
      <c r="T24" s="63">
        <f>T25+T26+T27</f>
        <v>0</v>
      </c>
      <c r="U24" s="63">
        <f>U25+U26+U27</f>
        <v>0</v>
      </c>
      <c r="V24" s="63">
        <f>V25+V26+V27</f>
        <v>1425663.5</v>
      </c>
      <c r="W24" s="63">
        <f>W25+W26</f>
        <v>1806000</v>
      </c>
      <c r="X24" s="63">
        <f>X25+X26</f>
        <v>1160524.8999999999</v>
      </c>
      <c r="Y24" s="965"/>
      <c r="Z24" s="967"/>
    </row>
    <row r="25" spans="1:26" ht="24" customHeight="1">
      <c r="A25" s="988"/>
      <c r="B25" s="547" t="s">
        <v>10</v>
      </c>
      <c r="C25" s="11">
        <v>176</v>
      </c>
      <c r="D25" s="11" t="s">
        <v>494</v>
      </c>
      <c r="E25" s="11" t="s">
        <v>495</v>
      </c>
      <c r="F25" s="11" t="s">
        <v>563</v>
      </c>
      <c r="G25" s="11" t="s">
        <v>28</v>
      </c>
      <c r="H25" s="11"/>
      <c r="I25" s="11"/>
      <c r="J25" s="11"/>
      <c r="K25" s="11"/>
      <c r="L25" s="11"/>
      <c r="M25" s="11"/>
      <c r="N25" s="11"/>
      <c r="O25" s="11"/>
      <c r="P25" s="11"/>
      <c r="Q25" s="11"/>
      <c r="R25" s="63">
        <f>'Подробный перечень(БКАД)'!$G$15</f>
        <v>573599.80000000005</v>
      </c>
      <c r="S25" s="63">
        <f>'Подробный перечень(БКАД)'!$H$15</f>
        <v>5736.3</v>
      </c>
      <c r="T25" s="63">
        <f>'Подробный перечень(БКАД)'!$H$1189</f>
        <v>0</v>
      </c>
      <c r="U25" s="63">
        <v>0</v>
      </c>
      <c r="V25" s="63">
        <f>'Подробный перечень(БКАД)'!$K$15</f>
        <v>567863.5</v>
      </c>
      <c r="W25" s="63">
        <f>'Подробный перечень(БКАД)'!$L$15</f>
        <v>901000</v>
      </c>
      <c r="X25" s="63">
        <f>'Подробный перечень(БКАД)'!$M$15</f>
        <v>1160524.8999999999</v>
      </c>
      <c r="Y25" s="965"/>
      <c r="Z25" s="967"/>
    </row>
    <row r="26" spans="1:26" ht="24" customHeight="1">
      <c r="A26" s="988"/>
      <c r="B26" s="547" t="s">
        <v>443</v>
      </c>
      <c r="C26" s="11">
        <v>176</v>
      </c>
      <c r="D26" s="11" t="s">
        <v>494</v>
      </c>
      <c r="E26" s="11" t="s">
        <v>495</v>
      </c>
      <c r="F26" s="11" t="s">
        <v>563</v>
      </c>
      <c r="G26" s="11" t="s">
        <v>28</v>
      </c>
      <c r="H26" s="11"/>
      <c r="I26" s="11"/>
      <c r="J26" s="11"/>
      <c r="K26" s="11"/>
      <c r="L26" s="11"/>
      <c r="M26" s="11"/>
      <c r="N26" s="11"/>
      <c r="O26" s="11"/>
      <c r="P26" s="11"/>
      <c r="Q26" s="11"/>
      <c r="R26" s="63">
        <f>'Подробный перечень(БКАД)'!$G$16</f>
        <v>857800</v>
      </c>
      <c r="S26" s="63">
        <f>'Подробный перечень(БКАД)'!$H$1189</f>
        <v>0</v>
      </c>
      <c r="T26" s="63">
        <f>'Подробный перечень(БКАД)'!$H$1189</f>
        <v>0</v>
      </c>
      <c r="U26" s="63">
        <v>0</v>
      </c>
      <c r="V26" s="63">
        <f>'Подробный перечень(БКАД)'!$K$16</f>
        <v>857800</v>
      </c>
      <c r="W26" s="63">
        <f>'Подробный перечень(БКАД)'!$L$16</f>
        <v>905000</v>
      </c>
      <c r="X26" s="63">
        <f>'Подробный перечень(БКАД)'!$M$16</f>
        <v>0</v>
      </c>
      <c r="Y26" s="965"/>
      <c r="Z26" s="967"/>
    </row>
    <row r="27" spans="1:26" ht="24" customHeight="1">
      <c r="A27" s="988"/>
      <c r="B27" s="728" t="s">
        <v>443</v>
      </c>
      <c r="C27" s="727">
        <v>124</v>
      </c>
      <c r="D27" s="727" t="s">
        <v>494</v>
      </c>
      <c r="E27" s="727" t="s">
        <v>495</v>
      </c>
      <c r="F27" s="727" t="s">
        <v>563</v>
      </c>
      <c r="G27" s="727" t="s">
        <v>28</v>
      </c>
      <c r="H27" s="727"/>
      <c r="I27" s="727"/>
      <c r="J27" s="727"/>
      <c r="K27" s="727"/>
      <c r="L27" s="727"/>
      <c r="M27" s="727"/>
      <c r="N27" s="727"/>
      <c r="O27" s="727"/>
      <c r="P27" s="727"/>
      <c r="Q27" s="727"/>
      <c r="R27" s="63">
        <f>'Подробный перечень(БКАД)'!$G$17</f>
        <v>0</v>
      </c>
      <c r="S27" s="63"/>
      <c r="T27" s="63"/>
      <c r="U27" s="63"/>
      <c r="V27" s="63">
        <f>'Подробный перечень(БКАД)'!$K$17</f>
        <v>0</v>
      </c>
      <c r="W27" s="63"/>
      <c r="X27" s="63"/>
      <c r="Y27" s="965"/>
      <c r="Z27" s="967"/>
    </row>
    <row r="28" spans="1:26" ht="24" customHeight="1">
      <c r="A28" s="988"/>
      <c r="B28" s="851" t="s">
        <v>673</v>
      </c>
      <c r="C28" s="777"/>
      <c r="D28" s="777"/>
      <c r="E28" s="777"/>
      <c r="F28" s="777"/>
      <c r="G28" s="777"/>
      <c r="H28" s="777"/>
      <c r="I28" s="777"/>
      <c r="J28" s="777"/>
      <c r="K28" s="777"/>
      <c r="L28" s="777"/>
      <c r="M28" s="777"/>
      <c r="N28" s="777"/>
      <c r="O28" s="777"/>
      <c r="P28" s="777"/>
      <c r="Q28" s="777"/>
      <c r="R28" s="63"/>
      <c r="S28" s="63"/>
      <c r="T28" s="63"/>
      <c r="U28" s="63"/>
      <c r="V28" s="63"/>
      <c r="W28" s="63"/>
      <c r="X28" s="63"/>
      <c r="Y28" s="965"/>
      <c r="Z28" s="967"/>
    </row>
    <row r="29" spans="1:26" ht="19.5" customHeight="1">
      <c r="A29" s="988"/>
      <c r="B29" s="547" t="s">
        <v>1094</v>
      </c>
      <c r="C29" s="11"/>
      <c r="D29" s="11"/>
      <c r="E29" s="11"/>
      <c r="F29" s="11"/>
      <c r="G29" s="11"/>
      <c r="H29" s="11"/>
      <c r="I29" s="11"/>
      <c r="J29" s="11"/>
      <c r="K29" s="11"/>
      <c r="L29" s="11"/>
      <c r="M29" s="11"/>
      <c r="N29" s="11"/>
      <c r="O29" s="11"/>
      <c r="P29" s="11"/>
      <c r="Q29" s="11"/>
      <c r="R29" s="63"/>
      <c r="S29" s="63"/>
      <c r="T29" s="63"/>
      <c r="U29" s="63"/>
      <c r="V29" s="63"/>
      <c r="W29" s="63"/>
      <c r="X29" s="63"/>
      <c r="Y29" s="965"/>
      <c r="Z29" s="967"/>
    </row>
    <row r="30" spans="1:26" ht="31.5" customHeight="1">
      <c r="A30" s="988" t="s">
        <v>809</v>
      </c>
      <c r="B30" s="547" t="s">
        <v>176</v>
      </c>
      <c r="C30" s="11"/>
      <c r="D30" s="11"/>
      <c r="E30" s="11"/>
      <c r="F30" s="11"/>
      <c r="G30" s="11"/>
      <c r="H30" s="11"/>
      <c r="I30" s="11"/>
      <c r="J30" s="11"/>
      <c r="K30" s="11"/>
      <c r="L30" s="11"/>
      <c r="M30" s="11"/>
      <c r="N30" s="11"/>
      <c r="O30" s="11"/>
      <c r="P30" s="11"/>
      <c r="Q30" s="11"/>
      <c r="R30" s="63">
        <f>R22</f>
        <v>17.859323092576776</v>
      </c>
      <c r="S30" s="63"/>
      <c r="T30" s="63"/>
      <c r="U30" s="63"/>
      <c r="V30" s="63">
        <f>V22</f>
        <v>17.859323092576776</v>
      </c>
      <c r="W30" s="63">
        <f>W22</f>
        <v>15.299999999999999</v>
      </c>
      <c r="X30" s="63">
        <f>X22</f>
        <v>17</v>
      </c>
      <c r="Y30" s="965"/>
      <c r="Z30" s="967"/>
    </row>
    <row r="31" spans="1:26" ht="31.5" customHeight="1">
      <c r="A31" s="988"/>
      <c r="B31" s="547" t="s">
        <v>668</v>
      </c>
      <c r="C31" s="11"/>
      <c r="D31" s="11"/>
      <c r="E31" s="11"/>
      <c r="F31" s="11"/>
      <c r="G31" s="11"/>
      <c r="H31" s="11"/>
      <c r="I31" s="11"/>
      <c r="J31" s="11"/>
      <c r="K31" s="11"/>
      <c r="L31" s="11"/>
      <c r="M31" s="11"/>
      <c r="N31" s="11"/>
      <c r="O31" s="11"/>
      <c r="P31" s="11"/>
      <c r="Q31" s="11"/>
      <c r="R31" s="741">
        <f>'Подробный перечень(БКАД)'!$G$21</f>
        <v>79349.899999999994</v>
      </c>
      <c r="S31" s="741" t="s">
        <v>496</v>
      </c>
      <c r="T31" s="741" t="s">
        <v>496</v>
      </c>
      <c r="U31" s="741" t="s">
        <v>496</v>
      </c>
      <c r="V31" s="741" t="s">
        <v>496</v>
      </c>
      <c r="W31" s="741">
        <f>'Подробный перечень(БКАД)'!$L$21</f>
        <v>118039.21568627452</v>
      </c>
      <c r="X31" s="741">
        <f>'Подробный перечень(БКАД)'!$M$21</f>
        <v>68266.170588235284</v>
      </c>
      <c r="Y31" s="965"/>
      <c r="Z31" s="967"/>
    </row>
    <row r="32" spans="1:26" ht="23.25" customHeight="1">
      <c r="A32" s="988"/>
      <c r="B32" s="547" t="s">
        <v>25</v>
      </c>
      <c r="C32" s="543">
        <v>176</v>
      </c>
      <c r="D32" s="543" t="s">
        <v>494</v>
      </c>
      <c r="E32" s="543" t="s">
        <v>495</v>
      </c>
      <c r="F32" s="543" t="s">
        <v>563</v>
      </c>
      <c r="G32" s="543" t="s">
        <v>28</v>
      </c>
      <c r="H32" s="543"/>
      <c r="I32" s="543"/>
      <c r="J32" s="543"/>
      <c r="K32" s="543"/>
      <c r="L32" s="543"/>
      <c r="M32" s="543"/>
      <c r="N32" s="543"/>
      <c r="O32" s="543"/>
      <c r="P32" s="543"/>
      <c r="Q32" s="543"/>
      <c r="R32" s="63">
        <f>R33+R34+R35</f>
        <v>1425663.5</v>
      </c>
      <c r="S32" s="63">
        <f>S33+S34+S35</f>
        <v>0</v>
      </c>
      <c r="T32" s="63">
        <f>T33+T34+T35</f>
        <v>0</v>
      </c>
      <c r="U32" s="63">
        <f>U33+U34+U35</f>
        <v>0</v>
      </c>
      <c r="V32" s="63">
        <f>V33+V34+V35</f>
        <v>1425663.5</v>
      </c>
      <c r="W32" s="63">
        <f>W33+W34</f>
        <v>1806000</v>
      </c>
      <c r="X32" s="63">
        <f>X33+X34</f>
        <v>1160524.8999999999</v>
      </c>
      <c r="Y32" s="965"/>
      <c r="Z32" s="967"/>
    </row>
    <row r="33" spans="1:35" ht="27" customHeight="1">
      <c r="A33" s="988"/>
      <c r="B33" s="547" t="s">
        <v>10</v>
      </c>
      <c r="C33" s="543">
        <v>176</v>
      </c>
      <c r="D33" s="543" t="s">
        <v>494</v>
      </c>
      <c r="E33" s="543" t="s">
        <v>495</v>
      </c>
      <c r="F33" s="543" t="s">
        <v>563</v>
      </c>
      <c r="G33" s="543" t="s">
        <v>28</v>
      </c>
      <c r="H33" s="543"/>
      <c r="I33" s="543"/>
      <c r="J33" s="543"/>
      <c r="K33" s="543"/>
      <c r="L33" s="543"/>
      <c r="M33" s="543"/>
      <c r="N33" s="543"/>
      <c r="O33" s="543"/>
      <c r="P33" s="543"/>
      <c r="Q33" s="543"/>
      <c r="R33" s="63">
        <f>R25-R40</f>
        <v>567863.5</v>
      </c>
      <c r="S33" s="63">
        <f>S25-S40</f>
        <v>0</v>
      </c>
      <c r="T33" s="63">
        <f>T25-T40</f>
        <v>0</v>
      </c>
      <c r="U33" s="63">
        <f>U25-U40</f>
        <v>0</v>
      </c>
      <c r="V33" s="63">
        <f t="shared" ref="V33:X34" si="3">V25</f>
        <v>567863.5</v>
      </c>
      <c r="W33" s="63">
        <f t="shared" si="3"/>
        <v>901000</v>
      </c>
      <c r="X33" s="63">
        <f t="shared" si="3"/>
        <v>1160524.8999999999</v>
      </c>
      <c r="Y33" s="965"/>
      <c r="Z33" s="967"/>
    </row>
    <row r="34" spans="1:35" ht="22.5" customHeight="1">
      <c r="A34" s="988"/>
      <c r="B34" s="547" t="s">
        <v>443</v>
      </c>
      <c r="C34" s="543">
        <v>176</v>
      </c>
      <c r="D34" s="543" t="s">
        <v>494</v>
      </c>
      <c r="E34" s="543" t="s">
        <v>495</v>
      </c>
      <c r="F34" s="543" t="s">
        <v>563</v>
      </c>
      <c r="G34" s="543" t="s">
        <v>28</v>
      </c>
      <c r="H34" s="543"/>
      <c r="I34" s="543"/>
      <c r="J34" s="543"/>
      <c r="K34" s="543"/>
      <c r="L34" s="543"/>
      <c r="M34" s="543"/>
      <c r="N34" s="543"/>
      <c r="O34" s="543"/>
      <c r="P34" s="543"/>
      <c r="Q34" s="543"/>
      <c r="R34" s="63">
        <f>V34</f>
        <v>857800</v>
      </c>
      <c r="S34" s="63">
        <v>0</v>
      </c>
      <c r="T34" s="63">
        <v>0</v>
      </c>
      <c r="U34" s="63">
        <v>0</v>
      </c>
      <c r="V34" s="63">
        <f t="shared" si="3"/>
        <v>857800</v>
      </c>
      <c r="W34" s="63">
        <f t="shared" si="3"/>
        <v>905000</v>
      </c>
      <c r="X34" s="63">
        <f t="shared" si="3"/>
        <v>0</v>
      </c>
      <c r="Y34" s="965"/>
      <c r="Z34" s="967"/>
    </row>
    <row r="35" spans="1:35" ht="22.5" customHeight="1">
      <c r="A35" s="988"/>
      <c r="B35" s="749" t="s">
        <v>443</v>
      </c>
      <c r="C35" s="748">
        <v>124</v>
      </c>
      <c r="D35" s="748" t="s">
        <v>494</v>
      </c>
      <c r="E35" s="748" t="s">
        <v>495</v>
      </c>
      <c r="F35" s="748" t="s">
        <v>563</v>
      </c>
      <c r="G35" s="748" t="s">
        <v>28</v>
      </c>
      <c r="H35" s="748"/>
      <c r="I35" s="748"/>
      <c r="J35" s="748"/>
      <c r="K35" s="748"/>
      <c r="L35" s="748"/>
      <c r="M35" s="748"/>
      <c r="N35" s="748"/>
      <c r="O35" s="748"/>
      <c r="P35" s="748"/>
      <c r="Q35" s="748"/>
      <c r="R35" s="63">
        <f>R27</f>
        <v>0</v>
      </c>
      <c r="S35" s="63"/>
      <c r="T35" s="63"/>
      <c r="U35" s="63"/>
      <c r="V35" s="63">
        <f>V27</f>
        <v>0</v>
      </c>
      <c r="W35" s="63"/>
      <c r="X35" s="63"/>
      <c r="Y35" s="965"/>
      <c r="Z35" s="967"/>
    </row>
    <row r="36" spans="1:35" ht="27.75" customHeight="1">
      <c r="A36" s="988"/>
      <c r="B36" s="547" t="s">
        <v>673</v>
      </c>
      <c r="C36" s="543"/>
      <c r="D36" s="543"/>
      <c r="E36" s="543"/>
      <c r="F36" s="543"/>
      <c r="G36" s="543"/>
      <c r="H36" s="543"/>
      <c r="I36" s="543"/>
      <c r="J36" s="543"/>
      <c r="K36" s="543"/>
      <c r="L36" s="543"/>
      <c r="M36" s="543"/>
      <c r="N36" s="543"/>
      <c r="O36" s="543"/>
      <c r="P36" s="543"/>
      <c r="Q36" s="543"/>
      <c r="R36" s="63"/>
      <c r="S36" s="63"/>
      <c r="T36" s="63"/>
      <c r="U36" s="63"/>
      <c r="V36" s="63"/>
      <c r="W36" s="63"/>
      <c r="X36" s="63"/>
      <c r="Y36" s="965"/>
      <c r="Z36" s="967"/>
    </row>
    <row r="37" spans="1:35" ht="31.5" customHeight="1">
      <c r="A37" s="982" t="s">
        <v>925</v>
      </c>
      <c r="B37" s="547" t="s">
        <v>89</v>
      </c>
      <c r="C37" s="11"/>
      <c r="D37" s="11"/>
      <c r="E37" s="11"/>
      <c r="F37" s="11"/>
      <c r="G37" s="11"/>
      <c r="H37" s="11"/>
      <c r="I37" s="11"/>
      <c r="J37" s="11"/>
      <c r="K37" s="11"/>
      <c r="L37" s="11"/>
      <c r="M37" s="11"/>
      <c r="N37" s="11"/>
      <c r="O37" s="11"/>
      <c r="P37" s="11"/>
      <c r="Q37" s="11"/>
      <c r="R37" s="63"/>
      <c r="S37" s="63"/>
      <c r="T37" s="63"/>
      <c r="U37" s="63"/>
      <c r="V37" s="63"/>
      <c r="W37" s="63"/>
      <c r="X37" s="63"/>
      <c r="Y37" s="965"/>
      <c r="Z37" s="968" t="s">
        <v>926</v>
      </c>
    </row>
    <row r="38" spans="1:35" ht="31.5" customHeight="1">
      <c r="A38" s="983"/>
      <c r="B38" s="547" t="s">
        <v>668</v>
      </c>
      <c r="C38" s="11"/>
      <c r="D38" s="11"/>
      <c r="E38" s="11"/>
      <c r="F38" s="11"/>
      <c r="G38" s="11"/>
      <c r="H38" s="11"/>
      <c r="I38" s="11"/>
      <c r="J38" s="11"/>
      <c r="K38" s="11"/>
      <c r="L38" s="11"/>
      <c r="M38" s="11"/>
      <c r="N38" s="11"/>
      <c r="O38" s="11"/>
      <c r="P38" s="11"/>
      <c r="Q38" s="11"/>
      <c r="R38" s="63"/>
      <c r="S38" s="63"/>
      <c r="T38" s="63"/>
      <c r="U38" s="63"/>
      <c r="V38" s="63"/>
      <c r="W38" s="63"/>
      <c r="X38" s="63"/>
      <c r="Y38" s="965"/>
      <c r="Z38" s="969"/>
    </row>
    <row r="39" spans="1:35" ht="31.5" customHeight="1">
      <c r="A39" s="983"/>
      <c r="B39" s="547" t="s">
        <v>25</v>
      </c>
      <c r="C39" s="11">
        <v>176</v>
      </c>
      <c r="D39" s="11" t="s">
        <v>494</v>
      </c>
      <c r="E39" s="11" t="s">
        <v>495</v>
      </c>
      <c r="F39" s="11" t="s">
        <v>563</v>
      </c>
      <c r="G39" s="11" t="s">
        <v>28</v>
      </c>
      <c r="H39" s="11"/>
      <c r="I39" s="11"/>
      <c r="J39" s="11"/>
      <c r="K39" s="11"/>
      <c r="L39" s="11"/>
      <c r="M39" s="11"/>
      <c r="N39" s="11"/>
      <c r="O39" s="11"/>
      <c r="P39" s="11"/>
      <c r="Q39" s="11"/>
      <c r="R39" s="63">
        <f>R40</f>
        <v>5736.3</v>
      </c>
      <c r="S39" s="63">
        <f>S40</f>
        <v>5736.3</v>
      </c>
      <c r="T39" s="63">
        <v>0</v>
      </c>
      <c r="U39" s="63">
        <v>0</v>
      </c>
      <c r="V39" s="63">
        <v>0</v>
      </c>
      <c r="W39" s="63">
        <v>0</v>
      </c>
      <c r="X39" s="63">
        <v>0</v>
      </c>
      <c r="Y39" s="965"/>
      <c r="Z39" s="969"/>
    </row>
    <row r="40" spans="1:35" ht="18.75" customHeight="1">
      <c r="A40" s="983"/>
      <c r="B40" s="547" t="s">
        <v>10</v>
      </c>
      <c r="C40" s="11">
        <v>176</v>
      </c>
      <c r="D40" s="11" t="s">
        <v>494</v>
      </c>
      <c r="E40" s="11" t="s">
        <v>495</v>
      </c>
      <c r="F40" s="11" t="s">
        <v>563</v>
      </c>
      <c r="G40" s="11" t="s">
        <v>28</v>
      </c>
      <c r="H40" s="11"/>
      <c r="I40" s="11"/>
      <c r="J40" s="11"/>
      <c r="K40" s="11"/>
      <c r="L40" s="11"/>
      <c r="M40" s="11"/>
      <c r="N40" s="11"/>
      <c r="O40" s="11"/>
      <c r="P40" s="11"/>
      <c r="Q40" s="11"/>
      <c r="R40" s="63">
        <f>'Подробный перечень(БКАД)'!$G$438</f>
        <v>5736.3</v>
      </c>
      <c r="S40" s="63">
        <f>'Подробный перечень(БКАД)'!$H$438</f>
        <v>5736.3</v>
      </c>
      <c r="T40" s="63">
        <v>0</v>
      </c>
      <c r="U40" s="63">
        <v>0</v>
      </c>
      <c r="V40" s="63">
        <v>0</v>
      </c>
      <c r="W40" s="63">
        <v>0</v>
      </c>
      <c r="X40" s="63">
        <v>0</v>
      </c>
      <c r="Y40" s="965"/>
      <c r="Z40" s="969"/>
    </row>
    <row r="41" spans="1:35" ht="32.25" customHeight="1">
      <c r="A41" s="983"/>
      <c r="B41" s="547" t="s">
        <v>443</v>
      </c>
      <c r="C41" s="11">
        <v>176</v>
      </c>
      <c r="D41" s="11" t="s">
        <v>494</v>
      </c>
      <c r="E41" s="11" t="s">
        <v>495</v>
      </c>
      <c r="F41" s="11" t="s">
        <v>563</v>
      </c>
      <c r="G41" s="11" t="s">
        <v>28</v>
      </c>
      <c r="H41" s="11"/>
      <c r="I41" s="11"/>
      <c r="J41" s="11"/>
      <c r="K41" s="11"/>
      <c r="L41" s="11"/>
      <c r="M41" s="11"/>
      <c r="N41" s="11"/>
      <c r="O41" s="11"/>
      <c r="P41" s="11"/>
      <c r="Q41" s="11"/>
      <c r="R41" s="63">
        <v>0</v>
      </c>
      <c r="S41" s="63">
        <v>0</v>
      </c>
      <c r="T41" s="63">
        <v>0</v>
      </c>
      <c r="U41" s="63">
        <v>0</v>
      </c>
      <c r="V41" s="63">
        <v>0</v>
      </c>
      <c r="W41" s="63">
        <v>0</v>
      </c>
      <c r="X41" s="63">
        <v>0</v>
      </c>
      <c r="Y41" s="965"/>
      <c r="Z41" s="969"/>
    </row>
    <row r="42" spans="1:35" ht="21.75" customHeight="1">
      <c r="A42" s="984"/>
      <c r="B42" s="547" t="s">
        <v>673</v>
      </c>
      <c r="C42" s="11"/>
      <c r="D42" s="11"/>
      <c r="E42" s="11"/>
      <c r="F42" s="11"/>
      <c r="G42" s="11"/>
      <c r="H42" s="11"/>
      <c r="I42" s="11"/>
      <c r="J42" s="11"/>
      <c r="K42" s="11"/>
      <c r="L42" s="11"/>
      <c r="M42" s="11"/>
      <c r="N42" s="11"/>
      <c r="O42" s="11"/>
      <c r="P42" s="11"/>
      <c r="Q42" s="11"/>
      <c r="R42" s="63"/>
      <c r="S42" s="63"/>
      <c r="T42" s="63"/>
      <c r="U42" s="63"/>
      <c r="V42" s="63"/>
      <c r="W42" s="63"/>
      <c r="X42" s="63"/>
      <c r="Y42" s="966"/>
      <c r="Z42" s="970"/>
    </row>
    <row r="43" spans="1:35" ht="36" customHeight="1">
      <c r="A43" s="982" t="s">
        <v>810</v>
      </c>
      <c r="B43" s="771" t="s">
        <v>744</v>
      </c>
      <c r="C43" s="772"/>
      <c r="D43" s="772"/>
      <c r="E43" s="772"/>
      <c r="F43" s="772"/>
      <c r="G43" s="772"/>
      <c r="H43" s="772"/>
      <c r="I43" s="772"/>
      <c r="J43" s="772"/>
      <c r="K43" s="772"/>
      <c r="L43" s="772"/>
      <c r="M43" s="772"/>
      <c r="N43" s="772"/>
      <c r="O43" s="772"/>
      <c r="P43" s="772"/>
      <c r="Q43" s="772"/>
      <c r="R43" s="741">
        <f>'Подробный перечень(БКАД)'!$G$447</f>
        <v>5.048</v>
      </c>
      <c r="S43" s="741"/>
      <c r="T43" s="741"/>
      <c r="U43" s="741"/>
      <c r="V43" s="741">
        <f>'Подробный перечень(БКАД)'!$K$447</f>
        <v>5.048</v>
      </c>
      <c r="W43" s="741">
        <f>'Подробный перечень(БКАД)'!$L$447</f>
        <v>5</v>
      </c>
      <c r="X43" s="741">
        <f>'Подробный перечень(БКАД)'!$M$447</f>
        <v>0</v>
      </c>
      <c r="Y43" s="982" t="s">
        <v>26</v>
      </c>
      <c r="Z43" s="968" t="s">
        <v>996</v>
      </c>
    </row>
    <row r="44" spans="1:35" ht="40.5" customHeight="1">
      <c r="A44" s="983"/>
      <c r="B44" s="771" t="s">
        <v>668</v>
      </c>
      <c r="C44" s="772"/>
      <c r="D44" s="772"/>
      <c r="E44" s="772"/>
      <c r="F44" s="772"/>
      <c r="G44" s="772"/>
      <c r="H44" s="772"/>
      <c r="I44" s="772"/>
      <c r="J44" s="772"/>
      <c r="K44" s="772"/>
      <c r="L44" s="772"/>
      <c r="M44" s="772"/>
      <c r="N44" s="772"/>
      <c r="O44" s="772"/>
      <c r="P44" s="772"/>
      <c r="Q44" s="772"/>
      <c r="R44" s="741">
        <v>60700.4</v>
      </c>
      <c r="S44" s="741" t="s">
        <v>496</v>
      </c>
      <c r="T44" s="741" t="s">
        <v>496</v>
      </c>
      <c r="U44" s="741" t="s">
        <v>496</v>
      </c>
      <c r="V44" s="741" t="s">
        <v>496</v>
      </c>
      <c r="W44" s="741">
        <f>W45/W43</f>
        <v>82368.899999999994</v>
      </c>
      <c r="X44" s="741">
        <v>0</v>
      </c>
      <c r="Y44" s="983"/>
      <c r="Z44" s="969"/>
    </row>
    <row r="45" spans="1:35" ht="34.5" customHeight="1">
      <c r="A45" s="983"/>
      <c r="B45" s="771" t="s">
        <v>25</v>
      </c>
      <c r="C45" s="772">
        <v>176</v>
      </c>
      <c r="D45" s="772" t="s">
        <v>494</v>
      </c>
      <c r="E45" s="772" t="s">
        <v>495</v>
      </c>
      <c r="F45" s="772" t="s">
        <v>662</v>
      </c>
      <c r="G45" s="772" t="s">
        <v>28</v>
      </c>
      <c r="H45" s="772"/>
      <c r="I45" s="772"/>
      <c r="J45" s="772"/>
      <c r="K45" s="772"/>
      <c r="L45" s="772"/>
      <c r="M45" s="772"/>
      <c r="N45" s="772"/>
      <c r="O45" s="772"/>
      <c r="P45" s="772"/>
      <c r="Q45" s="772"/>
      <c r="R45" s="63">
        <f t="shared" ref="R45:X45" si="4">R46+R47</f>
        <v>187781.8</v>
      </c>
      <c r="S45" s="63">
        <f t="shared" si="4"/>
        <v>3846.5</v>
      </c>
      <c r="T45" s="63">
        <f t="shared" si="4"/>
        <v>0</v>
      </c>
      <c r="U45" s="63">
        <f t="shared" si="4"/>
        <v>0</v>
      </c>
      <c r="V45" s="63">
        <f t="shared" si="4"/>
        <v>183935.3</v>
      </c>
      <c r="W45" s="63">
        <f t="shared" si="4"/>
        <v>411844.5</v>
      </c>
      <c r="X45" s="63">
        <f t="shared" si="4"/>
        <v>90000</v>
      </c>
      <c r="Y45" s="983"/>
      <c r="Z45" s="969"/>
    </row>
    <row r="46" spans="1:35" ht="33.75" customHeight="1">
      <c r="A46" s="983"/>
      <c r="B46" s="771" t="s">
        <v>10</v>
      </c>
      <c r="C46" s="772">
        <v>176</v>
      </c>
      <c r="D46" s="772" t="s">
        <v>494</v>
      </c>
      <c r="E46" s="772" t="s">
        <v>495</v>
      </c>
      <c r="F46" s="772" t="s">
        <v>662</v>
      </c>
      <c r="G46" s="772" t="s">
        <v>28</v>
      </c>
      <c r="H46" s="772"/>
      <c r="I46" s="772"/>
      <c r="J46" s="772"/>
      <c r="K46" s="772"/>
      <c r="L46" s="772"/>
      <c r="M46" s="772"/>
      <c r="N46" s="772"/>
      <c r="O46" s="772"/>
      <c r="P46" s="772"/>
      <c r="Q46" s="772"/>
      <c r="R46" s="63">
        <f>'Подробный перечень(БКАД)'!$G$443</f>
        <v>177089.4</v>
      </c>
      <c r="S46" s="63">
        <f>'Подробный перечень(БКАД)'!$H$443</f>
        <v>3846.5</v>
      </c>
      <c r="T46" s="63">
        <f>'Подробный перечень(БКАД)'!$H$1189</f>
        <v>0</v>
      </c>
      <c r="U46" s="63">
        <f>'Подробный перечень(БКАД)'!$J$450</f>
        <v>0</v>
      </c>
      <c r="V46" s="63">
        <f>'Подробный перечень(БКАД)'!$K$443</f>
        <v>173242.9</v>
      </c>
      <c r="W46" s="63">
        <f>'Подробный перечень(БКАД)'!$L$443</f>
        <v>346844.5</v>
      </c>
      <c r="X46" s="63">
        <f>'Подробный перечень(БКАД)'!$M$450</f>
        <v>90000</v>
      </c>
      <c r="Y46" s="983"/>
      <c r="Z46" s="969"/>
      <c r="AG46" s="76"/>
      <c r="AH46" s="76"/>
      <c r="AI46" s="76"/>
    </row>
    <row r="47" spans="1:35" ht="36" customHeight="1">
      <c r="A47" s="983"/>
      <c r="B47" s="771" t="s">
        <v>443</v>
      </c>
      <c r="C47" s="772">
        <v>176</v>
      </c>
      <c r="D47" s="772" t="s">
        <v>494</v>
      </c>
      <c r="E47" s="772" t="s">
        <v>495</v>
      </c>
      <c r="F47" s="772" t="s">
        <v>662</v>
      </c>
      <c r="G47" s="772" t="s">
        <v>28</v>
      </c>
      <c r="H47" s="772"/>
      <c r="I47" s="772"/>
      <c r="J47" s="772"/>
      <c r="K47" s="772"/>
      <c r="L47" s="772"/>
      <c r="M47" s="772"/>
      <c r="N47" s="772"/>
      <c r="O47" s="772"/>
      <c r="P47" s="772"/>
      <c r="Q47" s="772"/>
      <c r="R47" s="63">
        <f>'Подробный перечень(БКАД)'!$G$444</f>
        <v>10692.4</v>
      </c>
      <c r="S47" s="63">
        <f>'Подробный перечень(БКАД)'!$H$1189</f>
        <v>0</v>
      </c>
      <c r="T47" s="63">
        <f>'Подробный перечень(БКАД)'!$H$1189</f>
        <v>0</v>
      </c>
      <c r="U47" s="63">
        <f>'Подробный перечень(БКАД)'!$J$451</f>
        <v>0</v>
      </c>
      <c r="V47" s="63">
        <f>'Подробный перечень(БКАД)'!$K$444</f>
        <v>10692.4</v>
      </c>
      <c r="W47" s="63">
        <f>'Подробный перечень(БКАД)'!$L$444</f>
        <v>65000</v>
      </c>
      <c r="X47" s="63">
        <f>'Подробный перечень(БКАД)'!$M$451</f>
        <v>0</v>
      </c>
      <c r="Y47" s="983"/>
      <c r="Z47" s="969"/>
      <c r="AG47" s="76"/>
      <c r="AH47" s="76"/>
    </row>
    <row r="48" spans="1:35" ht="36" customHeight="1">
      <c r="A48" s="983"/>
      <c r="B48" s="851" t="s">
        <v>673</v>
      </c>
      <c r="C48" s="777"/>
      <c r="D48" s="777"/>
      <c r="E48" s="777"/>
      <c r="F48" s="777"/>
      <c r="G48" s="777"/>
      <c r="H48" s="777"/>
      <c r="I48" s="777"/>
      <c r="J48" s="777"/>
      <c r="K48" s="777"/>
      <c r="L48" s="777"/>
      <c r="M48" s="777"/>
      <c r="N48" s="777"/>
      <c r="O48" s="777"/>
      <c r="P48" s="777"/>
      <c r="Q48" s="777"/>
      <c r="R48" s="63"/>
      <c r="S48" s="63"/>
      <c r="T48" s="63"/>
      <c r="U48" s="63"/>
      <c r="V48" s="63"/>
      <c r="W48" s="63"/>
      <c r="X48" s="63"/>
      <c r="Y48" s="983"/>
      <c r="Z48" s="969"/>
      <c r="AG48" s="76"/>
      <c r="AH48" s="76"/>
    </row>
    <row r="49" spans="1:35" ht="33" customHeight="1">
      <c r="A49" s="984"/>
      <c r="B49" s="771" t="s">
        <v>1094</v>
      </c>
      <c r="C49" s="772"/>
      <c r="D49" s="772"/>
      <c r="E49" s="772"/>
      <c r="F49" s="772"/>
      <c r="G49" s="772"/>
      <c r="H49" s="772"/>
      <c r="I49" s="772"/>
      <c r="J49" s="772"/>
      <c r="K49" s="772"/>
      <c r="L49" s="772"/>
      <c r="M49" s="772"/>
      <c r="N49" s="772"/>
      <c r="O49" s="772"/>
      <c r="P49" s="772"/>
      <c r="Q49" s="772"/>
      <c r="R49" s="63"/>
      <c r="S49" s="63"/>
      <c r="T49" s="63"/>
      <c r="U49" s="63"/>
      <c r="V49" s="63"/>
      <c r="W49" s="63"/>
      <c r="X49" s="63"/>
      <c r="Y49" s="984"/>
      <c r="Z49" s="970"/>
      <c r="AF49" s="76"/>
      <c r="AH49" s="76"/>
    </row>
    <row r="50" spans="1:35" ht="36" customHeight="1">
      <c r="A50" s="982" t="s">
        <v>1008</v>
      </c>
      <c r="B50" s="771" t="s">
        <v>744</v>
      </c>
      <c r="C50" s="772"/>
      <c r="D50" s="772"/>
      <c r="E50" s="772"/>
      <c r="F50" s="772"/>
      <c r="G50" s="772"/>
      <c r="H50" s="772"/>
      <c r="I50" s="772"/>
      <c r="J50" s="772"/>
      <c r="K50" s="772"/>
      <c r="L50" s="772"/>
      <c r="M50" s="772"/>
      <c r="N50" s="772"/>
      <c r="O50" s="772"/>
      <c r="P50" s="772"/>
      <c r="Q50" s="772"/>
      <c r="R50" s="741">
        <f>'Подробный перечень(БКАД)'!$G$447</f>
        <v>5.048</v>
      </c>
      <c r="S50" s="741"/>
      <c r="T50" s="741"/>
      <c r="U50" s="741"/>
      <c r="V50" s="741">
        <f>'Подробный перечень(БКАД)'!$K$447</f>
        <v>5.048</v>
      </c>
      <c r="W50" s="741">
        <f>'Подробный перечень(БКАД)'!$L$447</f>
        <v>5</v>
      </c>
      <c r="X50" s="741">
        <f>'Подробный перечень(БКАД)'!$M$447</f>
        <v>0</v>
      </c>
      <c r="Y50" s="982" t="s">
        <v>26</v>
      </c>
      <c r="Z50" s="968" t="s">
        <v>996</v>
      </c>
    </row>
    <row r="51" spans="1:35" ht="40.5" customHeight="1">
      <c r="A51" s="983"/>
      <c r="B51" s="771" t="s">
        <v>668</v>
      </c>
      <c r="C51" s="772"/>
      <c r="D51" s="772"/>
      <c r="E51" s="772"/>
      <c r="F51" s="772"/>
      <c r="G51" s="772"/>
      <c r="H51" s="772"/>
      <c r="I51" s="772"/>
      <c r="J51" s="772"/>
      <c r="K51" s="772"/>
      <c r="L51" s="772"/>
      <c r="M51" s="772"/>
      <c r="N51" s="772"/>
      <c r="O51" s="772"/>
      <c r="P51" s="772"/>
      <c r="Q51" s="772"/>
      <c r="R51" s="741">
        <f>R52/R50</f>
        <v>36437.262282091913</v>
      </c>
      <c r="S51" s="741" t="s">
        <v>496</v>
      </c>
      <c r="T51" s="741" t="s">
        <v>496</v>
      </c>
      <c r="U51" s="741" t="s">
        <v>496</v>
      </c>
      <c r="V51" s="741" t="s">
        <v>496</v>
      </c>
      <c r="W51" s="741">
        <f>W52/W50</f>
        <v>82368.899999999994</v>
      </c>
      <c r="X51" s="741">
        <v>0</v>
      </c>
      <c r="Y51" s="983"/>
      <c r="Z51" s="969"/>
    </row>
    <row r="52" spans="1:35" ht="34.5" customHeight="1">
      <c r="A52" s="983"/>
      <c r="B52" s="771" t="s">
        <v>25</v>
      </c>
      <c r="C52" s="772">
        <v>176</v>
      </c>
      <c r="D52" s="772" t="s">
        <v>494</v>
      </c>
      <c r="E52" s="772" t="s">
        <v>495</v>
      </c>
      <c r="F52" s="772" t="s">
        <v>662</v>
      </c>
      <c r="G52" s="772" t="s">
        <v>28</v>
      </c>
      <c r="H52" s="772"/>
      <c r="I52" s="772"/>
      <c r="J52" s="772"/>
      <c r="K52" s="772"/>
      <c r="L52" s="772"/>
      <c r="M52" s="772"/>
      <c r="N52" s="772"/>
      <c r="O52" s="772"/>
      <c r="P52" s="772"/>
      <c r="Q52" s="772"/>
      <c r="R52" s="63">
        <f>'Подробный перечень(БКАД)'!$G$449</f>
        <v>183935.3</v>
      </c>
      <c r="S52" s="63">
        <f>S53+S54</f>
        <v>3846.5</v>
      </c>
      <c r="T52" s="63">
        <f>T53+T54</f>
        <v>0</v>
      </c>
      <c r="U52" s="63">
        <f>U53+U54</f>
        <v>0</v>
      </c>
      <c r="V52" s="63">
        <f>V53+V54</f>
        <v>183935.3</v>
      </c>
      <c r="W52" s="63">
        <f>'Подробный перечень(БКАД)'!$L$449</f>
        <v>411844.5</v>
      </c>
      <c r="X52" s="63">
        <f>X53+X54</f>
        <v>90000</v>
      </c>
      <c r="Y52" s="983"/>
      <c r="Z52" s="969"/>
    </row>
    <row r="53" spans="1:35" ht="33.75" customHeight="1">
      <c r="A53" s="983"/>
      <c r="B53" s="771" t="s">
        <v>10</v>
      </c>
      <c r="C53" s="772">
        <v>176</v>
      </c>
      <c r="D53" s="772" t="s">
        <v>494</v>
      </c>
      <c r="E53" s="772" t="s">
        <v>495</v>
      </c>
      <c r="F53" s="772" t="s">
        <v>662</v>
      </c>
      <c r="G53" s="772" t="s">
        <v>28</v>
      </c>
      <c r="H53" s="772"/>
      <c r="I53" s="772"/>
      <c r="J53" s="772"/>
      <c r="K53" s="772"/>
      <c r="L53" s="772"/>
      <c r="M53" s="772"/>
      <c r="N53" s="772"/>
      <c r="O53" s="772"/>
      <c r="P53" s="772"/>
      <c r="Q53" s="772"/>
      <c r="R53" s="63">
        <f>'Подробный перечень(БКАД)'!$G$450</f>
        <v>173242.9</v>
      </c>
      <c r="S53" s="63">
        <f>'Подробный перечень(БКАД)'!$H$770</f>
        <v>3846.5</v>
      </c>
      <c r="T53" s="63">
        <f>'Подробный перечень(БКАД)'!$H$1189</f>
        <v>0</v>
      </c>
      <c r="U53" s="63">
        <f>'Подробный перечень(БКАД)'!$J$450</f>
        <v>0</v>
      </c>
      <c r="V53" s="63">
        <f>'Подробный перечень(БКАД)'!$K$450</f>
        <v>173242.9</v>
      </c>
      <c r="W53" s="63">
        <f>'Подробный перечень(БКАД)'!$L$450</f>
        <v>346844.5</v>
      </c>
      <c r="X53" s="63">
        <f>'Подробный перечень(БКАД)'!$M$450</f>
        <v>90000</v>
      </c>
      <c r="Y53" s="983"/>
      <c r="Z53" s="969"/>
      <c r="AG53" s="76"/>
      <c r="AH53" s="76"/>
      <c r="AI53" s="76"/>
    </row>
    <row r="54" spans="1:35" ht="36" customHeight="1">
      <c r="A54" s="983"/>
      <c r="B54" s="771" t="s">
        <v>443</v>
      </c>
      <c r="C54" s="772">
        <v>176</v>
      </c>
      <c r="D54" s="772" t="s">
        <v>494</v>
      </c>
      <c r="E54" s="772" t="s">
        <v>495</v>
      </c>
      <c r="F54" s="772" t="s">
        <v>662</v>
      </c>
      <c r="G54" s="772" t="s">
        <v>28</v>
      </c>
      <c r="H54" s="772"/>
      <c r="I54" s="772"/>
      <c r="J54" s="772"/>
      <c r="K54" s="772"/>
      <c r="L54" s="772"/>
      <c r="M54" s="772"/>
      <c r="N54" s="772"/>
      <c r="O54" s="772"/>
      <c r="P54" s="772"/>
      <c r="Q54" s="772"/>
      <c r="R54" s="63">
        <f>'Подробный перечень(БКАД)'!$G$451</f>
        <v>10692.4</v>
      </c>
      <c r="S54" s="63">
        <f>'Подробный перечень(БКАД)'!$H$1189</f>
        <v>0</v>
      </c>
      <c r="T54" s="63">
        <f>'Подробный перечень(БКАД)'!$H$1189</f>
        <v>0</v>
      </c>
      <c r="U54" s="63">
        <f>'Подробный перечень(БКАД)'!$J$451</f>
        <v>0</v>
      </c>
      <c r="V54" s="63">
        <f>'Подробный перечень(БКАД)'!$K$451</f>
        <v>10692.4</v>
      </c>
      <c r="W54" s="63">
        <f>'Подробный перечень(БКАД)'!$L$451</f>
        <v>65000</v>
      </c>
      <c r="X54" s="63">
        <f>'Подробный перечень(БКАД)'!$M$451</f>
        <v>0</v>
      </c>
      <c r="Y54" s="983"/>
      <c r="Z54" s="969"/>
      <c r="AG54" s="76"/>
      <c r="AH54" s="76"/>
    </row>
    <row r="55" spans="1:35" ht="33" customHeight="1">
      <c r="A55" s="984"/>
      <c r="B55" s="771" t="s">
        <v>673</v>
      </c>
      <c r="C55" s="772"/>
      <c r="D55" s="772"/>
      <c r="E55" s="772"/>
      <c r="F55" s="772"/>
      <c r="G55" s="772"/>
      <c r="H55" s="772"/>
      <c r="I55" s="772"/>
      <c r="J55" s="772"/>
      <c r="K55" s="772"/>
      <c r="L55" s="772"/>
      <c r="M55" s="772"/>
      <c r="N55" s="772"/>
      <c r="O55" s="772"/>
      <c r="P55" s="772"/>
      <c r="Q55" s="772"/>
      <c r="R55" s="63"/>
      <c r="S55" s="63"/>
      <c r="T55" s="63"/>
      <c r="U55" s="63"/>
      <c r="V55" s="63"/>
      <c r="W55" s="63"/>
      <c r="X55" s="63"/>
      <c r="Y55" s="984"/>
      <c r="Z55" s="970"/>
      <c r="AF55" s="76"/>
      <c r="AH55" s="76"/>
    </row>
    <row r="56" spans="1:35" ht="36" customHeight="1">
      <c r="A56" s="982" t="s">
        <v>992</v>
      </c>
      <c r="B56" s="547" t="s">
        <v>237</v>
      </c>
      <c r="C56" s="772">
        <v>176</v>
      </c>
      <c r="D56" s="772" t="s">
        <v>494</v>
      </c>
      <c r="E56" s="772" t="s">
        <v>495</v>
      </c>
      <c r="F56" s="772" t="s">
        <v>662</v>
      </c>
      <c r="G56" s="772" t="s">
        <v>28</v>
      </c>
      <c r="H56" s="11"/>
      <c r="I56" s="11"/>
      <c r="J56" s="11"/>
      <c r="K56" s="11"/>
      <c r="L56" s="11"/>
      <c r="M56" s="11"/>
      <c r="N56" s="11"/>
      <c r="O56" s="11"/>
      <c r="P56" s="11"/>
      <c r="Q56" s="11"/>
      <c r="R56" s="741">
        <f>'Подробный перечень(БКАД)'!$G$769</f>
        <v>3846.5</v>
      </c>
      <c r="S56" s="741">
        <f>'Подробный перечень(БКАД)'!$H$769</f>
        <v>3846.5</v>
      </c>
      <c r="T56" s="741"/>
      <c r="U56" s="741"/>
      <c r="V56" s="63">
        <f>'Подробный перечень(БКАД)'!$H$771</f>
        <v>0</v>
      </c>
      <c r="W56" s="63">
        <f>'Подробный перечень(БКАД)'!$H$771</f>
        <v>0</v>
      </c>
      <c r="X56" s="63">
        <f>'Подробный перечень(БКАД)'!$H$771</f>
        <v>0</v>
      </c>
      <c r="Y56" s="982" t="s">
        <v>26</v>
      </c>
      <c r="Z56" s="968" t="s">
        <v>996</v>
      </c>
    </row>
    <row r="57" spans="1:35" ht="40.5" customHeight="1">
      <c r="A57" s="983"/>
      <c r="B57" s="547" t="s">
        <v>10</v>
      </c>
      <c r="C57" s="772">
        <v>176</v>
      </c>
      <c r="D57" s="772" t="s">
        <v>494</v>
      </c>
      <c r="E57" s="772" t="s">
        <v>495</v>
      </c>
      <c r="F57" s="772" t="s">
        <v>662</v>
      </c>
      <c r="G57" s="772" t="s">
        <v>28</v>
      </c>
      <c r="H57" s="11"/>
      <c r="I57" s="11"/>
      <c r="J57" s="11"/>
      <c r="K57" s="11"/>
      <c r="L57" s="11"/>
      <c r="M57" s="11"/>
      <c r="N57" s="11"/>
      <c r="O57" s="11"/>
      <c r="P57" s="11"/>
      <c r="Q57" s="11"/>
      <c r="R57" s="741">
        <f>'Подробный перечень(БКАД)'!$G$770</f>
        <v>3846.5</v>
      </c>
      <c r="S57" s="741">
        <f>'Подробный перечень(БКАД)'!$H$770</f>
        <v>3846.5</v>
      </c>
      <c r="T57" s="741">
        <v>0</v>
      </c>
      <c r="U57" s="741">
        <v>0</v>
      </c>
      <c r="V57" s="741">
        <v>0</v>
      </c>
      <c r="W57" s="63">
        <f>'Подробный перечень(БКАД)'!$H$771</f>
        <v>0</v>
      </c>
      <c r="X57" s="63">
        <f>'Подробный перечень(БКАД)'!$H$771</f>
        <v>0</v>
      </c>
      <c r="Y57" s="983"/>
      <c r="Z57" s="969"/>
    </row>
    <row r="58" spans="1:35" ht="34.5" customHeight="1">
      <c r="A58" s="983"/>
      <c r="B58" s="547" t="s">
        <v>443</v>
      </c>
      <c r="C58" s="772">
        <v>176</v>
      </c>
      <c r="D58" s="772" t="s">
        <v>494</v>
      </c>
      <c r="E58" s="772" t="s">
        <v>495</v>
      </c>
      <c r="F58" s="772" t="s">
        <v>662</v>
      </c>
      <c r="G58" s="772" t="s">
        <v>28</v>
      </c>
      <c r="H58" s="11"/>
      <c r="I58" s="11"/>
      <c r="J58" s="11"/>
      <c r="K58" s="11"/>
      <c r="L58" s="11"/>
      <c r="M58" s="11"/>
      <c r="N58" s="11"/>
      <c r="O58" s="11"/>
      <c r="P58" s="11"/>
      <c r="Q58" s="11"/>
      <c r="R58" s="63">
        <f>'Подробный перечень(БКАД)'!$G$771</f>
        <v>0</v>
      </c>
      <c r="S58" s="63">
        <f>'Подробный перечень(БКАД)'!$H$771</f>
        <v>0</v>
      </c>
      <c r="T58" s="63">
        <v>0</v>
      </c>
      <c r="U58" s="63">
        <v>0</v>
      </c>
      <c r="V58" s="63">
        <v>0</v>
      </c>
      <c r="W58" s="63">
        <f>'Подробный перечень(БКАД)'!$H$771</f>
        <v>0</v>
      </c>
      <c r="X58" s="63">
        <f>'Подробный перечень(БКАД)'!$H$771</f>
        <v>0</v>
      </c>
      <c r="Y58" s="983"/>
      <c r="Z58" s="969"/>
    </row>
    <row r="59" spans="1:35" ht="25.5" customHeight="1">
      <c r="A59" s="982" t="s">
        <v>811</v>
      </c>
      <c r="B59" s="547" t="s">
        <v>89</v>
      </c>
      <c r="C59" s="11"/>
      <c r="D59" s="11"/>
      <c r="E59" s="11"/>
      <c r="F59" s="11"/>
      <c r="G59" s="11"/>
      <c r="H59" s="11"/>
      <c r="I59" s="11"/>
      <c r="J59" s="11"/>
      <c r="K59" s="11"/>
      <c r="L59" s="11"/>
      <c r="M59" s="11"/>
      <c r="N59" s="11"/>
      <c r="O59" s="11"/>
      <c r="P59" s="11"/>
      <c r="Q59" s="11"/>
      <c r="R59" s="63">
        <f>'Подробный перечень(БКАД)'!$G$772</f>
        <v>89.4</v>
      </c>
      <c r="S59" s="63"/>
      <c r="T59" s="63"/>
      <c r="U59" s="63"/>
      <c r="V59" s="63">
        <f>'Подробный перечень(БКАД)'!$K$772</f>
        <v>89.4</v>
      </c>
      <c r="W59" s="63">
        <f>'Подробный перечень(БКАД)'!$L$772</f>
        <v>230.20000000000002</v>
      </c>
      <c r="X59" s="63">
        <f>'Подробный перечень(БКАД)'!$M$772</f>
        <v>146.9</v>
      </c>
      <c r="Y59" s="982" t="s">
        <v>26</v>
      </c>
      <c r="Z59" s="968" t="s">
        <v>1127</v>
      </c>
    </row>
    <row r="60" spans="1:35" ht="25.5" customHeight="1">
      <c r="A60" s="983"/>
      <c r="B60" s="547" t="s">
        <v>668</v>
      </c>
      <c r="C60" s="11"/>
      <c r="D60" s="11"/>
      <c r="E60" s="11"/>
      <c r="F60" s="11"/>
      <c r="G60" s="11"/>
      <c r="H60" s="11"/>
      <c r="I60" s="11"/>
      <c r="J60" s="11"/>
      <c r="K60" s="11"/>
      <c r="L60" s="11"/>
      <c r="M60" s="11"/>
      <c r="N60" s="11"/>
      <c r="O60" s="11"/>
      <c r="P60" s="11"/>
      <c r="Q60" s="11"/>
      <c r="R60" s="741">
        <f>R61/R59</f>
        <v>12407.747203579418</v>
      </c>
      <c r="S60" s="741" t="s">
        <v>496</v>
      </c>
      <c r="T60" s="741" t="s">
        <v>496</v>
      </c>
      <c r="U60" s="741" t="s">
        <v>496</v>
      </c>
      <c r="V60" s="741" t="s">
        <v>496</v>
      </c>
      <c r="W60" s="741">
        <f>W61/W59</f>
        <v>12394.999999999998</v>
      </c>
      <c r="X60" s="741">
        <f>X61/X59</f>
        <v>14594.196732471068</v>
      </c>
      <c r="Y60" s="983"/>
      <c r="Z60" s="969"/>
    </row>
    <row r="61" spans="1:35" ht="40.5" customHeight="1">
      <c r="A61" s="983"/>
      <c r="B61" s="547" t="s">
        <v>25</v>
      </c>
      <c r="C61" s="11">
        <v>176</v>
      </c>
      <c r="D61" s="11" t="s">
        <v>494</v>
      </c>
      <c r="E61" s="11" t="s">
        <v>495</v>
      </c>
      <c r="F61" s="11" t="s">
        <v>662</v>
      </c>
      <c r="G61" s="11" t="s">
        <v>28</v>
      </c>
      <c r="H61" s="11"/>
      <c r="I61" s="11"/>
      <c r="J61" s="11"/>
      <c r="K61" s="11"/>
      <c r="L61" s="11"/>
      <c r="M61" s="11"/>
      <c r="N61" s="11"/>
      <c r="O61" s="11"/>
      <c r="P61" s="11"/>
      <c r="Q61" s="11"/>
      <c r="R61" s="63">
        <f t="shared" ref="R61:X61" si="5">R62+R63</f>
        <v>1109252.6000000001</v>
      </c>
      <c r="S61" s="63">
        <f t="shared" si="5"/>
        <v>0</v>
      </c>
      <c r="T61" s="63">
        <f t="shared" si="5"/>
        <v>0</v>
      </c>
      <c r="U61" s="63">
        <f t="shared" si="5"/>
        <v>0</v>
      </c>
      <c r="V61" s="63">
        <f t="shared" si="5"/>
        <v>1109252.6000000001</v>
      </c>
      <c r="W61" s="63">
        <f t="shared" si="5"/>
        <v>2853329</v>
      </c>
      <c r="X61" s="63">
        <f t="shared" si="5"/>
        <v>2143887.5</v>
      </c>
      <c r="Y61" s="983"/>
      <c r="Z61" s="969"/>
    </row>
    <row r="62" spans="1:35" ht="37.5" customHeight="1">
      <c r="A62" s="983"/>
      <c r="B62" s="547" t="s">
        <v>10</v>
      </c>
      <c r="C62" s="11">
        <v>176</v>
      </c>
      <c r="D62" s="11" t="s">
        <v>494</v>
      </c>
      <c r="E62" s="11" t="s">
        <v>495</v>
      </c>
      <c r="F62" s="11" t="s">
        <v>662</v>
      </c>
      <c r="G62" s="11" t="s">
        <v>28</v>
      </c>
      <c r="H62" s="11"/>
      <c r="I62" s="11"/>
      <c r="J62" s="11"/>
      <c r="K62" s="11"/>
      <c r="L62" s="11"/>
      <c r="M62" s="11"/>
      <c r="N62" s="11"/>
      <c r="O62" s="11"/>
      <c r="P62" s="11"/>
      <c r="Q62" s="11"/>
      <c r="R62" s="63">
        <f>'Подробный перечень(БКАД)'!$G$775</f>
        <v>977745.00000000012</v>
      </c>
      <c r="S62" s="63">
        <f>'Подробный перечень(БКАД)'!$H$775</f>
        <v>0</v>
      </c>
      <c r="T62" s="63">
        <f>'Подробный перечень(БКАД)'!$H$1189</f>
        <v>0</v>
      </c>
      <c r="U62" s="63">
        <f>'Подробный перечень(БКАД)'!$H$1189</f>
        <v>0</v>
      </c>
      <c r="V62" s="63">
        <f>'Подробный перечень(БКАД)'!$K$775</f>
        <v>977745.00000000012</v>
      </c>
      <c r="W62" s="63">
        <f>'Подробный перечень(БКАД)'!$L$775</f>
        <v>2823329</v>
      </c>
      <c r="X62" s="63">
        <f>'Подробный перечень(БКАД)'!$M$775</f>
        <v>2143887.5</v>
      </c>
      <c r="Y62" s="983"/>
      <c r="Z62" s="969"/>
    </row>
    <row r="63" spans="1:35" ht="37.5" customHeight="1">
      <c r="A63" s="983"/>
      <c r="B63" s="547" t="s">
        <v>443</v>
      </c>
      <c r="C63" s="11">
        <v>176</v>
      </c>
      <c r="D63" s="11" t="s">
        <v>494</v>
      </c>
      <c r="E63" s="11" t="s">
        <v>495</v>
      </c>
      <c r="F63" s="11" t="s">
        <v>662</v>
      </c>
      <c r="G63" s="11" t="s">
        <v>28</v>
      </c>
      <c r="H63" s="11"/>
      <c r="I63" s="11"/>
      <c r="J63" s="11"/>
      <c r="K63" s="11"/>
      <c r="L63" s="11"/>
      <c r="M63" s="11"/>
      <c r="N63" s="11"/>
      <c r="O63" s="11"/>
      <c r="P63" s="11"/>
      <c r="Q63" s="11"/>
      <c r="R63" s="63">
        <f>'Подробный перечень(БКАД)'!$G$776</f>
        <v>131507.6</v>
      </c>
      <c r="S63" s="63">
        <v>0</v>
      </c>
      <c r="T63" s="63">
        <f>'Подробный перечень(БКАД)'!$H$1189</f>
        <v>0</v>
      </c>
      <c r="U63" s="63">
        <f>'Подробный перечень(БКАД)'!$H$1189</f>
        <v>0</v>
      </c>
      <c r="V63" s="63">
        <f>'Подробный перечень(БКАД)'!$K$776</f>
        <v>131507.6</v>
      </c>
      <c r="W63" s="63">
        <f>'Подробный перечень(БКАД)'!$L$776</f>
        <v>30000</v>
      </c>
      <c r="X63" s="63">
        <f>'Подробный перечень(БКАД)'!$M$776</f>
        <v>0</v>
      </c>
      <c r="Y63" s="983"/>
      <c r="Z63" s="969"/>
    </row>
    <row r="64" spans="1:35" ht="18" customHeight="1">
      <c r="A64" s="983"/>
      <c r="B64" s="851" t="s">
        <v>673</v>
      </c>
      <c r="C64" s="777"/>
      <c r="D64" s="777"/>
      <c r="E64" s="777"/>
      <c r="F64" s="777"/>
      <c r="G64" s="777"/>
      <c r="H64" s="777"/>
      <c r="I64" s="777"/>
      <c r="J64" s="777"/>
      <c r="K64" s="777"/>
      <c r="L64" s="777"/>
      <c r="M64" s="777"/>
      <c r="N64" s="777"/>
      <c r="O64" s="777"/>
      <c r="P64" s="777"/>
      <c r="Q64" s="777"/>
      <c r="R64" s="63"/>
      <c r="S64" s="63"/>
      <c r="T64" s="63"/>
      <c r="U64" s="63"/>
      <c r="V64" s="63"/>
      <c r="W64" s="63"/>
      <c r="X64" s="63"/>
      <c r="Y64" s="983"/>
      <c r="Z64" s="969"/>
    </row>
    <row r="65" spans="1:33" ht="27" customHeight="1">
      <c r="A65" s="984"/>
      <c r="B65" s="851" t="s">
        <v>1094</v>
      </c>
      <c r="C65" s="11"/>
      <c r="D65" s="11"/>
      <c r="E65" s="11"/>
      <c r="F65" s="11"/>
      <c r="G65" s="11"/>
      <c r="H65" s="11"/>
      <c r="I65" s="11"/>
      <c r="J65" s="11"/>
      <c r="K65" s="11"/>
      <c r="L65" s="11"/>
      <c r="M65" s="11"/>
      <c r="N65" s="11"/>
      <c r="O65" s="11"/>
      <c r="P65" s="11"/>
      <c r="Q65" s="11"/>
      <c r="R65" s="63"/>
      <c r="S65" s="63"/>
      <c r="T65" s="63"/>
      <c r="U65" s="63"/>
      <c r="V65" s="63"/>
      <c r="W65" s="63"/>
      <c r="X65" s="63"/>
      <c r="Y65" s="984"/>
      <c r="Z65" s="970"/>
      <c r="AG65" s="76"/>
    </row>
    <row r="66" spans="1:33" ht="45.75" customHeight="1">
      <c r="A66" s="982" t="s">
        <v>812</v>
      </c>
      <c r="B66" s="547" t="s">
        <v>74</v>
      </c>
      <c r="C66" s="11"/>
      <c r="D66" s="11"/>
      <c r="E66" s="11"/>
      <c r="F66" s="11"/>
      <c r="G66" s="11"/>
      <c r="H66" s="11"/>
      <c r="I66" s="11"/>
      <c r="J66" s="11"/>
      <c r="K66" s="11"/>
      <c r="L66" s="11"/>
      <c r="M66" s="11"/>
      <c r="N66" s="11"/>
      <c r="O66" s="11"/>
      <c r="P66" s="11"/>
      <c r="Q66" s="11"/>
      <c r="R66" s="63">
        <v>5</v>
      </c>
      <c r="S66" s="63"/>
      <c r="T66" s="63"/>
      <c r="U66" s="63"/>
      <c r="V66" s="63">
        <v>5</v>
      </c>
      <c r="W66" s="63">
        <v>5</v>
      </c>
      <c r="X66" s="63">
        <v>5</v>
      </c>
      <c r="Y66" s="982" t="s">
        <v>188</v>
      </c>
      <c r="Z66" s="968" t="s">
        <v>763</v>
      </c>
    </row>
    <row r="67" spans="1:33" ht="25.5" customHeight="1">
      <c r="A67" s="983"/>
      <c r="B67" s="547" t="s">
        <v>668</v>
      </c>
      <c r="C67" s="11"/>
      <c r="D67" s="11"/>
      <c r="E67" s="11"/>
      <c r="F67" s="11"/>
      <c r="G67" s="11"/>
      <c r="H67" s="11"/>
      <c r="I67" s="11"/>
      <c r="J67" s="11"/>
      <c r="K67" s="11"/>
      <c r="L67" s="11"/>
      <c r="M67" s="11"/>
      <c r="N67" s="11"/>
      <c r="O67" s="11"/>
      <c r="P67" s="11"/>
      <c r="Q67" s="11"/>
      <c r="R67" s="63">
        <f>R68/R66</f>
        <v>312032.95</v>
      </c>
      <c r="S67" s="63" t="s">
        <v>496</v>
      </c>
      <c r="T67" s="63" t="s">
        <v>496</v>
      </c>
      <c r="U67" s="63" t="s">
        <v>496</v>
      </c>
      <c r="V67" s="63" t="s">
        <v>496</v>
      </c>
      <c r="W67" s="63">
        <f>W68/W66</f>
        <v>281406.2</v>
      </c>
      <c r="X67" s="63">
        <f>X68/X66</f>
        <v>260869.18</v>
      </c>
      <c r="Y67" s="983"/>
      <c r="Z67" s="969"/>
    </row>
    <row r="68" spans="1:33" ht="25.5" customHeight="1">
      <c r="A68" s="983"/>
      <c r="B68" s="547" t="s">
        <v>25</v>
      </c>
      <c r="C68" s="11">
        <v>176</v>
      </c>
      <c r="D68" s="11" t="s">
        <v>494</v>
      </c>
      <c r="E68" s="11" t="s">
        <v>495</v>
      </c>
      <c r="F68" s="11" t="s">
        <v>661</v>
      </c>
      <c r="G68" s="11" t="s">
        <v>28</v>
      </c>
      <c r="H68" s="11"/>
      <c r="I68" s="11"/>
      <c r="J68" s="11"/>
      <c r="K68" s="11"/>
      <c r="L68" s="11"/>
      <c r="M68" s="11"/>
      <c r="N68" s="11"/>
      <c r="O68" s="11"/>
      <c r="P68" s="11"/>
      <c r="Q68" s="11"/>
      <c r="R68" s="63">
        <f t="shared" ref="R68:X68" si="6">R69+R70+R71</f>
        <v>1560164.75</v>
      </c>
      <c r="S68" s="63">
        <f t="shared" si="6"/>
        <v>0</v>
      </c>
      <c r="T68" s="63">
        <f t="shared" si="6"/>
        <v>0</v>
      </c>
      <c r="U68" s="63">
        <f t="shared" si="6"/>
        <v>0</v>
      </c>
      <c r="V68" s="63">
        <f t="shared" si="6"/>
        <v>1560164.75</v>
      </c>
      <c r="W68" s="63">
        <f t="shared" si="6"/>
        <v>1407031</v>
      </c>
      <c r="X68" s="63">
        <f t="shared" si="6"/>
        <v>1304345.8999999999</v>
      </c>
      <c r="Y68" s="983"/>
      <c r="Z68" s="969"/>
    </row>
    <row r="69" spans="1:33" ht="25.5" customHeight="1">
      <c r="A69" s="983"/>
      <c r="B69" s="547" t="s">
        <v>10</v>
      </c>
      <c r="C69" s="11">
        <v>176</v>
      </c>
      <c r="D69" s="11" t="s">
        <v>494</v>
      </c>
      <c r="E69" s="11" t="s">
        <v>495</v>
      </c>
      <c r="F69" s="11" t="s">
        <v>661</v>
      </c>
      <c r="G69" s="11" t="s">
        <v>28</v>
      </c>
      <c r="H69" s="11"/>
      <c r="I69" s="11"/>
      <c r="J69" s="11"/>
      <c r="K69" s="11"/>
      <c r="L69" s="11"/>
      <c r="M69" s="11"/>
      <c r="N69" s="11"/>
      <c r="O69" s="11"/>
      <c r="P69" s="11"/>
      <c r="Q69" s="11"/>
      <c r="R69" s="63">
        <f>'Подробный перечень(БКАД)'!$G$1163</f>
        <v>675529</v>
      </c>
      <c r="S69" s="63">
        <v>0</v>
      </c>
      <c r="T69" s="63">
        <v>0</v>
      </c>
      <c r="U69" s="63">
        <v>0</v>
      </c>
      <c r="V69" s="63">
        <f>'Подробный перечень(БКАД)'!$K$1163</f>
        <v>675529</v>
      </c>
      <c r="W69" s="63">
        <f>'Подробный перечень(БКАД)'!$L$1163</f>
        <v>1035150</v>
      </c>
      <c r="X69" s="63">
        <f>'Подробный перечень(БКАД)'!$M$1163</f>
        <v>1035150</v>
      </c>
      <c r="Y69" s="983"/>
      <c r="Z69" s="969"/>
    </row>
    <row r="70" spans="1:33" ht="25.5" customHeight="1">
      <c r="A70" s="983"/>
      <c r="B70" s="547" t="s">
        <v>443</v>
      </c>
      <c r="C70" s="11">
        <v>176</v>
      </c>
      <c r="D70" s="11" t="s">
        <v>494</v>
      </c>
      <c r="E70" s="11" t="s">
        <v>495</v>
      </c>
      <c r="F70" s="11" t="s">
        <v>661</v>
      </c>
      <c r="G70" s="11" t="s">
        <v>28</v>
      </c>
      <c r="H70" s="11"/>
      <c r="I70" s="11"/>
      <c r="J70" s="11"/>
      <c r="K70" s="11"/>
      <c r="L70" s="11"/>
      <c r="M70" s="11"/>
      <c r="N70" s="11"/>
      <c r="O70" s="11"/>
      <c r="P70" s="11"/>
      <c r="Q70" s="11"/>
      <c r="R70" s="63">
        <f>'Подробный перечень(БКАД)'!$G$1164</f>
        <v>490000</v>
      </c>
      <c r="S70" s="63">
        <v>0</v>
      </c>
      <c r="T70" s="63">
        <v>0</v>
      </c>
      <c r="U70" s="63">
        <v>0</v>
      </c>
      <c r="V70" s="63">
        <f>'Подробный перечень(БКАД)'!$K$1164</f>
        <v>490000</v>
      </c>
      <c r="W70" s="63">
        <f>'Подробный перечень(БКАД)'!$L$1164</f>
        <v>0</v>
      </c>
      <c r="X70" s="63">
        <f>'Подробный перечень(БКАД)'!$M$1164</f>
        <v>0</v>
      </c>
      <c r="Y70" s="983"/>
      <c r="Z70" s="969"/>
    </row>
    <row r="71" spans="1:33" ht="25.5" customHeight="1">
      <c r="A71" s="983"/>
      <c r="B71" s="547" t="s">
        <v>673</v>
      </c>
      <c r="C71" s="344"/>
      <c r="D71" s="344"/>
      <c r="E71" s="344"/>
      <c r="F71" s="344"/>
      <c r="G71" s="344"/>
      <c r="H71" s="344"/>
      <c r="I71" s="344"/>
      <c r="J71" s="344"/>
      <c r="K71" s="344"/>
      <c r="L71" s="344"/>
      <c r="M71" s="344"/>
      <c r="N71" s="344"/>
      <c r="O71" s="344"/>
      <c r="P71" s="344"/>
      <c r="Q71" s="344"/>
      <c r="R71" s="63">
        <f>'Подробный перечень(БКАД)'!$G$1165</f>
        <v>394635.75</v>
      </c>
      <c r="S71" s="63">
        <v>0</v>
      </c>
      <c r="T71" s="63">
        <v>0</v>
      </c>
      <c r="U71" s="63">
        <v>0</v>
      </c>
      <c r="V71" s="63">
        <f>'Подробный перечень(БКАД)'!$K$1165</f>
        <v>394635.75</v>
      </c>
      <c r="W71" s="63">
        <f>'Подробный перечень(БКАД)'!$L$1165</f>
        <v>371881</v>
      </c>
      <c r="X71" s="63">
        <f>'Подробный перечень(БКАД)'!$M$1165</f>
        <v>269195.90000000002</v>
      </c>
      <c r="Y71" s="984"/>
      <c r="Z71" s="970"/>
    </row>
    <row r="72" spans="1:33" ht="25.5" customHeight="1">
      <c r="A72" s="984"/>
      <c r="B72" s="851" t="s">
        <v>1094</v>
      </c>
      <c r="C72" s="344"/>
      <c r="D72" s="344"/>
      <c r="E72" s="344"/>
      <c r="F72" s="344"/>
      <c r="G72" s="344"/>
      <c r="H72" s="344"/>
      <c r="I72" s="344"/>
      <c r="J72" s="344"/>
      <c r="K72" s="344"/>
      <c r="L72" s="344"/>
      <c r="M72" s="344"/>
      <c r="N72" s="344"/>
      <c r="O72" s="344"/>
      <c r="P72" s="344"/>
      <c r="Q72" s="344"/>
      <c r="R72" s="63"/>
      <c r="S72" s="63"/>
      <c r="T72" s="63"/>
      <c r="U72" s="63"/>
      <c r="V72" s="63"/>
      <c r="W72" s="63"/>
      <c r="X72" s="63"/>
      <c r="Y72" s="849"/>
      <c r="Z72" s="850"/>
    </row>
    <row r="73" spans="1:33" ht="28.15" customHeight="1">
      <c r="A73" s="982" t="s">
        <v>813</v>
      </c>
      <c r="B73" s="802" t="s">
        <v>807</v>
      </c>
      <c r="C73" s="802"/>
      <c r="D73" s="802"/>
      <c r="E73" s="802"/>
      <c r="F73" s="802"/>
      <c r="G73" s="802"/>
      <c r="H73" s="802"/>
      <c r="I73" s="802"/>
      <c r="J73" s="802"/>
      <c r="K73" s="802"/>
      <c r="L73" s="802"/>
      <c r="M73" s="802"/>
      <c r="N73" s="802"/>
      <c r="O73" s="802"/>
      <c r="P73" s="802"/>
      <c r="Q73" s="802"/>
      <c r="R73" s="63">
        <f>R81+R87</f>
        <v>24</v>
      </c>
      <c r="S73" s="777"/>
      <c r="T73" s="777"/>
      <c r="U73" s="777"/>
      <c r="V73" s="63">
        <f>V81+V87</f>
        <v>24</v>
      </c>
      <c r="W73" s="63">
        <f>W81+W87</f>
        <v>46</v>
      </c>
      <c r="X73" s="63">
        <f>X81+X87</f>
        <v>44</v>
      </c>
      <c r="Y73" s="982" t="s">
        <v>26</v>
      </c>
      <c r="Z73" s="964" t="s">
        <v>1058</v>
      </c>
    </row>
    <row r="74" spans="1:33" ht="28.15" customHeight="1">
      <c r="A74" s="983"/>
      <c r="B74" s="802" t="s">
        <v>668</v>
      </c>
      <c r="C74" s="802"/>
      <c r="D74" s="802"/>
      <c r="E74" s="802"/>
      <c r="F74" s="802"/>
      <c r="G74" s="802"/>
      <c r="H74" s="802"/>
      <c r="I74" s="802"/>
      <c r="J74" s="802"/>
      <c r="K74" s="802"/>
      <c r="L74" s="802"/>
      <c r="M74" s="802"/>
      <c r="N74" s="802"/>
      <c r="O74" s="802"/>
      <c r="P74" s="802"/>
      <c r="Q74" s="802"/>
      <c r="R74" s="802"/>
      <c r="S74" s="63" t="s">
        <v>496</v>
      </c>
      <c r="T74" s="63" t="s">
        <v>496</v>
      </c>
      <c r="U74" s="63" t="s">
        <v>496</v>
      </c>
      <c r="V74" s="777" t="s">
        <v>496</v>
      </c>
      <c r="W74" s="63"/>
      <c r="X74" s="63"/>
      <c r="Y74" s="983"/>
      <c r="Z74" s="965"/>
    </row>
    <row r="75" spans="1:33">
      <c r="A75" s="983"/>
      <c r="B75" s="802" t="s">
        <v>25</v>
      </c>
      <c r="C75" s="777"/>
      <c r="D75" s="127"/>
      <c r="E75" s="127"/>
      <c r="F75" s="777"/>
      <c r="G75" s="777"/>
      <c r="H75" s="802"/>
      <c r="I75" s="802"/>
      <c r="J75" s="802"/>
      <c r="K75" s="802"/>
      <c r="L75" s="802"/>
      <c r="M75" s="802"/>
      <c r="N75" s="802"/>
      <c r="O75" s="802"/>
      <c r="P75" s="802"/>
      <c r="Q75" s="802"/>
      <c r="R75" s="63"/>
      <c r="S75" s="63"/>
      <c r="T75" s="63"/>
      <c r="U75" s="63"/>
      <c r="V75" s="63"/>
      <c r="W75" s="63"/>
      <c r="X75" s="63"/>
      <c r="Y75" s="983"/>
      <c r="Z75" s="965"/>
    </row>
    <row r="76" spans="1:33">
      <c r="A76" s="983"/>
      <c r="B76" s="802" t="s">
        <v>10</v>
      </c>
      <c r="C76" s="777"/>
      <c r="D76" s="127"/>
      <c r="E76" s="127"/>
      <c r="F76" s="777"/>
      <c r="G76" s="777"/>
      <c r="H76" s="802"/>
      <c r="I76" s="802"/>
      <c r="J76" s="802"/>
      <c r="K76" s="802"/>
      <c r="L76" s="802"/>
      <c r="M76" s="802"/>
      <c r="N76" s="802"/>
      <c r="O76" s="802"/>
      <c r="P76" s="802"/>
      <c r="Q76" s="802"/>
      <c r="R76" s="63"/>
      <c r="S76" s="63"/>
      <c r="T76" s="63"/>
      <c r="U76" s="63"/>
      <c r="V76" s="63"/>
      <c r="W76" s="63"/>
      <c r="X76" s="63"/>
      <c r="Y76" s="983"/>
      <c r="Z76" s="965"/>
    </row>
    <row r="77" spans="1:33">
      <c r="A77" s="983"/>
      <c r="B77" s="802" t="s">
        <v>443</v>
      </c>
      <c r="C77" s="777"/>
      <c r="D77" s="127"/>
      <c r="E77" s="127"/>
      <c r="F77" s="777"/>
      <c r="G77" s="777"/>
      <c r="H77" s="777"/>
      <c r="I77" s="777"/>
      <c r="J77" s="777"/>
      <c r="K77" s="777"/>
      <c r="L77" s="777"/>
      <c r="M77" s="777"/>
      <c r="N77" s="777"/>
      <c r="O77" s="777"/>
      <c r="P77" s="777"/>
      <c r="Q77" s="777"/>
      <c r="R77" s="63"/>
      <c r="S77" s="63"/>
      <c r="T77" s="63"/>
      <c r="U77" s="63"/>
      <c r="V77" s="63"/>
      <c r="W77" s="63"/>
      <c r="X77" s="63"/>
      <c r="Y77" s="983"/>
      <c r="Z77" s="965"/>
    </row>
    <row r="78" spans="1:33">
      <c r="A78" s="983"/>
      <c r="B78" s="802" t="s">
        <v>673</v>
      </c>
      <c r="C78" s="777"/>
      <c r="D78" s="777"/>
      <c r="E78" s="777"/>
      <c r="F78" s="777"/>
      <c r="G78" s="777"/>
      <c r="H78" s="777"/>
      <c r="I78" s="777"/>
      <c r="J78" s="777"/>
      <c r="K78" s="777"/>
      <c r="L78" s="777"/>
      <c r="M78" s="777"/>
      <c r="N78" s="777"/>
      <c r="O78" s="777"/>
      <c r="P78" s="777"/>
      <c r="Q78" s="777"/>
      <c r="R78" s="63"/>
      <c r="S78" s="63"/>
      <c r="T78" s="63"/>
      <c r="U78" s="63"/>
      <c r="V78" s="63"/>
      <c r="W78" s="63"/>
      <c r="X78" s="63"/>
      <c r="Y78" s="984"/>
      <c r="Z78" s="966"/>
    </row>
    <row r="79" spans="1:33" ht="25.5">
      <c r="A79" s="983"/>
      <c r="B79" s="811" t="s">
        <v>454</v>
      </c>
      <c r="C79" s="777"/>
      <c r="D79" s="777"/>
      <c r="E79" s="777"/>
      <c r="F79" s="777"/>
      <c r="G79" s="777"/>
      <c r="H79" s="777"/>
      <c r="I79" s="777"/>
      <c r="J79" s="777"/>
      <c r="K79" s="777"/>
      <c r="L79" s="777"/>
      <c r="M79" s="777"/>
      <c r="N79" s="777"/>
      <c r="O79" s="777"/>
      <c r="P79" s="777"/>
      <c r="Q79" s="777"/>
      <c r="R79" s="63"/>
      <c r="S79" s="63"/>
      <c r="T79" s="63"/>
      <c r="U79" s="63"/>
      <c r="V79" s="63"/>
      <c r="W79" s="63"/>
      <c r="X79" s="63"/>
      <c r="Y79" s="806"/>
      <c r="Z79" s="812"/>
    </row>
    <row r="80" spans="1:33">
      <c r="A80" s="984"/>
      <c r="B80" s="811" t="s">
        <v>1061</v>
      </c>
      <c r="C80" s="777"/>
      <c r="D80" s="777"/>
      <c r="E80" s="777"/>
      <c r="F80" s="777"/>
      <c r="G80" s="777"/>
      <c r="H80" s="777"/>
      <c r="I80" s="777"/>
      <c r="J80" s="777"/>
      <c r="K80" s="777"/>
      <c r="L80" s="777"/>
      <c r="M80" s="777"/>
      <c r="N80" s="777"/>
      <c r="O80" s="777"/>
      <c r="P80" s="777"/>
      <c r="Q80" s="777"/>
      <c r="R80" s="63"/>
      <c r="S80" s="63"/>
      <c r="T80" s="63"/>
      <c r="U80" s="63"/>
      <c r="V80" s="63"/>
      <c r="W80" s="63"/>
      <c r="X80" s="63"/>
      <c r="Y80" s="806"/>
      <c r="Z80" s="812"/>
    </row>
    <row r="81" spans="1:26" ht="24.75" customHeight="1">
      <c r="A81" s="988" t="s">
        <v>814</v>
      </c>
      <c r="B81" s="802" t="s">
        <v>807</v>
      </c>
      <c r="C81" s="777"/>
      <c r="D81" s="777"/>
      <c r="E81" s="777"/>
      <c r="F81" s="777"/>
      <c r="G81" s="777"/>
      <c r="H81" s="777"/>
      <c r="I81" s="777"/>
      <c r="J81" s="777"/>
      <c r="K81" s="777"/>
      <c r="L81" s="777"/>
      <c r="M81" s="777"/>
      <c r="N81" s="777"/>
      <c r="O81" s="777"/>
      <c r="P81" s="777"/>
      <c r="Q81" s="777"/>
      <c r="R81" s="63">
        <f>V81</f>
        <v>15</v>
      </c>
      <c r="S81" s="63"/>
      <c r="T81" s="63"/>
      <c r="U81" s="63"/>
      <c r="V81" s="63">
        <v>15</v>
      </c>
      <c r="W81" s="63">
        <v>20</v>
      </c>
      <c r="X81" s="63">
        <v>20</v>
      </c>
      <c r="Y81" s="982" t="s">
        <v>26</v>
      </c>
      <c r="Z81" s="964" t="s">
        <v>1059</v>
      </c>
    </row>
    <row r="82" spans="1:26" ht="27.75" customHeight="1">
      <c r="A82" s="988"/>
      <c r="B82" s="802" t="s">
        <v>668</v>
      </c>
      <c r="C82" s="777"/>
      <c r="D82" s="777"/>
      <c r="E82" s="777"/>
      <c r="F82" s="777"/>
      <c r="G82" s="777"/>
      <c r="H82" s="777"/>
      <c r="I82" s="777"/>
      <c r="J82" s="777"/>
      <c r="K82" s="777"/>
      <c r="L82" s="777"/>
      <c r="M82" s="777"/>
      <c r="N82" s="777"/>
      <c r="O82" s="777"/>
      <c r="P82" s="777"/>
      <c r="Q82" s="777"/>
      <c r="R82" s="63"/>
      <c r="S82" s="63" t="s">
        <v>496</v>
      </c>
      <c r="T82" s="63" t="s">
        <v>496</v>
      </c>
      <c r="U82" s="63" t="s">
        <v>496</v>
      </c>
      <c r="V82" s="63" t="s">
        <v>496</v>
      </c>
      <c r="W82" s="63"/>
      <c r="X82" s="63"/>
      <c r="Y82" s="983"/>
      <c r="Z82" s="965"/>
    </row>
    <row r="83" spans="1:26">
      <c r="A83" s="988"/>
      <c r="B83" s="802" t="s">
        <v>25</v>
      </c>
      <c r="C83" s="777"/>
      <c r="D83" s="777"/>
      <c r="E83" s="777"/>
      <c r="F83" s="777"/>
      <c r="G83" s="777"/>
      <c r="H83" s="777"/>
      <c r="I83" s="777"/>
      <c r="J83" s="777"/>
      <c r="K83" s="777"/>
      <c r="L83" s="777"/>
      <c r="M83" s="777"/>
      <c r="N83" s="777"/>
      <c r="O83" s="777"/>
      <c r="P83" s="777"/>
      <c r="Q83" s="777"/>
      <c r="R83" s="63"/>
      <c r="S83" s="63"/>
      <c r="T83" s="63"/>
      <c r="U83" s="63"/>
      <c r="V83" s="63"/>
      <c r="W83" s="63"/>
      <c r="X83" s="63"/>
      <c r="Y83" s="983"/>
      <c r="Z83" s="965"/>
    </row>
    <row r="84" spans="1:26">
      <c r="A84" s="988"/>
      <c r="B84" s="802" t="s">
        <v>10</v>
      </c>
      <c r="C84" s="777"/>
      <c r="D84" s="777"/>
      <c r="E84" s="777"/>
      <c r="F84" s="777"/>
      <c r="G84" s="777"/>
      <c r="H84" s="777"/>
      <c r="I84" s="777"/>
      <c r="J84" s="777"/>
      <c r="K84" s="777"/>
      <c r="L84" s="777"/>
      <c r="M84" s="777"/>
      <c r="N84" s="777"/>
      <c r="O84" s="777"/>
      <c r="P84" s="777"/>
      <c r="Q84" s="777"/>
      <c r="R84" s="63"/>
      <c r="S84" s="63"/>
      <c r="T84" s="63"/>
      <c r="U84" s="63"/>
      <c r="V84" s="63"/>
      <c r="W84" s="63"/>
      <c r="X84" s="63"/>
      <c r="Y84" s="983"/>
      <c r="Z84" s="965"/>
    </row>
    <row r="85" spans="1:26">
      <c r="A85" s="988"/>
      <c r="B85" s="802" t="s">
        <v>443</v>
      </c>
      <c r="C85" s="777"/>
      <c r="D85" s="777"/>
      <c r="E85" s="777"/>
      <c r="F85" s="777"/>
      <c r="G85" s="777"/>
      <c r="H85" s="777"/>
      <c r="I85" s="777"/>
      <c r="J85" s="777"/>
      <c r="K85" s="777"/>
      <c r="L85" s="777"/>
      <c r="M85" s="777"/>
      <c r="N85" s="777"/>
      <c r="O85" s="777"/>
      <c r="P85" s="777"/>
      <c r="Q85" s="777"/>
      <c r="R85" s="63"/>
      <c r="S85" s="63"/>
      <c r="T85" s="63"/>
      <c r="U85" s="63"/>
      <c r="V85" s="63"/>
      <c r="W85" s="63"/>
      <c r="X85" s="63"/>
      <c r="Y85" s="983"/>
      <c r="Z85" s="965"/>
    </row>
    <row r="86" spans="1:26">
      <c r="A86" s="988"/>
      <c r="B86" s="802" t="s">
        <v>673</v>
      </c>
      <c r="C86" s="777"/>
      <c r="D86" s="777"/>
      <c r="E86" s="777"/>
      <c r="F86" s="777"/>
      <c r="G86" s="777"/>
      <c r="H86" s="777"/>
      <c r="I86" s="777"/>
      <c r="J86" s="777"/>
      <c r="K86" s="777"/>
      <c r="L86" s="777"/>
      <c r="M86" s="777"/>
      <c r="N86" s="777"/>
      <c r="O86" s="777"/>
      <c r="P86" s="777"/>
      <c r="Q86" s="777"/>
      <c r="R86" s="63"/>
      <c r="S86" s="63"/>
      <c r="T86" s="63"/>
      <c r="U86" s="63"/>
      <c r="V86" s="63"/>
      <c r="W86" s="63"/>
      <c r="X86" s="63"/>
      <c r="Y86" s="984"/>
      <c r="Z86" s="966"/>
    </row>
    <row r="87" spans="1:26" ht="31.5" customHeight="1">
      <c r="A87" s="988" t="s">
        <v>815</v>
      </c>
      <c r="B87" s="802" t="s">
        <v>807</v>
      </c>
      <c r="C87" s="777"/>
      <c r="D87" s="777"/>
      <c r="E87" s="777"/>
      <c r="F87" s="777"/>
      <c r="G87" s="777"/>
      <c r="H87" s="777"/>
      <c r="I87" s="777"/>
      <c r="J87" s="777"/>
      <c r="K87" s="777"/>
      <c r="L87" s="777"/>
      <c r="M87" s="777"/>
      <c r="N87" s="777"/>
      <c r="O87" s="777"/>
      <c r="P87" s="777"/>
      <c r="Q87" s="777"/>
      <c r="R87" s="63">
        <f>V87</f>
        <v>9</v>
      </c>
      <c r="S87" s="63"/>
      <c r="T87" s="63"/>
      <c r="U87" s="63"/>
      <c r="V87" s="63">
        <v>9</v>
      </c>
      <c r="W87" s="63">
        <v>26</v>
      </c>
      <c r="X87" s="63">
        <v>24</v>
      </c>
      <c r="Y87" s="982" t="s">
        <v>26</v>
      </c>
      <c r="Z87" s="964" t="s">
        <v>1060</v>
      </c>
    </row>
    <row r="88" spans="1:26" ht="25.5">
      <c r="A88" s="988"/>
      <c r="B88" s="802" t="s">
        <v>668</v>
      </c>
      <c r="C88" s="777"/>
      <c r="D88" s="777"/>
      <c r="E88" s="777"/>
      <c r="F88" s="777"/>
      <c r="G88" s="777"/>
      <c r="H88" s="777"/>
      <c r="I88" s="777"/>
      <c r="J88" s="777"/>
      <c r="K88" s="777"/>
      <c r="L88" s="777"/>
      <c r="M88" s="777"/>
      <c r="N88" s="777"/>
      <c r="O88" s="777"/>
      <c r="P88" s="777"/>
      <c r="Q88" s="777"/>
      <c r="R88" s="63"/>
      <c r="S88" s="63" t="s">
        <v>496</v>
      </c>
      <c r="T88" s="63" t="s">
        <v>496</v>
      </c>
      <c r="U88" s="63" t="s">
        <v>496</v>
      </c>
      <c r="V88" s="63" t="s">
        <v>496</v>
      </c>
      <c r="W88" s="63"/>
      <c r="X88" s="63"/>
      <c r="Y88" s="983"/>
      <c r="Z88" s="965"/>
    </row>
    <row r="89" spans="1:26">
      <c r="A89" s="988"/>
      <c r="B89" s="802" t="s">
        <v>25</v>
      </c>
      <c r="C89" s="777"/>
      <c r="D89" s="777"/>
      <c r="E89" s="777"/>
      <c r="F89" s="777"/>
      <c r="G89" s="777"/>
      <c r="H89" s="777"/>
      <c r="I89" s="777"/>
      <c r="J89" s="777"/>
      <c r="K89" s="777"/>
      <c r="L89" s="777"/>
      <c r="M89" s="777"/>
      <c r="N89" s="777"/>
      <c r="O89" s="777"/>
      <c r="P89" s="777"/>
      <c r="Q89" s="777"/>
      <c r="R89" s="63"/>
      <c r="S89" s="63"/>
      <c r="T89" s="63"/>
      <c r="U89" s="63"/>
      <c r="V89" s="63"/>
      <c r="W89" s="63"/>
      <c r="X89" s="63"/>
      <c r="Y89" s="983"/>
      <c r="Z89" s="965"/>
    </row>
    <row r="90" spans="1:26">
      <c r="A90" s="988"/>
      <c r="B90" s="802" t="s">
        <v>10</v>
      </c>
      <c r="C90" s="777"/>
      <c r="D90" s="777"/>
      <c r="E90" s="777"/>
      <c r="F90" s="777"/>
      <c r="G90" s="777"/>
      <c r="H90" s="777"/>
      <c r="I90" s="777"/>
      <c r="J90" s="777"/>
      <c r="K90" s="777"/>
      <c r="L90" s="777"/>
      <c r="M90" s="777"/>
      <c r="N90" s="777"/>
      <c r="O90" s="777"/>
      <c r="P90" s="777"/>
      <c r="Q90" s="777"/>
      <c r="R90" s="63"/>
      <c r="S90" s="63"/>
      <c r="T90" s="63"/>
      <c r="U90" s="63"/>
      <c r="V90" s="63"/>
      <c r="W90" s="63"/>
      <c r="X90" s="63"/>
      <c r="Y90" s="983"/>
      <c r="Z90" s="965"/>
    </row>
    <row r="91" spans="1:26">
      <c r="A91" s="988"/>
      <c r="B91" s="802" t="s">
        <v>443</v>
      </c>
      <c r="C91" s="777"/>
      <c r="D91" s="777"/>
      <c r="E91" s="777"/>
      <c r="F91" s="777"/>
      <c r="G91" s="777"/>
      <c r="H91" s="777"/>
      <c r="I91" s="777"/>
      <c r="J91" s="777"/>
      <c r="K91" s="777"/>
      <c r="L91" s="777"/>
      <c r="M91" s="777"/>
      <c r="N91" s="777"/>
      <c r="O91" s="777"/>
      <c r="P91" s="777"/>
      <c r="Q91" s="777"/>
      <c r="R91" s="63"/>
      <c r="S91" s="63"/>
      <c r="T91" s="63"/>
      <c r="U91" s="63"/>
      <c r="V91" s="63"/>
      <c r="W91" s="63"/>
      <c r="X91" s="63"/>
      <c r="Y91" s="983"/>
      <c r="Z91" s="965"/>
    </row>
    <row r="92" spans="1:26">
      <c r="A92" s="988"/>
      <c r="B92" s="802" t="s">
        <v>673</v>
      </c>
      <c r="C92" s="777"/>
      <c r="D92" s="777"/>
      <c r="E92" s="777"/>
      <c r="F92" s="777"/>
      <c r="G92" s="777"/>
      <c r="H92" s="777"/>
      <c r="I92" s="777"/>
      <c r="J92" s="777"/>
      <c r="K92" s="777"/>
      <c r="L92" s="777"/>
      <c r="M92" s="777"/>
      <c r="N92" s="777"/>
      <c r="O92" s="777"/>
      <c r="P92" s="777"/>
      <c r="Q92" s="777"/>
      <c r="R92" s="63"/>
      <c r="S92" s="63"/>
      <c r="T92" s="63"/>
      <c r="U92" s="63"/>
      <c r="V92" s="63"/>
      <c r="W92" s="63"/>
      <c r="X92" s="63"/>
      <c r="Y92" s="984"/>
      <c r="Z92" s="966"/>
    </row>
    <row r="93" spans="1:26" ht="23.25" customHeight="1">
      <c r="A93" s="1001" t="s">
        <v>195</v>
      </c>
      <c r="B93" s="1002"/>
      <c r="C93" s="1002"/>
      <c r="D93" s="1002"/>
      <c r="E93" s="1002"/>
      <c r="F93" s="1002"/>
      <c r="G93" s="1002"/>
      <c r="H93" s="1002"/>
      <c r="I93" s="1002"/>
      <c r="J93" s="1002"/>
      <c r="K93" s="1002"/>
      <c r="L93" s="1002"/>
      <c r="M93" s="1002"/>
      <c r="N93" s="1002"/>
      <c r="O93" s="1002"/>
      <c r="P93" s="1002"/>
      <c r="Q93" s="1002"/>
      <c r="R93" s="1002"/>
      <c r="S93" s="1002"/>
      <c r="T93" s="1002"/>
      <c r="U93" s="1002"/>
      <c r="V93" s="1002"/>
      <c r="W93" s="1002"/>
      <c r="X93" s="1002"/>
      <c r="Y93" s="1002"/>
      <c r="Z93" s="1003"/>
    </row>
    <row r="94" spans="1:26" ht="26.45" customHeight="1">
      <c r="A94" s="982" t="s">
        <v>827</v>
      </c>
      <c r="B94" s="547" t="s">
        <v>176</v>
      </c>
      <c r="C94" s="11"/>
      <c r="D94" s="11"/>
      <c r="E94" s="11"/>
      <c r="F94" s="11"/>
      <c r="G94" s="11"/>
      <c r="H94" s="28" t="e">
        <f>L94</f>
        <v>#REF!</v>
      </c>
      <c r="I94" s="11"/>
      <c r="J94" s="11"/>
      <c r="K94" s="11"/>
      <c r="L94" s="28" t="e">
        <f>#REF!</f>
        <v>#REF!</v>
      </c>
      <c r="M94" s="63" t="e">
        <f>'Подробный перечень(БКАД)'!#REF!</f>
        <v>#REF!</v>
      </c>
      <c r="N94" s="63"/>
      <c r="O94" s="63"/>
      <c r="P94" s="63"/>
      <c r="Q94" s="63"/>
      <c r="R94" s="759">
        <f>'Подробный перечень (ОБ)'!$G$10</f>
        <v>16.586000000000002</v>
      </c>
      <c r="S94" s="759"/>
      <c r="T94" s="759"/>
      <c r="U94" s="759"/>
      <c r="V94" s="759">
        <f>'Подробный перечень (ОБ)'!$K$10</f>
        <v>16.586000000000002</v>
      </c>
      <c r="W94" s="63">
        <f>'Подробный перечень (ОБ)'!$L$10</f>
        <v>16.024896008779283</v>
      </c>
      <c r="X94" s="63">
        <f>'Подробный перечень (ОБ)'!$M$10</f>
        <v>15.1</v>
      </c>
      <c r="Y94" s="971" t="s">
        <v>26</v>
      </c>
      <c r="Z94" s="968" t="s">
        <v>991</v>
      </c>
    </row>
    <row r="95" spans="1:26" ht="30" customHeight="1">
      <c r="A95" s="983"/>
      <c r="B95" s="547" t="s">
        <v>668</v>
      </c>
      <c r="C95" s="11"/>
      <c r="D95" s="11"/>
      <c r="E95" s="11"/>
      <c r="F95" s="11"/>
      <c r="G95" s="11"/>
      <c r="H95" s="12" t="e">
        <f>H96/H94</f>
        <v>#REF!</v>
      </c>
      <c r="I95" s="12"/>
      <c r="J95" s="12"/>
      <c r="K95" s="12"/>
      <c r="L95" s="12" t="e">
        <f>H95</f>
        <v>#REF!</v>
      </c>
      <c r="M95" s="49" t="e">
        <f>M96/M94</f>
        <v>#REF!</v>
      </c>
      <c r="N95" s="49"/>
      <c r="O95" s="49"/>
      <c r="P95" s="49"/>
      <c r="Q95" s="49"/>
      <c r="R95" s="742">
        <f>'Подробный перечень (ОБ)'!$G$11</f>
        <v>65907.446038827926</v>
      </c>
      <c r="S95" s="742" t="s">
        <v>496</v>
      </c>
      <c r="T95" s="742" t="s">
        <v>496</v>
      </c>
      <c r="U95" s="742" t="s">
        <v>496</v>
      </c>
      <c r="V95" s="742" t="s">
        <v>496</v>
      </c>
      <c r="W95" s="361">
        <f>'Подробный перечень (ОБ)'!$L$11</f>
        <v>43517.4</v>
      </c>
      <c r="X95" s="742">
        <f>'Подробный перечень (ОБ)'!$M$11</f>
        <v>91854.304635761597</v>
      </c>
      <c r="Y95" s="972"/>
      <c r="Z95" s="969"/>
    </row>
    <row r="96" spans="1:26" ht="30.75" customHeight="1">
      <c r="A96" s="983"/>
      <c r="B96" s="550" t="s">
        <v>338</v>
      </c>
      <c r="C96" s="11">
        <v>176</v>
      </c>
      <c r="D96" s="127" t="s">
        <v>494</v>
      </c>
      <c r="E96" s="127" t="s">
        <v>495</v>
      </c>
      <c r="F96" s="11" t="s">
        <v>893</v>
      </c>
      <c r="G96" s="11">
        <v>414</v>
      </c>
      <c r="H96" s="12" t="e">
        <f t="shared" ref="H96:M96" si="7">H99+H101+H104+H105</f>
        <v>#REF!</v>
      </c>
      <c r="I96" s="12" t="e">
        <f t="shared" si="7"/>
        <v>#REF!</v>
      </c>
      <c r="J96" s="12" t="e">
        <f t="shared" si="7"/>
        <v>#REF!</v>
      </c>
      <c r="K96" s="12" t="e">
        <f t="shared" si="7"/>
        <v>#REF!</v>
      </c>
      <c r="L96" s="12" t="e">
        <f t="shared" si="7"/>
        <v>#REF!</v>
      </c>
      <c r="M96" s="49" t="e">
        <f t="shared" si="7"/>
        <v>#REF!</v>
      </c>
      <c r="N96" s="49"/>
      <c r="O96" s="49"/>
      <c r="P96" s="49"/>
      <c r="Q96" s="49"/>
      <c r="R96" s="85">
        <f t="shared" ref="R96:X96" si="8">R99+R100+R101</f>
        <v>1093140.9000000001</v>
      </c>
      <c r="S96" s="85">
        <f t="shared" si="8"/>
        <v>0</v>
      </c>
      <c r="T96" s="85">
        <f t="shared" si="8"/>
        <v>0</v>
      </c>
      <c r="U96" s="85">
        <f t="shared" si="8"/>
        <v>0</v>
      </c>
      <c r="V96" s="85">
        <f t="shared" si="8"/>
        <v>1093140.9000000001</v>
      </c>
      <c r="W96" s="85">
        <f t="shared" si="8"/>
        <v>687575.6</v>
      </c>
      <c r="X96" s="85">
        <f t="shared" si="8"/>
        <v>1387000</v>
      </c>
      <c r="Y96" s="972"/>
      <c r="Z96" s="969"/>
    </row>
    <row r="97" spans="1:27" ht="15" hidden="1" customHeight="1">
      <c r="A97" s="983"/>
      <c r="B97" s="547" t="s">
        <v>9</v>
      </c>
      <c r="C97" s="11"/>
      <c r="D97" s="11"/>
      <c r="E97" s="127"/>
      <c r="F97" s="11"/>
      <c r="G97" s="11"/>
      <c r="H97" s="12"/>
      <c r="I97" s="12"/>
      <c r="J97" s="12"/>
      <c r="K97" s="12"/>
      <c r="L97" s="12"/>
      <c r="M97" s="49"/>
      <c r="N97" s="49"/>
      <c r="O97" s="49"/>
      <c r="P97" s="49"/>
      <c r="Q97" s="49"/>
      <c r="R97" s="85"/>
      <c r="S97" s="85"/>
      <c r="T97" s="85"/>
      <c r="U97" s="85"/>
      <c r="V97" s="85"/>
      <c r="W97" s="49"/>
      <c r="X97" s="49"/>
      <c r="Y97" s="972"/>
      <c r="Z97" s="969"/>
    </row>
    <row r="98" spans="1:27" ht="32.450000000000003" hidden="1" customHeight="1">
      <c r="A98" s="983"/>
      <c r="B98" s="547" t="s">
        <v>10</v>
      </c>
      <c r="C98" s="11">
        <v>176</v>
      </c>
      <c r="D98" s="127" t="s">
        <v>494</v>
      </c>
      <c r="E98" s="127" t="s">
        <v>495</v>
      </c>
      <c r="F98" s="11">
        <v>6100102770</v>
      </c>
      <c r="G98" s="11">
        <v>414</v>
      </c>
      <c r="H98" s="12"/>
      <c r="I98" s="12"/>
      <c r="J98" s="12"/>
      <c r="K98" s="12"/>
      <c r="L98" s="12"/>
      <c r="M98" s="49"/>
      <c r="N98" s="49"/>
      <c r="O98" s="49"/>
      <c r="P98" s="49"/>
      <c r="Q98" s="49"/>
      <c r="R98" s="85">
        <f>R114+R127+R134+R143+R156</f>
        <v>403431</v>
      </c>
      <c r="S98" s="85">
        <f>S114+S127+S134+S143+S156</f>
        <v>0</v>
      </c>
      <c r="T98" s="85">
        <f>T114+T127+T134+T143+T156</f>
        <v>0</v>
      </c>
      <c r="U98" s="85">
        <f>U114+U127+U134+U143+U156</f>
        <v>0</v>
      </c>
      <c r="V98" s="85">
        <f>V114+V127+V134+V143+V156</f>
        <v>403431</v>
      </c>
      <c r="W98" s="49">
        <f>W133+W142+W143+W148+W156</f>
        <v>286254.2</v>
      </c>
      <c r="X98" s="85">
        <v>0</v>
      </c>
      <c r="Y98" s="972"/>
      <c r="Z98" s="969"/>
    </row>
    <row r="99" spans="1:27" ht="25.5" customHeight="1">
      <c r="A99" s="983"/>
      <c r="B99" s="547" t="s">
        <v>663</v>
      </c>
      <c r="C99" s="11">
        <v>176</v>
      </c>
      <c r="D99" s="127" t="s">
        <v>494</v>
      </c>
      <c r="E99" s="127" t="s">
        <v>495</v>
      </c>
      <c r="F99" s="11" t="s">
        <v>940</v>
      </c>
      <c r="G99" s="11">
        <v>414</v>
      </c>
      <c r="H99" s="12" t="e">
        <f>SUM(I99:L99)</f>
        <v>#REF!</v>
      </c>
      <c r="I99" s="12" t="e">
        <f>#REF!</f>
        <v>#REF!</v>
      </c>
      <c r="J99" s="12" t="e">
        <f>#REF!</f>
        <v>#REF!</v>
      </c>
      <c r="K99" s="12" t="e">
        <f>#REF!</f>
        <v>#REF!</v>
      </c>
      <c r="L99" s="12" t="e">
        <f>#REF!</f>
        <v>#REF!</v>
      </c>
      <c r="M99" s="49" t="e">
        <f>'Подробный перечень(БКАД)'!#REF!</f>
        <v>#REF!</v>
      </c>
      <c r="N99" s="49" t="e">
        <f>'Подробный перечень(БКАД)'!#REF!</f>
        <v>#REF!</v>
      </c>
      <c r="O99" s="49" t="e">
        <f>'Подробный перечень(БКАД)'!#REF!</f>
        <v>#REF!</v>
      </c>
      <c r="P99" s="49" t="e">
        <f>'Подробный перечень(БКАД)'!#REF!</f>
        <v>#REF!</v>
      </c>
      <c r="Q99" s="49" t="e">
        <f>'Подробный перечень(БКАД)'!#REF!</f>
        <v>#REF!</v>
      </c>
      <c r="R99" s="85">
        <f>R118</f>
        <v>150588.20000000001</v>
      </c>
      <c r="S99" s="85">
        <f>S118</f>
        <v>0</v>
      </c>
      <c r="T99" s="85">
        <f>T118</f>
        <v>0</v>
      </c>
      <c r="U99" s="85">
        <f>U118</f>
        <v>0</v>
      </c>
      <c r="V99" s="85">
        <f>V118</f>
        <v>150588.20000000001</v>
      </c>
      <c r="W99" s="49">
        <f>W131</f>
        <v>177869.2</v>
      </c>
      <c r="X99" s="85">
        <f>X124</f>
        <v>257000</v>
      </c>
      <c r="Y99" s="972"/>
      <c r="Z99" s="969"/>
    </row>
    <row r="100" spans="1:27" ht="25.5" customHeight="1">
      <c r="A100" s="983"/>
      <c r="B100" s="628" t="s">
        <v>249</v>
      </c>
      <c r="C100" s="627">
        <v>176</v>
      </c>
      <c r="D100" s="127" t="s">
        <v>494</v>
      </c>
      <c r="E100" s="127" t="s">
        <v>495</v>
      </c>
      <c r="F100" s="627">
        <v>6100102770</v>
      </c>
      <c r="G100" s="627">
        <v>414</v>
      </c>
      <c r="H100" s="12"/>
      <c r="I100" s="12"/>
      <c r="J100" s="12"/>
      <c r="K100" s="12"/>
      <c r="L100" s="12"/>
      <c r="M100" s="49"/>
      <c r="N100" s="49"/>
      <c r="O100" s="49"/>
      <c r="P100" s="49"/>
      <c r="Q100" s="49"/>
      <c r="R100" s="85">
        <f>R111+R114+R120+R122+R127+R130+R135+R137+R138+R139+R141+R142+R143+R144+R145+R146+R147+R148+R149+R150+R152+R154+R133</f>
        <v>706890.6</v>
      </c>
      <c r="S100" s="85">
        <f>S111+S114+S120+S122+S127+S130+S135+S137+S138+S139+S141+S142+S143+S144+S145+S146+S147+S148+S149+S150+S152+S154+S133</f>
        <v>0</v>
      </c>
      <c r="T100" s="85">
        <f>T111+T114+T120+T122+T127+T130+T135+T137+T138+T139+T141+T142+T143+T144+T145+T146+T147+T148+T149+T150+T152+T154+T133</f>
        <v>0</v>
      </c>
      <c r="U100" s="85">
        <f>U111+U114+U120+U122+U127+U130+U135+U137+U138+U139+U141+U142+U143+U144+U145+U146+U147+U148+U149+U150+U152+U154+U133</f>
        <v>0</v>
      </c>
      <c r="V100" s="85">
        <f>V111+V114+V120+V122+V127+V130+V135+V137+V138+V139+V141+V142+V143+V144+V145+V146+V147+V148+V149+V150+V152+V154+V133</f>
        <v>706890.6</v>
      </c>
      <c r="W100" s="49">
        <f>W111+W114+W120+W122+W127+W130+W135+W137+W139+W141+W142+W143+W144+W145+W148+W149+W150</f>
        <v>404416.30000000005</v>
      </c>
      <c r="X100" s="85">
        <f>X114+X123+X130+X138+X142+X143+X149+X150</f>
        <v>1020232.6</v>
      </c>
      <c r="Y100" s="972"/>
      <c r="Z100" s="969"/>
    </row>
    <row r="101" spans="1:27" ht="30" customHeight="1">
      <c r="A101" s="983"/>
      <c r="B101" s="547" t="s">
        <v>664</v>
      </c>
      <c r="C101" s="11">
        <v>176</v>
      </c>
      <c r="D101" s="127" t="s">
        <v>494</v>
      </c>
      <c r="E101" s="127" t="s">
        <v>495</v>
      </c>
      <c r="F101" s="11" t="s">
        <v>940</v>
      </c>
      <c r="G101" s="11">
        <v>414</v>
      </c>
      <c r="H101" s="12" t="e">
        <f>SUM(I101:L101)</f>
        <v>#REF!</v>
      </c>
      <c r="I101" s="12" t="e">
        <f>#REF!</f>
        <v>#REF!</v>
      </c>
      <c r="J101" s="12" t="e">
        <f>#REF!</f>
        <v>#REF!</v>
      </c>
      <c r="K101" s="12" t="e">
        <f>#REF!</f>
        <v>#REF!</v>
      </c>
      <c r="L101" s="12" t="e">
        <f>#REF!</f>
        <v>#REF!</v>
      </c>
      <c r="M101" s="49" t="e">
        <f>'Подробный перечень(БКАД)'!#REF!</f>
        <v>#REF!</v>
      </c>
      <c r="N101" s="49"/>
      <c r="O101" s="49"/>
      <c r="P101" s="49" t="e">
        <f>'Подробный перечень(БКАД)'!#REF!</f>
        <v>#REF!</v>
      </c>
      <c r="Q101" s="49" t="e">
        <f>'Подробный перечень(БКАД)'!#REF!</f>
        <v>#REF!</v>
      </c>
      <c r="R101" s="85">
        <f>R119</f>
        <v>235662.1</v>
      </c>
      <c r="S101" s="85">
        <f>S119</f>
        <v>0</v>
      </c>
      <c r="T101" s="85">
        <f>T119</f>
        <v>0</v>
      </c>
      <c r="U101" s="85">
        <f>U119</f>
        <v>0</v>
      </c>
      <c r="V101" s="85">
        <f>V119</f>
        <v>235662.1</v>
      </c>
      <c r="W101" s="49">
        <f>W132</f>
        <v>105290.1</v>
      </c>
      <c r="X101" s="49">
        <f>X125</f>
        <v>109767.4</v>
      </c>
      <c r="Y101" s="972"/>
      <c r="Z101" s="969"/>
    </row>
    <row r="102" spans="1:27" ht="23.25" hidden="1" customHeight="1">
      <c r="A102" s="983"/>
      <c r="B102" s="547" t="s">
        <v>463</v>
      </c>
      <c r="C102" s="11">
        <v>176</v>
      </c>
      <c r="D102" s="127" t="s">
        <v>15</v>
      </c>
      <c r="E102" s="127" t="s">
        <v>15</v>
      </c>
      <c r="F102" s="11">
        <v>6100053904</v>
      </c>
      <c r="G102" s="11">
        <v>414</v>
      </c>
      <c r="H102" s="12"/>
      <c r="I102" s="12"/>
      <c r="J102" s="12"/>
      <c r="K102" s="12"/>
      <c r="L102" s="12"/>
      <c r="M102" s="49"/>
      <c r="N102" s="49"/>
      <c r="O102" s="49"/>
      <c r="P102" s="49"/>
      <c r="Q102" s="49"/>
      <c r="R102" s="85">
        <f>'Подробный перечень(БКАД)'!G19</f>
        <v>0</v>
      </c>
      <c r="S102" s="85"/>
      <c r="T102" s="85"/>
      <c r="U102" s="85">
        <f>'Подробный перечень(БКАД)'!$J$19</f>
        <v>0</v>
      </c>
      <c r="V102" s="85"/>
      <c r="W102" s="49"/>
      <c r="X102" s="49"/>
      <c r="Y102" s="972"/>
      <c r="Z102" s="969"/>
    </row>
    <row r="103" spans="1:27" ht="21" hidden="1" customHeight="1">
      <c r="A103" s="983"/>
      <c r="B103" s="547" t="s">
        <v>348</v>
      </c>
      <c r="C103" s="11">
        <v>176</v>
      </c>
      <c r="D103" s="127" t="s">
        <v>494</v>
      </c>
      <c r="E103" s="127" t="s">
        <v>495</v>
      </c>
      <c r="F103" s="11">
        <v>6100053902</v>
      </c>
      <c r="G103" s="11">
        <v>414</v>
      </c>
      <c r="H103" s="12"/>
      <c r="I103" s="12"/>
      <c r="J103" s="12"/>
      <c r="K103" s="12"/>
      <c r="L103" s="12"/>
      <c r="M103" s="49"/>
      <c r="N103" s="49"/>
      <c r="O103" s="49"/>
      <c r="P103" s="49"/>
      <c r="Q103" s="49"/>
      <c r="R103" s="85"/>
      <c r="S103" s="85"/>
      <c r="T103" s="85"/>
      <c r="U103" s="85"/>
      <c r="V103" s="85"/>
      <c r="W103" s="49"/>
      <c r="X103" s="49"/>
      <c r="Y103" s="972"/>
      <c r="Z103" s="969"/>
    </row>
    <row r="104" spans="1:27" ht="21" customHeight="1">
      <c r="A104" s="983"/>
      <c r="B104" s="547" t="s">
        <v>442</v>
      </c>
      <c r="C104" s="11"/>
      <c r="D104" s="127"/>
      <c r="E104" s="127"/>
      <c r="F104" s="11"/>
      <c r="G104" s="11"/>
      <c r="H104" s="12"/>
      <c r="I104" s="12">
        <v>0</v>
      </c>
      <c r="J104" s="12">
        <v>0</v>
      </c>
      <c r="K104" s="12">
        <v>0</v>
      </c>
      <c r="L104" s="12">
        <v>0</v>
      </c>
      <c r="M104" s="49"/>
      <c r="N104" s="49"/>
      <c r="O104" s="49"/>
      <c r="P104" s="49"/>
      <c r="Q104" s="49"/>
      <c r="R104" s="85"/>
      <c r="S104" s="85"/>
      <c r="T104" s="85"/>
      <c r="U104" s="85"/>
      <c r="V104" s="85"/>
      <c r="W104" s="49"/>
      <c r="X104" s="49"/>
      <c r="Y104" s="972"/>
      <c r="Z104" s="969"/>
    </row>
    <row r="105" spans="1:27" ht="27.6" customHeight="1">
      <c r="A105" s="983"/>
      <c r="B105" s="547" t="s">
        <v>454</v>
      </c>
      <c r="C105" s="11"/>
      <c r="D105" s="127"/>
      <c r="E105" s="127"/>
      <c r="F105" s="11"/>
      <c r="G105" s="11"/>
      <c r="H105" s="12"/>
      <c r="I105" s="12">
        <v>0</v>
      </c>
      <c r="J105" s="12">
        <v>0</v>
      </c>
      <c r="K105" s="12">
        <v>0</v>
      </c>
      <c r="L105" s="12">
        <v>0</v>
      </c>
      <c r="M105" s="49"/>
      <c r="N105" s="49"/>
      <c r="O105" s="49"/>
      <c r="P105" s="49"/>
      <c r="Q105" s="49"/>
      <c r="R105" s="85"/>
      <c r="S105" s="85"/>
      <c r="T105" s="85"/>
      <c r="U105" s="85"/>
      <c r="V105" s="85"/>
      <c r="W105" s="49"/>
      <c r="X105" s="49"/>
      <c r="Y105" s="972"/>
      <c r="Z105" s="969"/>
    </row>
    <row r="106" spans="1:27" ht="27.6" customHeight="1">
      <c r="A106" s="984"/>
      <c r="B106" s="811" t="s">
        <v>1061</v>
      </c>
      <c r="C106" s="777"/>
      <c r="D106" s="127"/>
      <c r="E106" s="127"/>
      <c r="F106" s="777"/>
      <c r="G106" s="777"/>
      <c r="H106" s="12"/>
      <c r="I106" s="12"/>
      <c r="J106" s="12"/>
      <c r="K106" s="12"/>
      <c r="L106" s="12"/>
      <c r="M106" s="49"/>
      <c r="N106" s="49"/>
      <c r="O106" s="49"/>
      <c r="P106" s="49"/>
      <c r="Q106" s="49"/>
      <c r="R106" s="85"/>
      <c r="S106" s="93"/>
      <c r="T106" s="93"/>
      <c r="U106" s="93"/>
      <c r="V106" s="93"/>
      <c r="W106" s="64"/>
      <c r="X106" s="64"/>
      <c r="Y106" s="972"/>
      <c r="Z106" s="969"/>
    </row>
    <row r="107" spans="1:27" ht="27.6" hidden="1" customHeight="1">
      <c r="A107" s="808"/>
      <c r="B107" s="811"/>
      <c r="C107" s="777"/>
      <c r="D107" s="127"/>
      <c r="E107" s="127"/>
      <c r="F107" s="777"/>
      <c r="G107" s="777"/>
      <c r="H107" s="12"/>
      <c r="I107" s="12"/>
      <c r="J107" s="12"/>
      <c r="K107" s="12"/>
      <c r="L107" s="12"/>
      <c r="M107" s="49"/>
      <c r="N107" s="49"/>
      <c r="O107" s="49"/>
      <c r="P107" s="49"/>
      <c r="Q107" s="49"/>
      <c r="R107" s="85"/>
      <c r="S107" s="93"/>
      <c r="T107" s="93"/>
      <c r="U107" s="93"/>
      <c r="V107" s="93"/>
      <c r="W107" s="64"/>
      <c r="X107" s="64"/>
      <c r="Y107" s="972"/>
      <c r="Z107" s="969"/>
    </row>
    <row r="108" spans="1:27" ht="24" customHeight="1">
      <c r="A108" s="24" t="s">
        <v>30</v>
      </c>
      <c r="B108" s="547"/>
      <c r="C108" s="11"/>
      <c r="D108" s="127"/>
      <c r="E108" s="127"/>
      <c r="F108" s="11"/>
      <c r="G108" s="11"/>
      <c r="H108" s="12"/>
      <c r="I108" s="12"/>
      <c r="J108" s="12"/>
      <c r="K108" s="12"/>
      <c r="L108" s="12"/>
      <c r="M108" s="49"/>
      <c r="N108" s="49"/>
      <c r="O108" s="49"/>
      <c r="P108" s="49"/>
      <c r="Q108" s="49"/>
      <c r="R108" s="85"/>
      <c r="S108" s="93"/>
      <c r="T108" s="93"/>
      <c r="U108" s="93"/>
      <c r="V108" s="93"/>
      <c r="W108" s="64"/>
      <c r="X108" s="64"/>
      <c r="Y108" s="972"/>
      <c r="Z108" s="969"/>
    </row>
    <row r="109" spans="1:27" ht="15" hidden="1" customHeight="1">
      <c r="A109" s="1017" t="s">
        <v>823</v>
      </c>
      <c r="B109" s="547" t="s">
        <v>89</v>
      </c>
      <c r="C109" s="11"/>
      <c r="D109" s="127"/>
      <c r="E109" s="127"/>
      <c r="F109" s="11"/>
      <c r="G109" s="11"/>
      <c r="H109" s="12"/>
      <c r="I109" s="12"/>
      <c r="J109" s="12"/>
      <c r="K109" s="12"/>
      <c r="L109" s="12"/>
      <c r="M109" s="49"/>
      <c r="N109" s="49"/>
      <c r="O109" s="49"/>
      <c r="P109" s="49"/>
      <c r="Q109" s="49"/>
      <c r="R109" s="475">
        <v>12.67</v>
      </c>
      <c r="S109" s="476"/>
      <c r="T109" s="476"/>
      <c r="U109" s="476"/>
      <c r="V109" s="476">
        <v>12.67</v>
      </c>
      <c r="W109" s="64"/>
      <c r="X109" s="64"/>
      <c r="Y109" s="972"/>
      <c r="Z109" s="969"/>
    </row>
    <row r="110" spans="1:27">
      <c r="A110" s="994"/>
      <c r="B110" s="546" t="s">
        <v>338</v>
      </c>
      <c r="C110" s="50">
        <v>176</v>
      </c>
      <c r="D110" s="335" t="s">
        <v>494</v>
      </c>
      <c r="E110" s="335" t="s">
        <v>495</v>
      </c>
      <c r="F110" s="50" t="s">
        <v>864</v>
      </c>
      <c r="G110" s="50">
        <v>414</v>
      </c>
      <c r="H110" s="23" t="e">
        <f>SUM(I110:L110)</f>
        <v>#REF!</v>
      </c>
      <c r="I110" s="23" t="e">
        <f>#REF!</f>
        <v>#REF!</v>
      </c>
      <c r="J110" s="23" t="e">
        <f>#REF!</f>
        <v>#REF!</v>
      </c>
      <c r="K110" s="23" t="e">
        <f>#REF!</f>
        <v>#REF!</v>
      </c>
      <c r="L110" s="23" t="e">
        <f>#REF!</f>
        <v>#REF!</v>
      </c>
      <c r="M110" s="65"/>
      <c r="N110" s="65"/>
      <c r="O110" s="65"/>
      <c r="P110" s="65"/>
      <c r="Q110" s="65"/>
      <c r="R110" s="86">
        <f>'Подробный перечень (ОБ)'!$G$20</f>
        <v>4000</v>
      </c>
      <c r="S110" s="86"/>
      <c r="T110" s="86"/>
      <c r="U110" s="86"/>
      <c r="V110" s="86">
        <f>R110</f>
        <v>4000</v>
      </c>
      <c r="W110" s="65">
        <f>W111+W112+W113</f>
        <v>7028.3</v>
      </c>
      <c r="X110" s="65"/>
      <c r="Y110" s="972"/>
      <c r="Z110" s="969"/>
      <c r="AA110" s="313"/>
    </row>
    <row r="111" spans="1:27">
      <c r="A111" s="994"/>
      <c r="B111" s="629" t="s">
        <v>863</v>
      </c>
      <c r="C111" s="626">
        <v>176</v>
      </c>
      <c r="D111" s="342" t="s">
        <v>494</v>
      </c>
      <c r="E111" s="342" t="s">
        <v>495</v>
      </c>
      <c r="F111" s="626">
        <v>6100102770</v>
      </c>
      <c r="G111" s="626">
        <v>414</v>
      </c>
      <c r="H111" s="23"/>
      <c r="I111" s="23"/>
      <c r="J111" s="23"/>
      <c r="K111" s="23"/>
      <c r="L111" s="23"/>
      <c r="M111" s="65"/>
      <c r="N111" s="65"/>
      <c r="O111" s="65"/>
      <c r="P111" s="65"/>
      <c r="Q111" s="65"/>
      <c r="R111" s="86">
        <f>'Подробный перечень (ОБ)'!$G$21</f>
        <v>4000</v>
      </c>
      <c r="S111" s="86"/>
      <c r="T111" s="86"/>
      <c r="U111" s="86"/>
      <c r="V111" s="86">
        <f>R111</f>
        <v>4000</v>
      </c>
      <c r="W111" s="65">
        <f>'Подробный перечень (ОБ)'!$L$21</f>
        <v>7028.3</v>
      </c>
      <c r="X111" s="65"/>
      <c r="Y111" s="972"/>
      <c r="Z111" s="969"/>
      <c r="AA111" s="313"/>
    </row>
    <row r="112" spans="1:27" ht="15" hidden="1" customHeight="1">
      <c r="A112" s="994"/>
      <c r="B112" s="546" t="s">
        <v>764</v>
      </c>
      <c r="C112" s="318">
        <v>176</v>
      </c>
      <c r="D112" s="335" t="s">
        <v>494</v>
      </c>
      <c r="E112" s="335" t="s">
        <v>495</v>
      </c>
      <c r="F112" s="318" t="s">
        <v>940</v>
      </c>
      <c r="G112" s="318">
        <v>414</v>
      </c>
      <c r="H112" s="23"/>
      <c r="I112" s="23"/>
      <c r="J112" s="23"/>
      <c r="K112" s="23"/>
      <c r="L112" s="23"/>
      <c r="M112" s="65"/>
      <c r="N112" s="65"/>
      <c r="O112" s="65"/>
      <c r="P112" s="65"/>
      <c r="Q112" s="65"/>
      <c r="R112" s="86"/>
      <c r="S112" s="86"/>
      <c r="T112" s="86"/>
      <c r="U112" s="86"/>
      <c r="V112" s="86">
        <f>R112</f>
        <v>0</v>
      </c>
      <c r="W112" s="65"/>
      <c r="X112" s="65"/>
      <c r="Y112" s="972"/>
      <c r="Z112" s="969"/>
      <c r="AA112" s="536"/>
    </row>
    <row r="113" spans="1:27" ht="14.25" hidden="1" customHeight="1">
      <c r="A113" s="993"/>
      <c r="B113" s="546" t="s">
        <v>765</v>
      </c>
      <c r="C113" s="318">
        <v>176</v>
      </c>
      <c r="D113" s="335" t="s">
        <v>494</v>
      </c>
      <c r="E113" s="335" t="s">
        <v>495</v>
      </c>
      <c r="F113" s="318" t="s">
        <v>940</v>
      </c>
      <c r="G113" s="318">
        <v>414</v>
      </c>
      <c r="H113" s="23"/>
      <c r="I113" s="23"/>
      <c r="J113" s="23"/>
      <c r="K113" s="23"/>
      <c r="L113" s="23"/>
      <c r="M113" s="65"/>
      <c r="N113" s="65"/>
      <c r="O113" s="65"/>
      <c r="P113" s="65"/>
      <c r="Q113" s="65"/>
      <c r="R113" s="86"/>
      <c r="S113" s="86"/>
      <c r="T113" s="86"/>
      <c r="U113" s="86"/>
      <c r="V113" s="86">
        <v>175832.7</v>
      </c>
      <c r="W113" s="65"/>
      <c r="X113" s="65"/>
      <c r="Y113" s="972"/>
      <c r="Z113" s="969"/>
      <c r="AA113" s="313"/>
    </row>
    <row r="114" spans="1:27">
      <c r="A114" s="662" t="s">
        <v>43</v>
      </c>
      <c r="B114" s="546" t="s">
        <v>337</v>
      </c>
      <c r="C114" s="50">
        <v>176</v>
      </c>
      <c r="D114" s="335" t="s">
        <v>494</v>
      </c>
      <c r="E114" s="335" t="s">
        <v>495</v>
      </c>
      <c r="F114" s="50">
        <v>6100102770</v>
      </c>
      <c r="G114" s="50">
        <v>414</v>
      </c>
      <c r="H114" s="23" t="e">
        <f>SUM(I114:L114)</f>
        <v>#REF!</v>
      </c>
      <c r="I114" s="23" t="e">
        <f>#REF!</f>
        <v>#REF!</v>
      </c>
      <c r="J114" s="23" t="e">
        <f>#REF!</f>
        <v>#REF!</v>
      </c>
      <c r="K114" s="23" t="e">
        <f>#REF!</f>
        <v>#REF!</v>
      </c>
      <c r="L114" s="23" t="e">
        <f>#REF!</f>
        <v>#REF!</v>
      </c>
      <c r="M114" s="65"/>
      <c r="N114" s="65"/>
      <c r="O114" s="65"/>
      <c r="P114" s="65"/>
      <c r="Q114" s="65"/>
      <c r="R114" s="86">
        <f>V114</f>
        <v>1919.2</v>
      </c>
      <c r="S114" s="86"/>
      <c r="T114" s="86"/>
      <c r="U114" s="86"/>
      <c r="V114" s="86">
        <f>'Подробный перечень (ОБ)'!$K$37</f>
        <v>1919.2</v>
      </c>
      <c r="W114" s="65">
        <f>'Подробный перечень (ОБ)'!$L$37</f>
        <v>31300</v>
      </c>
      <c r="X114" s="65">
        <f>'Подробный перечень (ОБ)'!$M$37</f>
        <v>10000</v>
      </c>
      <c r="Y114" s="972"/>
      <c r="Z114" s="969"/>
    </row>
    <row r="115" spans="1:27" ht="21" hidden="1" customHeight="1">
      <c r="A115" s="13" t="s">
        <v>44</v>
      </c>
      <c r="B115" s="546" t="s">
        <v>337</v>
      </c>
      <c r="C115" s="50">
        <v>176</v>
      </c>
      <c r="D115" s="335" t="s">
        <v>494</v>
      </c>
      <c r="E115" s="335" t="s">
        <v>495</v>
      </c>
      <c r="F115" s="50">
        <v>6100102770</v>
      </c>
      <c r="G115" s="50">
        <v>414</v>
      </c>
      <c r="H115" s="23" t="e">
        <f>SUM(I115:L115)</f>
        <v>#REF!</v>
      </c>
      <c r="I115" s="23" t="e">
        <f>#REF!</f>
        <v>#REF!</v>
      </c>
      <c r="J115" s="23" t="e">
        <f>#REF!</f>
        <v>#REF!</v>
      </c>
      <c r="K115" s="23" t="e">
        <f>#REF!</f>
        <v>#REF!</v>
      </c>
      <c r="L115" s="23" t="e">
        <f>#REF!</f>
        <v>#REF!</v>
      </c>
      <c r="M115" s="65"/>
      <c r="N115" s="65"/>
      <c r="O115" s="65"/>
      <c r="P115" s="65"/>
      <c r="Q115" s="65"/>
      <c r="R115" s="86"/>
      <c r="S115" s="86"/>
      <c r="T115" s="86"/>
      <c r="U115" s="86"/>
      <c r="V115" s="86"/>
      <c r="W115" s="65"/>
      <c r="X115" s="65"/>
      <c r="Y115" s="972"/>
      <c r="Z115" s="969"/>
    </row>
    <row r="116" spans="1:27" ht="10.5" hidden="1" customHeight="1">
      <c r="A116" s="992" t="s">
        <v>824</v>
      </c>
      <c r="B116" s="547" t="s">
        <v>89</v>
      </c>
      <c r="C116" s="364"/>
      <c r="D116" s="335"/>
      <c r="E116" s="335"/>
      <c r="F116" s="364"/>
      <c r="G116" s="364"/>
      <c r="H116" s="23"/>
      <c r="I116" s="23"/>
      <c r="J116" s="23"/>
      <c r="K116" s="23"/>
      <c r="L116" s="23"/>
      <c r="M116" s="65"/>
      <c r="N116" s="65"/>
      <c r="O116" s="65"/>
      <c r="P116" s="65"/>
      <c r="Q116" s="65"/>
      <c r="R116" s="86"/>
      <c r="S116" s="86"/>
      <c r="T116" s="86"/>
      <c r="U116" s="86"/>
      <c r="V116" s="86"/>
      <c r="W116" s="49">
        <v>12.5</v>
      </c>
      <c r="X116" s="65"/>
      <c r="Y116" s="972"/>
      <c r="Z116" s="969"/>
    </row>
    <row r="117" spans="1:27">
      <c r="A117" s="994"/>
      <c r="B117" s="546" t="s">
        <v>338</v>
      </c>
      <c r="C117" s="50">
        <v>176</v>
      </c>
      <c r="D117" s="335" t="s">
        <v>494</v>
      </c>
      <c r="E117" s="335" t="s">
        <v>495</v>
      </c>
      <c r="F117" s="50" t="s">
        <v>864</v>
      </c>
      <c r="G117" s="50">
        <v>414</v>
      </c>
      <c r="H117" s="23" t="e">
        <f>SUM(I117:L117)</f>
        <v>#REF!</v>
      </c>
      <c r="I117" s="23" t="e">
        <f>#REF!</f>
        <v>#REF!</v>
      </c>
      <c r="J117" s="23" t="e">
        <f>#REF!</f>
        <v>#REF!</v>
      </c>
      <c r="K117" s="23" t="e">
        <f>#REF!</f>
        <v>#REF!</v>
      </c>
      <c r="L117" s="23" t="e">
        <f>#REF!</f>
        <v>#REF!</v>
      </c>
      <c r="M117" s="65" t="e">
        <f>'Подробный перечень(БКАД)'!#REF!</f>
        <v>#REF!</v>
      </c>
      <c r="N117" s="65"/>
      <c r="O117" s="65"/>
      <c r="P117" s="65"/>
      <c r="Q117" s="65" t="e">
        <f>'Подробный перечень(БКАД)'!#REF!</f>
        <v>#REF!</v>
      </c>
      <c r="R117" s="86">
        <f t="shared" ref="R117:W117" si="9">R118+R119+R120</f>
        <v>462908.30000000005</v>
      </c>
      <c r="S117" s="86">
        <f t="shared" si="9"/>
        <v>0</v>
      </c>
      <c r="T117" s="86">
        <f t="shared" si="9"/>
        <v>0</v>
      </c>
      <c r="U117" s="86">
        <f t="shared" si="9"/>
        <v>0</v>
      </c>
      <c r="V117" s="86">
        <f t="shared" si="9"/>
        <v>462908.30000000005</v>
      </c>
      <c r="W117" s="86">
        <f t="shared" si="9"/>
        <v>25444.6</v>
      </c>
      <c r="X117" s="65"/>
      <c r="Y117" s="972"/>
      <c r="Z117" s="969"/>
    </row>
    <row r="118" spans="1:27">
      <c r="A118" s="994"/>
      <c r="B118" s="546" t="s">
        <v>764</v>
      </c>
      <c r="C118" s="318">
        <v>176</v>
      </c>
      <c r="D118" s="335" t="s">
        <v>494</v>
      </c>
      <c r="E118" s="335" t="s">
        <v>495</v>
      </c>
      <c r="F118" s="318" t="s">
        <v>940</v>
      </c>
      <c r="G118" s="318">
        <v>414</v>
      </c>
      <c r="H118" s="23"/>
      <c r="I118" s="23"/>
      <c r="J118" s="23"/>
      <c r="K118" s="23"/>
      <c r="L118" s="23"/>
      <c r="M118" s="65"/>
      <c r="N118" s="65"/>
      <c r="O118" s="65"/>
      <c r="P118" s="65"/>
      <c r="Q118" s="65"/>
      <c r="R118" s="86">
        <f>V118</f>
        <v>150588.20000000001</v>
      </c>
      <c r="S118" s="86"/>
      <c r="T118" s="86"/>
      <c r="U118" s="86"/>
      <c r="V118" s="86">
        <f>'Подробный перечень (ОБ)'!$K$83</f>
        <v>150588.20000000001</v>
      </c>
      <c r="W118" s="65">
        <f>'Подробный перечень (ОБ)'!$L$83</f>
        <v>0</v>
      </c>
      <c r="X118" s="65"/>
      <c r="Y118" s="972"/>
      <c r="Z118" s="969"/>
    </row>
    <row r="119" spans="1:27">
      <c r="A119" s="994"/>
      <c r="B119" s="546" t="s">
        <v>766</v>
      </c>
      <c r="C119" s="318">
        <v>176</v>
      </c>
      <c r="D119" s="335" t="s">
        <v>494</v>
      </c>
      <c r="E119" s="335" t="s">
        <v>495</v>
      </c>
      <c r="F119" s="318" t="s">
        <v>940</v>
      </c>
      <c r="G119" s="318">
        <v>414</v>
      </c>
      <c r="H119" s="23"/>
      <c r="I119" s="23"/>
      <c r="J119" s="23"/>
      <c r="K119" s="23"/>
      <c r="L119" s="23"/>
      <c r="M119" s="65"/>
      <c r="N119" s="65"/>
      <c r="O119" s="65"/>
      <c r="P119" s="65"/>
      <c r="Q119" s="65"/>
      <c r="R119" s="86">
        <f>V119</f>
        <v>235662.1</v>
      </c>
      <c r="S119" s="86"/>
      <c r="T119" s="86"/>
      <c r="U119" s="86"/>
      <c r="V119" s="86">
        <f>'Подробный перечень (ОБ)'!$K$52</f>
        <v>235662.1</v>
      </c>
      <c r="W119" s="65">
        <v>0</v>
      </c>
      <c r="X119" s="65"/>
      <c r="Y119" s="972"/>
      <c r="Z119" s="969"/>
    </row>
    <row r="120" spans="1:27" s="79" customFormat="1">
      <c r="A120" s="994"/>
      <c r="B120" s="629" t="s">
        <v>863</v>
      </c>
      <c r="C120" s="626">
        <v>176</v>
      </c>
      <c r="D120" s="342" t="s">
        <v>494</v>
      </c>
      <c r="E120" s="342" t="s">
        <v>495</v>
      </c>
      <c r="F120" s="626">
        <v>6100102770</v>
      </c>
      <c r="G120" s="626">
        <v>414</v>
      </c>
      <c r="H120" s="17"/>
      <c r="I120" s="17"/>
      <c r="J120" s="17"/>
      <c r="K120" s="17"/>
      <c r="L120" s="17"/>
      <c r="M120" s="71"/>
      <c r="N120" s="71"/>
      <c r="O120" s="71"/>
      <c r="P120" s="71"/>
      <c r="Q120" s="71"/>
      <c r="R120" s="90">
        <f>S120+T120+U120+V120</f>
        <v>76658</v>
      </c>
      <c r="S120" s="90"/>
      <c r="T120" s="90"/>
      <c r="U120" s="90">
        <f>'Подробный перечень (ОБ)'!$J$51</f>
        <v>0</v>
      </c>
      <c r="V120" s="90">
        <f>'Подробный перечень (ОБ)'!$K$51-V118</f>
        <v>76658</v>
      </c>
      <c r="W120" s="71">
        <f>('Подробный перечень (ОБ)'!$L$51)-W118</f>
        <v>25444.6</v>
      </c>
      <c r="X120" s="71"/>
      <c r="Y120" s="972"/>
      <c r="Z120" s="969"/>
      <c r="AA120" s="541"/>
    </row>
    <row r="121" spans="1:27" ht="15" hidden="1" customHeight="1">
      <c r="A121" s="14"/>
      <c r="B121" s="546" t="s">
        <v>338</v>
      </c>
      <c r="C121" s="50">
        <v>176</v>
      </c>
      <c r="D121" s="335" t="s">
        <v>494</v>
      </c>
      <c r="E121" s="335" t="s">
        <v>495</v>
      </c>
      <c r="F121" s="50" t="s">
        <v>266</v>
      </c>
      <c r="G121" s="50">
        <v>414</v>
      </c>
      <c r="H121" s="23" t="e">
        <f>SUM(I121:L121)</f>
        <v>#REF!</v>
      </c>
      <c r="I121" s="23" t="e">
        <f>#REF!</f>
        <v>#REF!</v>
      </c>
      <c r="J121" s="23" t="e">
        <f>#REF!</f>
        <v>#REF!</v>
      </c>
      <c r="K121" s="23" t="e">
        <f>#REF!</f>
        <v>#REF!</v>
      </c>
      <c r="L121" s="23" t="e">
        <f>#REF!</f>
        <v>#REF!</v>
      </c>
      <c r="M121" s="65"/>
      <c r="N121" s="65"/>
      <c r="O121" s="65"/>
      <c r="P121" s="65"/>
      <c r="Q121" s="65"/>
      <c r="R121" s="86"/>
      <c r="S121" s="86"/>
      <c r="T121" s="86"/>
      <c r="U121" s="86">
        <f>'Подробный перечень(БКАД)'!$J$95</f>
        <v>0</v>
      </c>
      <c r="V121" s="86"/>
      <c r="W121" s="65"/>
      <c r="X121" s="65"/>
      <c r="Y121" s="972"/>
      <c r="Z121" s="969"/>
    </row>
    <row r="122" spans="1:27">
      <c r="A122" s="661" t="s">
        <v>46</v>
      </c>
      <c r="B122" s="546" t="s">
        <v>338</v>
      </c>
      <c r="C122" s="304">
        <v>176</v>
      </c>
      <c r="D122" s="335" t="s">
        <v>494</v>
      </c>
      <c r="E122" s="335" t="s">
        <v>495</v>
      </c>
      <c r="F122" s="304">
        <v>6100102770</v>
      </c>
      <c r="G122" s="304">
        <v>414</v>
      </c>
      <c r="H122" s="23"/>
      <c r="I122" s="23"/>
      <c r="J122" s="23"/>
      <c r="K122" s="23"/>
      <c r="L122" s="23"/>
      <c r="M122" s="65"/>
      <c r="N122" s="65"/>
      <c r="O122" s="65"/>
      <c r="P122" s="65"/>
      <c r="Q122" s="65"/>
      <c r="R122" s="86">
        <f>'Подробный перечень (ОБ)'!G87</f>
        <v>2093.1999999999998</v>
      </c>
      <c r="S122" s="291"/>
      <c r="T122" s="291"/>
      <c r="U122" s="291">
        <v>0</v>
      </c>
      <c r="V122" s="291">
        <f>'Подробный перечень (ОБ)'!$K$87</f>
        <v>2093.1999999999998</v>
      </c>
      <c r="W122" s="66">
        <f>'Подробный перечень (ОБ)'!$L$87</f>
        <v>7031.1</v>
      </c>
      <c r="X122" s="65">
        <f>X123+X124+X125</f>
        <v>437000</v>
      </c>
      <c r="Y122" s="972"/>
      <c r="Z122" s="969"/>
    </row>
    <row r="123" spans="1:27">
      <c r="A123" s="661"/>
      <c r="B123" s="630" t="s">
        <v>863</v>
      </c>
      <c r="C123" s="753">
        <v>176</v>
      </c>
      <c r="D123" s="335" t="s">
        <v>494</v>
      </c>
      <c r="E123" s="335" t="s">
        <v>495</v>
      </c>
      <c r="F123" s="753">
        <v>6100102770</v>
      </c>
      <c r="G123" s="753">
        <v>414</v>
      </c>
      <c r="H123" s="23"/>
      <c r="I123" s="23"/>
      <c r="J123" s="23"/>
      <c r="K123" s="23"/>
      <c r="L123" s="23"/>
      <c r="M123" s="65"/>
      <c r="N123" s="65"/>
      <c r="O123" s="65"/>
      <c r="P123" s="65"/>
      <c r="Q123" s="65"/>
      <c r="R123" s="86">
        <f>V123</f>
        <v>2093.1999999999998</v>
      </c>
      <c r="S123" s="291"/>
      <c r="T123" s="291"/>
      <c r="U123" s="291">
        <v>0</v>
      </c>
      <c r="V123" s="291">
        <f>'Подробный перечень (ОБ)'!$K$87</f>
        <v>2093.1999999999998</v>
      </c>
      <c r="W123" s="66">
        <f>'Подробный перечень (ОБ)'!$L$87</f>
        <v>7031.1</v>
      </c>
      <c r="X123" s="65">
        <f>'Подробный перечень (ОБ)'!$M$87-X124</f>
        <v>70232.599999999977</v>
      </c>
      <c r="Y123" s="972"/>
      <c r="Z123" s="969"/>
    </row>
    <row r="124" spans="1:27">
      <c r="A124" s="661"/>
      <c r="B124" s="630" t="s">
        <v>941</v>
      </c>
      <c r="C124" s="753">
        <v>176</v>
      </c>
      <c r="D124" s="335" t="s">
        <v>494</v>
      </c>
      <c r="E124" s="335" t="s">
        <v>495</v>
      </c>
      <c r="F124" s="753" t="s">
        <v>940</v>
      </c>
      <c r="G124" s="753">
        <v>414</v>
      </c>
      <c r="H124" s="23"/>
      <c r="I124" s="23"/>
      <c r="J124" s="23"/>
      <c r="K124" s="23"/>
      <c r="L124" s="23"/>
      <c r="M124" s="65"/>
      <c r="N124" s="65"/>
      <c r="O124" s="65"/>
      <c r="P124" s="65"/>
      <c r="Q124" s="65"/>
      <c r="R124" s="86"/>
      <c r="S124" s="291"/>
      <c r="T124" s="291"/>
      <c r="U124" s="291"/>
      <c r="V124" s="291"/>
      <c r="W124" s="66"/>
      <c r="X124" s="65">
        <f>'Подробный перечень (ОБ)'!$M$95</f>
        <v>257000</v>
      </c>
      <c r="Y124" s="972"/>
      <c r="Z124" s="969"/>
    </row>
    <row r="125" spans="1:27">
      <c r="A125" s="661"/>
      <c r="B125" s="630" t="s">
        <v>942</v>
      </c>
      <c r="C125" s="753">
        <v>176</v>
      </c>
      <c r="D125" s="335" t="s">
        <v>494</v>
      </c>
      <c r="E125" s="335" t="s">
        <v>495</v>
      </c>
      <c r="F125" s="753" t="s">
        <v>940</v>
      </c>
      <c r="G125" s="753">
        <v>414</v>
      </c>
      <c r="H125" s="23"/>
      <c r="I125" s="23"/>
      <c r="J125" s="23"/>
      <c r="K125" s="23"/>
      <c r="L125" s="23"/>
      <c r="M125" s="65"/>
      <c r="N125" s="65"/>
      <c r="O125" s="65"/>
      <c r="P125" s="65"/>
      <c r="Q125" s="65"/>
      <c r="R125" s="86"/>
      <c r="S125" s="291"/>
      <c r="T125" s="291"/>
      <c r="U125" s="291"/>
      <c r="V125" s="291"/>
      <c r="W125" s="66"/>
      <c r="X125" s="65">
        <f>'Подробный перечень (ОБ)'!$M$97</f>
        <v>109767.4</v>
      </c>
      <c r="Y125" s="972"/>
      <c r="Z125" s="969"/>
    </row>
    <row r="126" spans="1:27" ht="20.25" customHeight="1">
      <c r="A126" s="13" t="s">
        <v>47</v>
      </c>
      <c r="B126" s="630" t="s">
        <v>249</v>
      </c>
      <c r="C126" s="50">
        <v>176</v>
      </c>
      <c r="D126" s="335" t="s">
        <v>494</v>
      </c>
      <c r="E126" s="335" t="s">
        <v>495</v>
      </c>
      <c r="F126" s="50">
        <v>6100102770</v>
      </c>
      <c r="G126" s="50">
        <v>414</v>
      </c>
      <c r="H126" s="23">
        <f>SUM(I126:L126)</f>
        <v>0</v>
      </c>
      <c r="I126" s="23"/>
      <c r="J126" s="23"/>
      <c r="K126" s="23"/>
      <c r="L126" s="23"/>
      <c r="M126" s="65"/>
      <c r="N126" s="65"/>
      <c r="O126" s="65"/>
      <c r="P126" s="65"/>
      <c r="Q126" s="65"/>
      <c r="R126" s="86"/>
      <c r="S126" s="291"/>
      <c r="T126" s="291"/>
      <c r="U126" s="291"/>
      <c r="V126" s="291"/>
      <c r="W126" s="66"/>
      <c r="X126" s="65"/>
      <c r="Y126" s="972"/>
      <c r="Z126" s="969"/>
    </row>
    <row r="127" spans="1:27">
      <c r="A127" s="662" t="s">
        <v>48</v>
      </c>
      <c r="B127" s="546" t="s">
        <v>337</v>
      </c>
      <c r="C127" s="50">
        <v>176</v>
      </c>
      <c r="D127" s="335" t="s">
        <v>494</v>
      </c>
      <c r="E127" s="335" t="s">
        <v>495</v>
      </c>
      <c r="F127" s="50">
        <v>6100102770</v>
      </c>
      <c r="G127" s="50">
        <v>414</v>
      </c>
      <c r="H127" s="23" t="e">
        <f>SUM(I127:L127)</f>
        <v>#REF!</v>
      </c>
      <c r="I127" s="23" t="e">
        <f>#REF!</f>
        <v>#REF!</v>
      </c>
      <c r="J127" s="23" t="e">
        <f>#REF!</f>
        <v>#REF!</v>
      </c>
      <c r="K127" s="23" t="e">
        <f>#REF!</f>
        <v>#REF!</v>
      </c>
      <c r="L127" s="23" t="e">
        <f>#REF!</f>
        <v>#REF!</v>
      </c>
      <c r="M127" s="65" t="e">
        <f>'Подробный перечень(БКАД)'!#REF!</f>
        <v>#REF!</v>
      </c>
      <c r="N127" s="65"/>
      <c r="O127" s="65"/>
      <c r="P127" s="65"/>
      <c r="Q127" s="65" t="e">
        <f>'Подробный перечень(БКАД)'!#REF!</f>
        <v>#REF!</v>
      </c>
      <c r="R127" s="65">
        <f>'Подробный перечень (ОБ)'!G104</f>
        <v>56735</v>
      </c>
      <c r="S127" s="86"/>
      <c r="T127" s="86"/>
      <c r="U127" s="86"/>
      <c r="V127" s="86">
        <f>'Подробный перечень (ОБ)'!$K$104</f>
        <v>56735</v>
      </c>
      <c r="W127" s="65">
        <f>'Подробный перечень (ОБ)'!$L$104</f>
        <v>6000</v>
      </c>
      <c r="X127" s="65">
        <f>'Подробный перечень (ОБ)'!$M$104</f>
        <v>0</v>
      </c>
      <c r="Y127" s="972"/>
      <c r="Z127" s="969"/>
    </row>
    <row r="128" spans="1:27" ht="15" hidden="1" customHeight="1">
      <c r="A128" s="992" t="s">
        <v>825</v>
      </c>
      <c r="B128" s="547" t="s">
        <v>89</v>
      </c>
      <c r="C128" s="364"/>
      <c r="D128" s="335"/>
      <c r="E128" s="335"/>
      <c r="F128" s="364"/>
      <c r="G128" s="364"/>
      <c r="H128" s="23"/>
      <c r="I128" s="23"/>
      <c r="J128" s="23"/>
      <c r="K128" s="23"/>
      <c r="L128" s="23"/>
      <c r="M128" s="65"/>
      <c r="N128" s="65"/>
      <c r="O128" s="65"/>
      <c r="P128" s="65"/>
      <c r="Q128" s="65"/>
      <c r="R128" s="65"/>
      <c r="S128" s="86"/>
      <c r="T128" s="86"/>
      <c r="U128" s="86"/>
      <c r="V128" s="86"/>
      <c r="W128" s="65"/>
      <c r="X128" s="49">
        <v>12.8</v>
      </c>
      <c r="Y128" s="972"/>
      <c r="Z128" s="969"/>
    </row>
    <row r="129" spans="1:26">
      <c r="A129" s="994"/>
      <c r="B129" s="546" t="s">
        <v>338</v>
      </c>
      <c r="C129" s="50">
        <v>176</v>
      </c>
      <c r="D129" s="335" t="s">
        <v>494</v>
      </c>
      <c r="E129" s="335" t="s">
        <v>495</v>
      </c>
      <c r="F129" s="50" t="s">
        <v>864</v>
      </c>
      <c r="G129" s="50">
        <v>414</v>
      </c>
      <c r="H129" s="23" t="e">
        <f>SUM(I129:L129)</f>
        <v>#REF!</v>
      </c>
      <c r="I129" s="23" t="e">
        <f>#REF!</f>
        <v>#REF!</v>
      </c>
      <c r="J129" s="23" t="e">
        <f>#REF!</f>
        <v>#REF!</v>
      </c>
      <c r="K129" s="23" t="e">
        <f>#REF!</f>
        <v>#REF!</v>
      </c>
      <c r="L129" s="23" t="e">
        <f>#REF!</f>
        <v>#REF!</v>
      </c>
      <c r="M129" s="65" t="e">
        <f>'Подробный перечень(БКАД)'!#REF!</f>
        <v>#REF!</v>
      </c>
      <c r="N129" s="65"/>
      <c r="O129" s="65"/>
      <c r="P129" s="65" t="e">
        <f>'Подробный перечень(БКАД)'!#REF!</f>
        <v>#REF!</v>
      </c>
      <c r="Q129" s="65"/>
      <c r="R129" s="86">
        <f t="shared" ref="R129:X129" si="10">R130+R131+R132</f>
        <v>5601.5</v>
      </c>
      <c r="S129" s="86">
        <f t="shared" si="10"/>
        <v>0</v>
      </c>
      <c r="T129" s="86">
        <f t="shared" si="10"/>
        <v>0</v>
      </c>
      <c r="U129" s="86">
        <f t="shared" si="10"/>
        <v>0</v>
      </c>
      <c r="V129" s="86">
        <f t="shared" si="10"/>
        <v>5601.5</v>
      </c>
      <c r="W129" s="86">
        <f t="shared" si="10"/>
        <v>303409.30000000005</v>
      </c>
      <c r="X129" s="86">
        <f t="shared" si="10"/>
        <v>100000</v>
      </c>
      <c r="Y129" s="972"/>
      <c r="Z129" s="969"/>
    </row>
    <row r="130" spans="1:26">
      <c r="A130" s="994"/>
      <c r="B130" s="630" t="s">
        <v>863</v>
      </c>
      <c r="C130" s="625">
        <v>176</v>
      </c>
      <c r="D130" s="335" t="s">
        <v>494</v>
      </c>
      <c r="E130" s="335" t="s">
        <v>495</v>
      </c>
      <c r="F130" s="625">
        <v>6100102770</v>
      </c>
      <c r="G130" s="625">
        <v>414</v>
      </c>
      <c r="H130" s="23"/>
      <c r="I130" s="23"/>
      <c r="J130" s="23"/>
      <c r="K130" s="23"/>
      <c r="L130" s="23"/>
      <c r="M130" s="65"/>
      <c r="N130" s="65"/>
      <c r="O130" s="65"/>
      <c r="P130" s="65"/>
      <c r="Q130" s="65"/>
      <c r="R130" s="86">
        <f>V130</f>
        <v>5601.5</v>
      </c>
      <c r="S130" s="291"/>
      <c r="T130" s="291"/>
      <c r="U130" s="291"/>
      <c r="V130" s="291">
        <f>'Подробный перечень (ОБ)'!$K$132</f>
        <v>5601.5</v>
      </c>
      <c r="W130" s="66">
        <f>'Подробный перечень (ОБ)'!$L$132-W131</f>
        <v>20250</v>
      </c>
      <c r="X130" s="65">
        <f>'Подробный перечень (ОБ)'!$M$141</f>
        <v>100000</v>
      </c>
      <c r="Y130" s="972"/>
      <c r="Z130" s="969"/>
    </row>
    <row r="131" spans="1:26">
      <c r="A131" s="994"/>
      <c r="B131" s="546" t="s">
        <v>764</v>
      </c>
      <c r="C131" s="364">
        <v>176</v>
      </c>
      <c r="D131" s="335" t="s">
        <v>494</v>
      </c>
      <c r="E131" s="335" t="s">
        <v>495</v>
      </c>
      <c r="F131" s="364" t="s">
        <v>940</v>
      </c>
      <c r="G131" s="364">
        <v>414</v>
      </c>
      <c r="H131" s="23"/>
      <c r="I131" s="23"/>
      <c r="J131" s="23"/>
      <c r="K131" s="23"/>
      <c r="L131" s="23"/>
      <c r="M131" s="65"/>
      <c r="N131" s="65"/>
      <c r="O131" s="65"/>
      <c r="P131" s="65"/>
      <c r="Q131" s="65"/>
      <c r="R131" s="86"/>
      <c r="S131" s="291"/>
      <c r="T131" s="291"/>
      <c r="U131" s="291"/>
      <c r="V131" s="291"/>
      <c r="W131" s="66">
        <f>'Подробный перечень (ОБ)'!$L$137</f>
        <v>177869.2</v>
      </c>
      <c r="X131" s="65">
        <v>0</v>
      </c>
      <c r="Y131" s="972"/>
      <c r="Z131" s="969"/>
    </row>
    <row r="132" spans="1:26" ht="18" customHeight="1">
      <c r="A132" s="993"/>
      <c r="B132" s="546" t="s">
        <v>765</v>
      </c>
      <c r="C132" s="364">
        <v>176</v>
      </c>
      <c r="D132" s="335" t="s">
        <v>494</v>
      </c>
      <c r="E132" s="335" t="s">
        <v>495</v>
      </c>
      <c r="F132" s="364" t="s">
        <v>940</v>
      </c>
      <c r="G132" s="364">
        <v>414</v>
      </c>
      <c r="H132" s="23"/>
      <c r="I132" s="23"/>
      <c r="J132" s="23"/>
      <c r="K132" s="23"/>
      <c r="L132" s="23"/>
      <c r="M132" s="65"/>
      <c r="N132" s="65"/>
      <c r="O132" s="65"/>
      <c r="P132" s="65"/>
      <c r="Q132" s="65"/>
      <c r="R132" s="86"/>
      <c r="S132" s="291"/>
      <c r="T132" s="291"/>
      <c r="U132" s="291"/>
      <c r="V132" s="291"/>
      <c r="W132" s="66">
        <f>'Подробный перечень (ОБ)'!$L$138</f>
        <v>105290.1</v>
      </c>
      <c r="X132" s="65">
        <f>'Подробный перечень (ОБ)'!$M$142</f>
        <v>0</v>
      </c>
      <c r="Y132" s="973"/>
      <c r="Z132" s="969"/>
    </row>
    <row r="133" spans="1:26" ht="18" customHeight="1">
      <c r="A133" s="662" t="s">
        <v>50</v>
      </c>
      <c r="B133" s="546" t="s">
        <v>337</v>
      </c>
      <c r="C133" s="50">
        <v>176</v>
      </c>
      <c r="D133" s="335" t="s">
        <v>494</v>
      </c>
      <c r="E133" s="335" t="s">
        <v>495</v>
      </c>
      <c r="F133" s="50">
        <v>6100102770</v>
      </c>
      <c r="G133" s="50">
        <v>414</v>
      </c>
      <c r="H133" s="23">
        <f t="shared" ref="H133:H142" si="11">SUM(I133:L133)</f>
        <v>0</v>
      </c>
      <c r="I133" s="23"/>
      <c r="J133" s="23"/>
      <c r="K133" s="23"/>
      <c r="L133" s="23"/>
      <c r="M133" s="65"/>
      <c r="N133" s="65"/>
      <c r="O133" s="65"/>
      <c r="P133" s="65"/>
      <c r="Q133" s="65"/>
      <c r="R133" s="86">
        <f>V133</f>
        <v>611.5</v>
      </c>
      <c r="S133" s="291"/>
      <c r="T133" s="291"/>
      <c r="U133" s="291"/>
      <c r="V133" s="291">
        <f>'Подробный перечень (ОБ)'!$K$145</f>
        <v>611.5</v>
      </c>
      <c r="W133" s="66"/>
      <c r="X133" s="65"/>
      <c r="Y133" s="51"/>
      <c r="Z133" s="969"/>
    </row>
    <row r="134" spans="1:26" ht="18" hidden="1" customHeight="1">
      <c r="A134" s="13" t="s">
        <v>51</v>
      </c>
      <c r="B134" s="546" t="s">
        <v>337</v>
      </c>
      <c r="C134" s="50">
        <v>176</v>
      </c>
      <c r="D134" s="335" t="s">
        <v>494</v>
      </c>
      <c r="E134" s="335" t="s">
        <v>495</v>
      </c>
      <c r="F134" s="50">
        <v>6100102770</v>
      </c>
      <c r="G134" s="50">
        <v>414</v>
      </c>
      <c r="H134" s="23" t="e">
        <f t="shared" si="11"/>
        <v>#REF!</v>
      </c>
      <c r="I134" s="23" t="e">
        <f>#REF!</f>
        <v>#REF!</v>
      </c>
      <c r="J134" s="23" t="e">
        <f>#REF!</f>
        <v>#REF!</v>
      </c>
      <c r="K134" s="23" t="e">
        <f>#REF!</f>
        <v>#REF!</v>
      </c>
      <c r="L134" s="23" t="e">
        <f>#REF!</f>
        <v>#REF!</v>
      </c>
      <c r="M134" s="65"/>
      <c r="N134" s="65"/>
      <c r="O134" s="65"/>
      <c r="P134" s="65"/>
      <c r="Q134" s="65"/>
      <c r="R134" s="65"/>
      <c r="S134" s="86"/>
      <c r="T134" s="86"/>
      <c r="U134" s="86"/>
      <c r="V134" s="86"/>
      <c r="W134" s="65"/>
      <c r="X134" s="65"/>
      <c r="Y134" s="23"/>
      <c r="Z134" s="969"/>
    </row>
    <row r="135" spans="1:26" ht="18" customHeight="1">
      <c r="A135" s="662" t="s">
        <v>52</v>
      </c>
      <c r="B135" s="546" t="s">
        <v>337</v>
      </c>
      <c r="C135" s="50">
        <v>176</v>
      </c>
      <c r="D135" s="335" t="s">
        <v>494</v>
      </c>
      <c r="E135" s="335" t="s">
        <v>495</v>
      </c>
      <c r="F135" s="50">
        <v>6100102770</v>
      </c>
      <c r="G135" s="50">
        <v>414</v>
      </c>
      <c r="H135" s="23" t="e">
        <f t="shared" si="11"/>
        <v>#REF!</v>
      </c>
      <c r="I135" s="23" t="e">
        <f>#REF!</f>
        <v>#REF!</v>
      </c>
      <c r="J135" s="23" t="e">
        <f>#REF!</f>
        <v>#REF!</v>
      </c>
      <c r="K135" s="23" t="e">
        <f>#REF!</f>
        <v>#REF!</v>
      </c>
      <c r="L135" s="23" t="e">
        <f>#REF!</f>
        <v>#REF!</v>
      </c>
      <c r="M135" s="65" t="e">
        <f>'Подробный перечень(БКАД)'!#REF!</f>
        <v>#REF!</v>
      </c>
      <c r="N135" s="65" t="e">
        <f>'Подробный перечень(БКАД)'!#REF!</f>
        <v>#REF!</v>
      </c>
      <c r="O135" s="65" t="e">
        <f>'Подробный перечень(БКАД)'!#REF!</f>
        <v>#REF!</v>
      </c>
      <c r="P135" s="65" t="e">
        <f>'Подробный перечень(БКАД)'!#REF!</f>
        <v>#REF!</v>
      </c>
      <c r="Q135" s="65" t="e">
        <f>'Подробный перечень(БКАД)'!#REF!</f>
        <v>#REF!</v>
      </c>
      <c r="R135" s="86">
        <f t="shared" ref="R135:R142" si="12">V135</f>
        <v>50562.3</v>
      </c>
      <c r="S135" s="86"/>
      <c r="T135" s="86"/>
      <c r="U135" s="86"/>
      <c r="V135" s="86">
        <f>'Подробный перечень (ОБ)'!$K$164</f>
        <v>50562.3</v>
      </c>
      <c r="W135" s="65">
        <f>'Подробный перечень (ОБ)'!$L$164</f>
        <v>91.6</v>
      </c>
      <c r="X135" s="65"/>
      <c r="Y135" s="51"/>
      <c r="Z135" s="969"/>
    </row>
    <row r="136" spans="1:26" ht="17.45" hidden="1" customHeight="1">
      <c r="A136" s="13" t="s">
        <v>53</v>
      </c>
      <c r="B136" s="546" t="s">
        <v>337</v>
      </c>
      <c r="C136" s="50">
        <v>176</v>
      </c>
      <c r="D136" s="335" t="s">
        <v>494</v>
      </c>
      <c r="E136" s="335" t="s">
        <v>495</v>
      </c>
      <c r="F136" s="50">
        <v>6100102770</v>
      </c>
      <c r="G136" s="50">
        <v>414</v>
      </c>
      <c r="H136" s="23">
        <f t="shared" si="11"/>
        <v>0</v>
      </c>
      <c r="I136" s="23"/>
      <c r="J136" s="23"/>
      <c r="K136" s="23"/>
      <c r="L136" s="23"/>
      <c r="M136" s="65"/>
      <c r="N136" s="65"/>
      <c r="O136" s="65"/>
      <c r="P136" s="65"/>
      <c r="Q136" s="65"/>
      <c r="R136" s="86">
        <f t="shared" si="12"/>
        <v>0</v>
      </c>
      <c r="S136" s="291"/>
      <c r="T136" s="291"/>
      <c r="U136" s="291"/>
      <c r="V136" s="291"/>
      <c r="W136" s="66"/>
      <c r="X136" s="65"/>
      <c r="Y136" s="51"/>
      <c r="Z136" s="969"/>
    </row>
    <row r="137" spans="1:26" ht="17.45" customHeight="1">
      <c r="A137" s="662" t="s">
        <v>54</v>
      </c>
      <c r="B137" s="546" t="s">
        <v>337</v>
      </c>
      <c r="C137" s="50">
        <v>176</v>
      </c>
      <c r="D137" s="335" t="s">
        <v>494</v>
      </c>
      <c r="E137" s="335" t="s">
        <v>495</v>
      </c>
      <c r="F137" s="50">
        <v>6100102770</v>
      </c>
      <c r="G137" s="50">
        <v>414</v>
      </c>
      <c r="H137" s="23" t="e">
        <f t="shared" si="11"/>
        <v>#REF!</v>
      </c>
      <c r="I137" s="23" t="e">
        <f>#REF!</f>
        <v>#REF!</v>
      </c>
      <c r="J137" s="23" t="e">
        <f>#REF!</f>
        <v>#REF!</v>
      </c>
      <c r="K137" s="23" t="e">
        <f>#REF!</f>
        <v>#REF!</v>
      </c>
      <c r="L137" s="23" t="e">
        <f>#REF!</f>
        <v>#REF!</v>
      </c>
      <c r="M137" s="65"/>
      <c r="N137" s="65"/>
      <c r="O137" s="65"/>
      <c r="P137" s="65"/>
      <c r="Q137" s="65"/>
      <c r="R137" s="86">
        <f t="shared" si="12"/>
        <v>8980.7000000000007</v>
      </c>
      <c r="S137" s="86"/>
      <c r="T137" s="86"/>
      <c r="U137" s="86"/>
      <c r="V137" s="86">
        <f>'Подробный перечень (ОБ)'!$K$180</f>
        <v>8980.7000000000007</v>
      </c>
      <c r="W137" s="65">
        <f>'Подробный перечень (ОБ)'!L$180</f>
        <v>506.6</v>
      </c>
      <c r="X137" s="65">
        <f>'Подробный перечень (ОБ)'!$M$180</f>
        <v>0</v>
      </c>
      <c r="Y137" s="51"/>
      <c r="Z137" s="969"/>
    </row>
    <row r="138" spans="1:26" ht="17.45" customHeight="1">
      <c r="A138" s="662" t="s">
        <v>55</v>
      </c>
      <c r="B138" s="546" t="s">
        <v>337</v>
      </c>
      <c r="C138" s="50">
        <v>176</v>
      </c>
      <c r="D138" s="335" t="s">
        <v>494</v>
      </c>
      <c r="E138" s="335" t="s">
        <v>495</v>
      </c>
      <c r="F138" s="50">
        <v>6100102770</v>
      </c>
      <c r="G138" s="50">
        <v>414</v>
      </c>
      <c r="H138" s="23" t="e">
        <f t="shared" si="11"/>
        <v>#REF!</v>
      </c>
      <c r="I138" s="23" t="e">
        <f>#REF!</f>
        <v>#REF!</v>
      </c>
      <c r="J138" s="23" t="e">
        <f>#REF!</f>
        <v>#REF!</v>
      </c>
      <c r="K138" s="23" t="e">
        <f>#REF!</f>
        <v>#REF!</v>
      </c>
      <c r="L138" s="23" t="e">
        <f>#REF!</f>
        <v>#REF!</v>
      </c>
      <c r="M138" s="65"/>
      <c r="N138" s="65"/>
      <c r="O138" s="65"/>
      <c r="P138" s="65"/>
      <c r="Q138" s="65"/>
      <c r="R138" s="86">
        <f t="shared" si="12"/>
        <v>100</v>
      </c>
      <c r="S138" s="86"/>
      <c r="T138" s="86"/>
      <c r="U138" s="86"/>
      <c r="V138" s="86">
        <f>'Подробный перечень (ОБ)'!$K$200</f>
        <v>100</v>
      </c>
      <c r="W138" s="65">
        <f>'Подробный перечень (ОБ)'!$L$200</f>
        <v>0</v>
      </c>
      <c r="X138" s="65">
        <f>'Подробный перечень (ОБ)'!$M$200</f>
        <v>10000</v>
      </c>
      <c r="Y138" s="51"/>
      <c r="Z138" s="969"/>
    </row>
    <row r="139" spans="1:26" ht="17.45" customHeight="1">
      <c r="A139" s="662" t="s">
        <v>56</v>
      </c>
      <c r="B139" s="546" t="s">
        <v>337</v>
      </c>
      <c r="C139" s="50">
        <v>176</v>
      </c>
      <c r="D139" s="335" t="s">
        <v>494</v>
      </c>
      <c r="E139" s="335" t="s">
        <v>495</v>
      </c>
      <c r="F139" s="50">
        <v>6100102770</v>
      </c>
      <c r="G139" s="50">
        <v>414</v>
      </c>
      <c r="H139" s="23" t="e">
        <f t="shared" si="11"/>
        <v>#REF!</v>
      </c>
      <c r="I139" s="23" t="e">
        <f>#REF!</f>
        <v>#REF!</v>
      </c>
      <c r="J139" s="23" t="e">
        <f>#REF!</f>
        <v>#REF!</v>
      </c>
      <c r="K139" s="23" t="e">
        <f>#REF!</f>
        <v>#REF!</v>
      </c>
      <c r="L139" s="23" t="e">
        <f>#REF!</f>
        <v>#REF!</v>
      </c>
      <c r="M139" s="65" t="e">
        <f>'Подробный перечень(БКАД)'!#REF!</f>
        <v>#REF!</v>
      </c>
      <c r="N139" s="65" t="e">
        <f>'Подробный перечень(БКАД)'!#REF!</f>
        <v>#REF!</v>
      </c>
      <c r="O139" s="65" t="e">
        <f>'Подробный перечень(БКАД)'!#REF!</f>
        <v>#REF!</v>
      </c>
      <c r="P139" s="65" t="e">
        <f>'Подробный перечень(БКАД)'!#REF!</f>
        <v>#REF!</v>
      </c>
      <c r="Q139" s="65" t="e">
        <f>'Подробный перечень(БКАД)'!#REF!</f>
        <v>#REF!</v>
      </c>
      <c r="R139" s="86">
        <f t="shared" si="12"/>
        <v>2819.5</v>
      </c>
      <c r="S139" s="86"/>
      <c r="T139" s="86"/>
      <c r="U139" s="86"/>
      <c r="V139" s="86">
        <f>'Подробный перечень (ОБ)'!$K$211</f>
        <v>2819.5</v>
      </c>
      <c r="W139" s="65">
        <f>'Подробный перечень (ОБ)'!$L$211</f>
        <v>2000</v>
      </c>
      <c r="X139" s="65">
        <f>'Подробный перечень (ОБ)'!$M$211</f>
        <v>0</v>
      </c>
      <c r="Y139" s="51"/>
      <c r="Z139" s="969"/>
    </row>
    <row r="140" spans="1:26" ht="17.45" hidden="1" customHeight="1">
      <c r="A140" s="13" t="s">
        <v>57</v>
      </c>
      <c r="B140" s="546" t="s">
        <v>337</v>
      </c>
      <c r="C140" s="50">
        <v>176</v>
      </c>
      <c r="D140" s="335" t="s">
        <v>494</v>
      </c>
      <c r="E140" s="335" t="s">
        <v>495</v>
      </c>
      <c r="F140" s="50">
        <v>6100102770</v>
      </c>
      <c r="G140" s="50">
        <v>414</v>
      </c>
      <c r="H140" s="23" t="e">
        <f t="shared" si="11"/>
        <v>#REF!</v>
      </c>
      <c r="I140" s="23" t="e">
        <f>#REF!</f>
        <v>#REF!</v>
      </c>
      <c r="J140" s="23" t="e">
        <f>#REF!</f>
        <v>#REF!</v>
      </c>
      <c r="K140" s="23" t="e">
        <f>#REF!</f>
        <v>#REF!</v>
      </c>
      <c r="L140" s="23" t="e">
        <f>#REF!</f>
        <v>#REF!</v>
      </c>
      <c r="M140" s="65"/>
      <c r="N140" s="65"/>
      <c r="O140" s="65"/>
      <c r="P140" s="65"/>
      <c r="Q140" s="65"/>
      <c r="R140" s="86">
        <f t="shared" si="12"/>
        <v>0</v>
      </c>
      <c r="S140" s="86"/>
      <c r="T140" s="86"/>
      <c r="U140" s="86"/>
      <c r="V140" s="86"/>
      <c r="W140" s="65"/>
      <c r="X140" s="65"/>
      <c r="Y140" s="51"/>
      <c r="Z140" s="969"/>
    </row>
    <row r="141" spans="1:26" ht="17.45" customHeight="1">
      <c r="A141" s="662" t="s">
        <v>58</v>
      </c>
      <c r="B141" s="546" t="s">
        <v>337</v>
      </c>
      <c r="C141" s="50">
        <v>176</v>
      </c>
      <c r="D141" s="335" t="s">
        <v>494</v>
      </c>
      <c r="E141" s="335" t="s">
        <v>495</v>
      </c>
      <c r="F141" s="50">
        <v>6100102770</v>
      </c>
      <c r="G141" s="50">
        <v>414</v>
      </c>
      <c r="H141" s="23" t="e">
        <f t="shared" si="11"/>
        <v>#REF!</v>
      </c>
      <c r="I141" s="23" t="e">
        <f>#REF!</f>
        <v>#REF!</v>
      </c>
      <c r="J141" s="23" t="e">
        <f>#REF!</f>
        <v>#REF!</v>
      </c>
      <c r="K141" s="23" t="e">
        <f>#REF!</f>
        <v>#REF!</v>
      </c>
      <c r="L141" s="23" t="e">
        <f>#REF!</f>
        <v>#REF!</v>
      </c>
      <c r="M141" s="65"/>
      <c r="N141" s="65"/>
      <c r="O141" s="65"/>
      <c r="P141" s="65"/>
      <c r="Q141" s="65"/>
      <c r="R141" s="86">
        <f t="shared" si="12"/>
        <v>17411</v>
      </c>
      <c r="S141" s="86"/>
      <c r="T141" s="86"/>
      <c r="U141" s="86"/>
      <c r="V141" s="86">
        <f>'Подробный перечень (ОБ)'!$K$244</f>
        <v>17411</v>
      </c>
      <c r="W141" s="65">
        <f>'Подробный перечень (ОБ)'!$L$244</f>
        <v>10000</v>
      </c>
      <c r="X141" s="65"/>
      <c r="Y141" s="51"/>
      <c r="Z141" s="969"/>
    </row>
    <row r="142" spans="1:26" ht="17.45" customHeight="1">
      <c r="A142" s="662" t="s">
        <v>59</v>
      </c>
      <c r="B142" s="546" t="s">
        <v>337</v>
      </c>
      <c r="C142" s="50">
        <v>176</v>
      </c>
      <c r="D142" s="335" t="s">
        <v>494</v>
      </c>
      <c r="E142" s="335" t="s">
        <v>495</v>
      </c>
      <c r="F142" s="50">
        <v>6100102770</v>
      </c>
      <c r="G142" s="50">
        <v>414</v>
      </c>
      <c r="H142" s="23" t="e">
        <f t="shared" si="11"/>
        <v>#REF!</v>
      </c>
      <c r="I142" s="9" t="e">
        <f>#REF!</f>
        <v>#REF!</v>
      </c>
      <c r="J142" s="9" t="e">
        <f>#REF!</f>
        <v>#REF!</v>
      </c>
      <c r="K142" s="9" t="e">
        <f>#REF!</f>
        <v>#REF!</v>
      </c>
      <c r="L142" s="9" t="e">
        <f>#REF!</f>
        <v>#REF!</v>
      </c>
      <c r="M142" s="67"/>
      <c r="N142" s="67"/>
      <c r="O142" s="67"/>
      <c r="P142" s="67"/>
      <c r="Q142" s="67"/>
      <c r="R142" s="86">
        <f t="shared" si="12"/>
        <v>450</v>
      </c>
      <c r="S142" s="81"/>
      <c r="T142" s="81"/>
      <c r="U142" s="81"/>
      <c r="V142" s="81">
        <f>'Подробный перечень (ОБ)'!$K$256</f>
        <v>450</v>
      </c>
      <c r="W142" s="67">
        <f>'Подробный перечень (ОБ)'!$L$256</f>
        <v>100941</v>
      </c>
      <c r="X142" s="65">
        <f>'Подробный перечень (ОБ)'!$M$256</f>
        <v>600000</v>
      </c>
      <c r="Y142" s="50"/>
      <c r="Z142" s="969"/>
    </row>
    <row r="143" spans="1:26" ht="17.45" customHeight="1">
      <c r="A143" s="14" t="s">
        <v>60</v>
      </c>
      <c r="B143" s="546" t="s">
        <v>337</v>
      </c>
      <c r="C143" s="304">
        <v>176</v>
      </c>
      <c r="D143" s="335" t="s">
        <v>494</v>
      </c>
      <c r="E143" s="335" t="s">
        <v>495</v>
      </c>
      <c r="F143" s="304">
        <v>6100102770</v>
      </c>
      <c r="G143" s="304">
        <v>414</v>
      </c>
      <c r="H143" s="23"/>
      <c r="I143" s="9"/>
      <c r="J143" s="9"/>
      <c r="K143" s="9"/>
      <c r="L143" s="9"/>
      <c r="M143" s="67"/>
      <c r="N143" s="67"/>
      <c r="O143" s="67"/>
      <c r="P143" s="67"/>
      <c r="Q143" s="67"/>
      <c r="R143" s="81">
        <f>'Подробный перечень (ОБ)'!G264</f>
        <v>344776.8</v>
      </c>
      <c r="S143" s="81"/>
      <c r="T143" s="81"/>
      <c r="U143" s="81"/>
      <c r="V143" s="81">
        <f>'Подробный перечень (ОБ)'!$K$264</f>
        <v>344776.8</v>
      </c>
      <c r="W143" s="67">
        <f>'Подробный перечень (ОБ)'!$L$264</f>
        <v>180313.2</v>
      </c>
      <c r="X143" s="65">
        <f>'Подробный перечень (ОБ)'!$M$264</f>
        <v>180000</v>
      </c>
      <c r="Y143" s="304"/>
      <c r="Z143" s="969"/>
    </row>
    <row r="144" spans="1:26" ht="17.45" customHeight="1">
      <c r="A144" s="662" t="s">
        <v>61</v>
      </c>
      <c r="B144" s="546" t="s">
        <v>337</v>
      </c>
      <c r="C144" s="50">
        <v>176</v>
      </c>
      <c r="D144" s="335" t="s">
        <v>494</v>
      </c>
      <c r="E144" s="335" t="s">
        <v>495</v>
      </c>
      <c r="F144" s="50">
        <v>6100102770</v>
      </c>
      <c r="G144" s="50">
        <v>414</v>
      </c>
      <c r="H144" s="23" t="e">
        <f t="shared" ref="H144:H149" si="13">SUM(I144:L144)</f>
        <v>#REF!</v>
      </c>
      <c r="I144" s="9" t="e">
        <f>#REF!</f>
        <v>#REF!</v>
      </c>
      <c r="J144" s="9" t="e">
        <f>#REF!</f>
        <v>#REF!</v>
      </c>
      <c r="K144" s="9" t="e">
        <f>#REF!</f>
        <v>#REF!</v>
      </c>
      <c r="L144" s="9" t="e">
        <f>#REF!</f>
        <v>#REF!</v>
      </c>
      <c r="M144" s="67" t="e">
        <f>'Подробный перечень(БКАД)'!#REF!</f>
        <v>#REF!</v>
      </c>
      <c r="N144" s="67"/>
      <c r="O144" s="67"/>
      <c r="P144" s="67"/>
      <c r="Q144" s="67" t="e">
        <f>'Подробный перечень(БКАД)'!#REF!</f>
        <v>#REF!</v>
      </c>
      <c r="R144" s="81">
        <f t="shared" ref="R144:R152" si="14">V144</f>
        <v>200</v>
      </c>
      <c r="S144" s="81"/>
      <c r="T144" s="81"/>
      <c r="U144" s="81"/>
      <c r="V144" s="81">
        <f>'Подробный перечень (ОБ)'!$K$332</f>
        <v>200</v>
      </c>
      <c r="W144" s="67">
        <f>'Подробный перечень (ОБ)'!$L$332</f>
        <v>2000</v>
      </c>
      <c r="X144" s="65">
        <f>'Подробный перечень (ОБ)'!$M$332</f>
        <v>0</v>
      </c>
      <c r="Y144" s="50"/>
      <c r="Z144" s="969"/>
    </row>
    <row r="145" spans="1:26" ht="17.45" customHeight="1">
      <c r="A145" s="662" t="s">
        <v>62</v>
      </c>
      <c r="B145" s="546" t="s">
        <v>337</v>
      </c>
      <c r="C145" s="50">
        <v>176</v>
      </c>
      <c r="D145" s="335" t="s">
        <v>494</v>
      </c>
      <c r="E145" s="335" t="s">
        <v>495</v>
      </c>
      <c r="F145" s="50">
        <v>6100102770</v>
      </c>
      <c r="G145" s="50">
        <v>414</v>
      </c>
      <c r="H145" s="23" t="e">
        <f t="shared" si="13"/>
        <v>#REF!</v>
      </c>
      <c r="I145" s="9" t="e">
        <f>#REF!</f>
        <v>#REF!</v>
      </c>
      <c r="J145" s="9" t="e">
        <f>#REF!</f>
        <v>#REF!</v>
      </c>
      <c r="K145" s="9" t="e">
        <f>#REF!</f>
        <v>#REF!</v>
      </c>
      <c r="L145" s="9" t="e">
        <f>#REF!</f>
        <v>#REF!</v>
      </c>
      <c r="M145" s="67"/>
      <c r="N145" s="67"/>
      <c r="O145" s="67"/>
      <c r="P145" s="67"/>
      <c r="Q145" s="67"/>
      <c r="R145" s="81">
        <f t="shared" si="14"/>
        <v>50</v>
      </c>
      <c r="S145" s="81"/>
      <c r="T145" s="81"/>
      <c r="U145" s="81"/>
      <c r="V145" s="81">
        <f>'Подробный перечень (ОБ)'!$K$352</f>
        <v>50</v>
      </c>
      <c r="W145" s="67">
        <f>'Подробный перечень (ОБ)'!$L$352</f>
        <v>3000</v>
      </c>
      <c r="X145" s="65">
        <f>'Подробный перечень (ОБ)'!$M$352</f>
        <v>0</v>
      </c>
      <c r="Y145" s="50"/>
      <c r="Z145" s="969"/>
    </row>
    <row r="146" spans="1:26" ht="17.45" customHeight="1">
      <c r="A146" s="662" t="s">
        <v>63</v>
      </c>
      <c r="B146" s="546" t="s">
        <v>337</v>
      </c>
      <c r="C146" s="50">
        <v>176</v>
      </c>
      <c r="D146" s="335" t="s">
        <v>494</v>
      </c>
      <c r="E146" s="335" t="s">
        <v>495</v>
      </c>
      <c r="F146" s="50">
        <v>6100102770</v>
      </c>
      <c r="G146" s="50">
        <v>414</v>
      </c>
      <c r="H146" s="23" t="e">
        <f t="shared" si="13"/>
        <v>#REF!</v>
      </c>
      <c r="I146" s="9" t="e">
        <f>#REF!</f>
        <v>#REF!</v>
      </c>
      <c r="J146" s="9" t="e">
        <f>#REF!</f>
        <v>#REF!</v>
      </c>
      <c r="K146" s="9" t="e">
        <f>#REF!</f>
        <v>#REF!</v>
      </c>
      <c r="L146" s="9" t="e">
        <f>#REF!</f>
        <v>#REF!</v>
      </c>
      <c r="M146" s="67" t="e">
        <f>'Подробный перечень(БКАД)'!#REF!</f>
        <v>#REF!</v>
      </c>
      <c r="N146" s="67"/>
      <c r="O146" s="67"/>
      <c r="P146" s="67" t="e">
        <f>'Подробный перечень(БКАД)'!#REF!</f>
        <v>#REF!</v>
      </c>
      <c r="Q146" s="67" t="e">
        <f>'Подробный перечень(БКАД)'!#REF!</f>
        <v>#REF!</v>
      </c>
      <c r="R146" s="81">
        <f t="shared" si="14"/>
        <v>400</v>
      </c>
      <c r="S146" s="81"/>
      <c r="T146" s="81"/>
      <c r="U146" s="81"/>
      <c r="V146" s="81">
        <f>'Подробный перечень (ОБ)'!$K$364</f>
        <v>400</v>
      </c>
      <c r="W146" s="67">
        <f>'Подробный перечень (ОБ)'!$L$364</f>
        <v>0</v>
      </c>
      <c r="X146" s="65"/>
      <c r="Y146" s="50"/>
      <c r="Z146" s="969"/>
    </row>
    <row r="147" spans="1:26" ht="17.45" customHeight="1">
      <c r="A147" s="662" t="s">
        <v>64</v>
      </c>
      <c r="B147" s="546" t="s">
        <v>337</v>
      </c>
      <c r="C147" s="50">
        <v>176</v>
      </c>
      <c r="D147" s="335" t="s">
        <v>494</v>
      </c>
      <c r="E147" s="335" t="s">
        <v>495</v>
      </c>
      <c r="F147" s="50">
        <v>6100102770</v>
      </c>
      <c r="G147" s="50">
        <v>414</v>
      </c>
      <c r="H147" s="23" t="e">
        <f t="shared" si="13"/>
        <v>#REF!</v>
      </c>
      <c r="I147" s="9" t="e">
        <f>#REF!</f>
        <v>#REF!</v>
      </c>
      <c r="J147" s="9" t="e">
        <f>#REF!</f>
        <v>#REF!</v>
      </c>
      <c r="K147" s="9" t="e">
        <f>#REF!</f>
        <v>#REF!</v>
      </c>
      <c r="L147" s="9" t="e">
        <f>#REF!</f>
        <v>#REF!</v>
      </c>
      <c r="M147" s="67" t="e">
        <f>'Подробный перечень(БКАД)'!#REF!</f>
        <v>#REF!</v>
      </c>
      <c r="N147" s="67"/>
      <c r="O147" s="67"/>
      <c r="P147" s="67" t="e">
        <f>'Подробный перечень(БКАД)'!#REF!</f>
        <v>#REF!</v>
      </c>
      <c r="Q147" s="67" t="e">
        <f>'Подробный перечень(БКАД)'!#REF!</f>
        <v>#REF!</v>
      </c>
      <c r="R147" s="81">
        <f t="shared" si="14"/>
        <v>120557.2</v>
      </c>
      <c r="S147" s="81"/>
      <c r="T147" s="81"/>
      <c r="U147" s="81"/>
      <c r="V147" s="81">
        <f>'Подробный перечень (ОБ)'!$K$380</f>
        <v>120557.2</v>
      </c>
      <c r="W147" s="67">
        <f>'Подробный перечень (ОБ)'!$L$380</f>
        <v>0</v>
      </c>
      <c r="X147" s="65"/>
      <c r="Y147" s="50"/>
      <c r="Z147" s="969"/>
    </row>
    <row r="148" spans="1:26" ht="21" customHeight="1">
      <c r="A148" s="662" t="s">
        <v>65</v>
      </c>
      <c r="B148" s="546" t="s">
        <v>337</v>
      </c>
      <c r="C148" s="50">
        <v>176</v>
      </c>
      <c r="D148" s="335" t="s">
        <v>494</v>
      </c>
      <c r="E148" s="335" t="s">
        <v>495</v>
      </c>
      <c r="F148" s="50">
        <v>6100102770</v>
      </c>
      <c r="G148" s="50">
        <v>414</v>
      </c>
      <c r="H148" s="23">
        <f t="shared" si="13"/>
        <v>0</v>
      </c>
      <c r="I148" s="9">
        <v>0</v>
      </c>
      <c r="J148" s="9">
        <v>0</v>
      </c>
      <c r="K148" s="9">
        <v>0</v>
      </c>
      <c r="L148" s="9">
        <v>0</v>
      </c>
      <c r="M148" s="67"/>
      <c r="N148" s="67"/>
      <c r="O148" s="67"/>
      <c r="P148" s="67"/>
      <c r="Q148" s="67"/>
      <c r="R148" s="81">
        <f t="shared" si="14"/>
        <v>7929.4</v>
      </c>
      <c r="S148" s="81"/>
      <c r="T148" s="81"/>
      <c r="U148" s="81"/>
      <c r="V148" s="81">
        <f>'Подробный перечень (ОБ)'!$K$392</f>
        <v>7929.4</v>
      </c>
      <c r="W148" s="67">
        <f>'Подробный перечень (ОБ)'!$L$392</f>
        <v>5000</v>
      </c>
      <c r="X148" s="65">
        <f>'Подробный перечень (ОБ)'!$M$392</f>
        <v>0</v>
      </c>
      <c r="Y148" s="50"/>
      <c r="Z148" s="969"/>
    </row>
    <row r="149" spans="1:26" ht="21.75" customHeight="1">
      <c r="A149" s="662" t="s">
        <v>66</v>
      </c>
      <c r="B149" s="546" t="s">
        <v>337</v>
      </c>
      <c r="C149" s="50">
        <v>176</v>
      </c>
      <c r="D149" s="335" t="s">
        <v>494</v>
      </c>
      <c r="E149" s="335" t="s">
        <v>495</v>
      </c>
      <c r="F149" s="50">
        <v>6100102770</v>
      </c>
      <c r="G149" s="50">
        <v>414</v>
      </c>
      <c r="H149" s="23" t="e">
        <f t="shared" si="13"/>
        <v>#REF!</v>
      </c>
      <c r="I149" s="9" t="e">
        <f>#REF!</f>
        <v>#REF!</v>
      </c>
      <c r="J149" s="9" t="e">
        <f>#REF!</f>
        <v>#REF!</v>
      </c>
      <c r="K149" s="9" t="e">
        <f>#REF!</f>
        <v>#REF!</v>
      </c>
      <c r="L149" s="9" t="e">
        <f>#REF!</f>
        <v>#REF!</v>
      </c>
      <c r="M149" s="67"/>
      <c r="N149" s="67"/>
      <c r="O149" s="67"/>
      <c r="P149" s="67"/>
      <c r="Q149" s="67"/>
      <c r="R149" s="81">
        <f t="shared" si="14"/>
        <v>1322.9</v>
      </c>
      <c r="S149" s="81"/>
      <c r="T149" s="81"/>
      <c r="U149" s="81"/>
      <c r="V149" s="81">
        <f>'Подробный перечень (ОБ)'!$K$407</f>
        <v>1322.9</v>
      </c>
      <c r="W149" s="67">
        <f>'Подробный перечень (ОБ)'!$L$408</f>
        <v>559</v>
      </c>
      <c r="X149" s="65">
        <f>'Подробный перечень (ОБ)'!$M$408</f>
        <v>50000</v>
      </c>
      <c r="Y149" s="50"/>
      <c r="Z149" s="969"/>
    </row>
    <row r="150" spans="1:26" ht="17.45" customHeight="1">
      <c r="A150" s="1004" t="s">
        <v>67</v>
      </c>
      <c r="B150" s="546" t="s">
        <v>337</v>
      </c>
      <c r="C150" s="304">
        <v>176</v>
      </c>
      <c r="D150" s="335" t="s">
        <v>494</v>
      </c>
      <c r="E150" s="335" t="s">
        <v>495</v>
      </c>
      <c r="F150" s="304">
        <v>6100102770</v>
      </c>
      <c r="G150" s="304">
        <v>414</v>
      </c>
      <c r="H150" s="23"/>
      <c r="I150" s="9"/>
      <c r="J150" s="9"/>
      <c r="K150" s="9"/>
      <c r="L150" s="9"/>
      <c r="M150" s="67"/>
      <c r="N150" s="67"/>
      <c r="O150" s="67"/>
      <c r="P150" s="67"/>
      <c r="Q150" s="67"/>
      <c r="R150" s="81">
        <f t="shared" si="14"/>
        <v>0</v>
      </c>
      <c r="S150" s="81"/>
      <c r="T150" s="81"/>
      <c r="U150" s="81"/>
      <c r="V150" s="81">
        <f>'Подробный перечень (ОБ)'!$K$416</f>
        <v>0</v>
      </c>
      <c r="W150" s="67">
        <f>'Подробный перечень (ОБ)'!$L$416</f>
        <v>2950.9</v>
      </c>
      <c r="X150" s="65">
        <f>'Подробный перечень (ОБ)'!M424</f>
        <v>0</v>
      </c>
      <c r="Y150" s="304"/>
      <c r="Z150" s="969"/>
    </row>
    <row r="151" spans="1:26" ht="15.75" hidden="1" customHeight="1">
      <c r="A151" s="1005"/>
      <c r="B151" s="546" t="s">
        <v>453</v>
      </c>
      <c r="C151" s="304">
        <v>176</v>
      </c>
      <c r="D151" s="335" t="s">
        <v>494</v>
      </c>
      <c r="E151" s="335" t="s">
        <v>495</v>
      </c>
      <c r="F151" s="304" t="s">
        <v>459</v>
      </c>
      <c r="G151" s="304">
        <v>414</v>
      </c>
      <c r="H151" s="23"/>
      <c r="I151" s="9"/>
      <c r="J151" s="9"/>
      <c r="K151" s="9"/>
      <c r="L151" s="9"/>
      <c r="M151" s="67"/>
      <c r="N151" s="67"/>
      <c r="O151" s="67"/>
      <c r="P151" s="67"/>
      <c r="Q151" s="67"/>
      <c r="R151" s="81">
        <f t="shared" si="14"/>
        <v>0</v>
      </c>
      <c r="S151" s="81"/>
      <c r="T151" s="81"/>
      <c r="U151" s="81"/>
      <c r="V151" s="81"/>
      <c r="W151" s="67"/>
      <c r="X151" s="65"/>
      <c r="Y151" s="304"/>
      <c r="Z151" s="969"/>
    </row>
    <row r="152" spans="1:26" ht="17.45" customHeight="1">
      <c r="A152" s="662" t="s">
        <v>68</v>
      </c>
      <c r="B152" s="546" t="s">
        <v>337</v>
      </c>
      <c r="C152" s="50">
        <v>176</v>
      </c>
      <c r="D152" s="335" t="s">
        <v>494</v>
      </c>
      <c r="E152" s="335" t="s">
        <v>495</v>
      </c>
      <c r="F152" s="50">
        <v>6100102770</v>
      </c>
      <c r="G152" s="50">
        <v>414</v>
      </c>
      <c r="H152" s="23" t="e">
        <f>SUM(I152:L152)</f>
        <v>#REF!</v>
      </c>
      <c r="I152" s="9" t="e">
        <f>#REF!</f>
        <v>#REF!</v>
      </c>
      <c r="J152" s="9" t="e">
        <f>#REF!</f>
        <v>#REF!</v>
      </c>
      <c r="K152" s="9" t="e">
        <f>#REF!</f>
        <v>#REF!</v>
      </c>
      <c r="L152" s="9" t="e">
        <f>#REF!</f>
        <v>#REF!</v>
      </c>
      <c r="M152" s="67"/>
      <c r="N152" s="67"/>
      <c r="O152" s="67"/>
      <c r="P152" s="67"/>
      <c r="Q152" s="67"/>
      <c r="R152" s="81">
        <f t="shared" si="14"/>
        <v>100</v>
      </c>
      <c r="S152" s="81"/>
      <c r="T152" s="81"/>
      <c r="U152" s="81"/>
      <c r="V152" s="81">
        <f>'Подробный перечень (ОБ)'!$K$428</f>
        <v>100</v>
      </c>
      <c r="W152" s="67">
        <f>'Подробный перечень (ОБ)'!$L$428</f>
        <v>0</v>
      </c>
      <c r="X152" s="65"/>
      <c r="Y152" s="50"/>
      <c r="Z152" s="969"/>
    </row>
    <row r="153" spans="1:26" ht="17.45" hidden="1" customHeight="1">
      <c r="A153" s="13" t="s">
        <v>69</v>
      </c>
      <c r="B153" s="546" t="s">
        <v>337</v>
      </c>
      <c r="C153" s="50">
        <v>176</v>
      </c>
      <c r="D153" s="335" t="s">
        <v>494</v>
      </c>
      <c r="E153" s="335" t="s">
        <v>495</v>
      </c>
      <c r="F153" s="50">
        <v>6100004040</v>
      </c>
      <c r="G153" s="50">
        <v>414</v>
      </c>
      <c r="H153" s="23">
        <f>SUM(I153:L153)</f>
        <v>0</v>
      </c>
      <c r="I153" s="9">
        <v>0</v>
      </c>
      <c r="J153" s="9">
        <v>0</v>
      </c>
      <c r="K153" s="9">
        <v>0</v>
      </c>
      <c r="L153" s="9">
        <v>0</v>
      </c>
      <c r="M153" s="67"/>
      <c r="N153" s="67"/>
      <c r="O153" s="67"/>
      <c r="P153" s="67"/>
      <c r="Q153" s="67"/>
      <c r="R153" s="81"/>
      <c r="S153" s="81"/>
      <c r="T153" s="81"/>
      <c r="U153" s="81"/>
      <c r="V153" s="81"/>
      <c r="W153" s="67"/>
      <c r="X153" s="65"/>
      <c r="Y153" s="50"/>
      <c r="Z153" s="969"/>
    </row>
    <row r="154" spans="1:26" ht="17.45" customHeight="1">
      <c r="A154" s="662" t="s">
        <v>70</v>
      </c>
      <c r="B154" s="546" t="s">
        <v>337</v>
      </c>
      <c r="C154" s="50">
        <v>176</v>
      </c>
      <c r="D154" s="335" t="s">
        <v>494</v>
      </c>
      <c r="E154" s="335" t="s">
        <v>495</v>
      </c>
      <c r="F154" s="50">
        <v>6100102770</v>
      </c>
      <c r="G154" s="50">
        <v>414</v>
      </c>
      <c r="H154" s="23" t="e">
        <f>SUM(I154:L154)</f>
        <v>#REF!</v>
      </c>
      <c r="I154" s="9" t="e">
        <f>#REF!</f>
        <v>#REF!</v>
      </c>
      <c r="J154" s="9" t="e">
        <f>#REF!</f>
        <v>#REF!</v>
      </c>
      <c r="K154" s="9" t="e">
        <f>#REF!</f>
        <v>#REF!</v>
      </c>
      <c r="L154" s="9" t="e">
        <f>#REF!</f>
        <v>#REF!</v>
      </c>
      <c r="M154" s="67" t="e">
        <f>'Подробный перечень(БКАД)'!#REF!</f>
        <v>#REF!</v>
      </c>
      <c r="N154" s="67"/>
      <c r="O154" s="67"/>
      <c r="P154" s="67" t="e">
        <f>'Подробный перечень(БКАД)'!#REF!</f>
        <v>#REF!</v>
      </c>
      <c r="Q154" s="67" t="e">
        <f>'Подробный перечень(БКАД)'!#REF!</f>
        <v>#REF!</v>
      </c>
      <c r="R154" s="81">
        <f>'Подробный перечень (ОБ)'!$G$440</f>
        <v>3612.4</v>
      </c>
      <c r="S154" s="81"/>
      <c r="T154" s="81"/>
      <c r="U154" s="81"/>
      <c r="V154" s="81">
        <f>'Подробный перечень (ОБ)'!$K$440</f>
        <v>3612.4</v>
      </c>
      <c r="W154" s="67">
        <f>'Подробный перечень (ОБ)'!$L$440</f>
        <v>0</v>
      </c>
      <c r="X154" s="65"/>
      <c r="Y154" s="50"/>
      <c r="Z154" s="969"/>
    </row>
    <row r="155" spans="1:26" ht="26.25" hidden="1" customHeight="1">
      <c r="A155" s="13" t="s">
        <v>71</v>
      </c>
      <c r="B155" s="546" t="s">
        <v>337</v>
      </c>
      <c r="C155" s="50">
        <v>176</v>
      </c>
      <c r="D155" s="335" t="s">
        <v>494</v>
      </c>
      <c r="E155" s="335" t="s">
        <v>495</v>
      </c>
      <c r="F155" s="50">
        <v>6100004040</v>
      </c>
      <c r="G155" s="50">
        <v>414</v>
      </c>
      <c r="H155" s="23" t="e">
        <f>SUM(I155:L155)</f>
        <v>#REF!</v>
      </c>
      <c r="I155" s="9" t="e">
        <f>#REF!</f>
        <v>#REF!</v>
      </c>
      <c r="J155" s="9" t="e">
        <f>#REF!</f>
        <v>#REF!</v>
      </c>
      <c r="K155" s="9" t="e">
        <f>#REF!</f>
        <v>#REF!</v>
      </c>
      <c r="L155" s="9" t="e">
        <f>#REF!</f>
        <v>#REF!</v>
      </c>
      <c r="M155" s="67" t="e">
        <f>'Подробный перечень(БКАД)'!#REF!</f>
        <v>#REF!</v>
      </c>
      <c r="N155" s="67"/>
      <c r="O155" s="67"/>
      <c r="P155" s="67"/>
      <c r="Q155" s="67" t="e">
        <f>'Подробный перечень(БКАД)'!#REF!</f>
        <v>#REF!</v>
      </c>
      <c r="R155" s="81"/>
      <c r="S155" s="81"/>
      <c r="T155" s="81"/>
      <c r="U155" s="81"/>
      <c r="V155" s="81"/>
      <c r="W155" s="67"/>
      <c r="X155" s="65"/>
      <c r="Y155" s="50"/>
      <c r="Z155" s="969"/>
    </row>
    <row r="156" spans="1:26" ht="26.25" hidden="1" customHeight="1">
      <c r="A156" s="628" t="s">
        <v>32</v>
      </c>
      <c r="B156" s="546" t="s">
        <v>337</v>
      </c>
      <c r="C156" s="50">
        <v>176</v>
      </c>
      <c r="D156" s="335" t="s">
        <v>494</v>
      </c>
      <c r="E156" s="335" t="s">
        <v>495</v>
      </c>
      <c r="F156" s="50">
        <v>6100102770</v>
      </c>
      <c r="G156" s="50">
        <v>414</v>
      </c>
      <c r="H156" s="23" t="e">
        <f>SUM(I156:L156)</f>
        <v>#REF!</v>
      </c>
      <c r="I156" s="9" t="e">
        <f>#REF!</f>
        <v>#REF!</v>
      </c>
      <c r="J156" s="9" t="e">
        <f>#REF!</f>
        <v>#REF!</v>
      </c>
      <c r="K156" s="9" t="e">
        <f>#REF!</f>
        <v>#REF!</v>
      </c>
      <c r="L156" s="9" t="e">
        <f>#REF!</f>
        <v>#REF!</v>
      </c>
      <c r="M156" s="67" t="e">
        <f>'Подробный перечень(БКАД)'!#REF!</f>
        <v>#REF!</v>
      </c>
      <c r="N156" s="67" t="e">
        <f>'Подробный перечень(БКАД)'!#REF!</f>
        <v>#REF!</v>
      </c>
      <c r="O156" s="67" t="e">
        <f>'Подробный перечень(БКАД)'!#REF!</f>
        <v>#REF!</v>
      </c>
      <c r="P156" s="67" t="e">
        <f>'Подробный перечень(БКАД)'!#REF!</f>
        <v>#REF!</v>
      </c>
      <c r="Q156" s="67" t="e">
        <f>'Подробный перечень(БКАД)'!#REF!</f>
        <v>#REF!</v>
      </c>
      <c r="R156" s="81">
        <f>'Подробный перечень (ОБ)'!$G$468</f>
        <v>0</v>
      </c>
      <c r="S156" s="81"/>
      <c r="T156" s="81"/>
      <c r="U156" s="81"/>
      <c r="V156" s="81">
        <f>'Подробный перечень (ОБ)'!$K$467</f>
        <v>0</v>
      </c>
      <c r="W156" s="67"/>
      <c r="X156" s="65"/>
      <c r="Y156" s="50"/>
      <c r="Z156" s="970"/>
    </row>
    <row r="157" spans="1:26" ht="30" customHeight="1">
      <c r="A157" s="982" t="s">
        <v>782</v>
      </c>
      <c r="B157" s="547" t="s">
        <v>556</v>
      </c>
      <c r="C157" s="11"/>
      <c r="D157" s="127"/>
      <c r="E157" s="127"/>
      <c r="F157" s="11"/>
      <c r="G157" s="11"/>
      <c r="H157" s="12"/>
      <c r="I157" s="6"/>
      <c r="J157" s="6"/>
      <c r="K157" s="6"/>
      <c r="L157" s="6"/>
      <c r="M157" s="361"/>
      <c r="N157" s="361"/>
      <c r="O157" s="361"/>
      <c r="P157" s="361"/>
      <c r="Q157" s="361"/>
      <c r="R157" s="362">
        <f>R165</f>
        <v>13.99</v>
      </c>
      <c r="S157" s="362"/>
      <c r="T157" s="362"/>
      <c r="U157" s="362"/>
      <c r="V157" s="362">
        <f>V165</f>
        <v>13.99</v>
      </c>
      <c r="W157" s="362">
        <f>W165</f>
        <v>44.13</v>
      </c>
      <c r="X157" s="362">
        <f>X165</f>
        <v>71.61</v>
      </c>
      <c r="Y157" s="968" t="s">
        <v>471</v>
      </c>
      <c r="Z157" s="968" t="s">
        <v>1051</v>
      </c>
    </row>
    <row r="158" spans="1:26" ht="40.5" customHeight="1">
      <c r="A158" s="983"/>
      <c r="B158" s="547" t="s">
        <v>24</v>
      </c>
      <c r="C158" s="11"/>
      <c r="D158" s="127"/>
      <c r="E158" s="127"/>
      <c r="F158" s="11"/>
      <c r="G158" s="11"/>
      <c r="H158" s="12"/>
      <c r="I158" s="6"/>
      <c r="J158" s="6"/>
      <c r="K158" s="6"/>
      <c r="L158" s="6"/>
      <c r="M158" s="68"/>
      <c r="N158" s="68"/>
      <c r="O158" s="68"/>
      <c r="P158" s="68"/>
      <c r="Q158" s="68"/>
      <c r="R158" s="102">
        <f>R166</f>
        <v>107419.3209435311</v>
      </c>
      <c r="S158" s="102" t="str">
        <f>S166</f>
        <v>х</v>
      </c>
      <c r="T158" s="102" t="str">
        <f>T166</f>
        <v>х</v>
      </c>
      <c r="U158" s="102" t="str">
        <f>U166</f>
        <v>х</v>
      </c>
      <c r="V158" s="102" t="s">
        <v>496</v>
      </c>
      <c r="W158" s="102">
        <f>W166</f>
        <v>249582.84613641512</v>
      </c>
      <c r="X158" s="102">
        <f>X166</f>
        <v>149950.43150397987</v>
      </c>
      <c r="Y158" s="969"/>
      <c r="Z158" s="969"/>
    </row>
    <row r="159" spans="1:26" ht="37.5" customHeight="1">
      <c r="A159" s="983"/>
      <c r="B159" s="547" t="s">
        <v>25</v>
      </c>
      <c r="C159" s="11"/>
      <c r="D159" s="127"/>
      <c r="E159" s="127"/>
      <c r="F159" s="11"/>
      <c r="G159" s="11"/>
      <c r="H159" s="12"/>
      <c r="I159" s="6"/>
      <c r="J159" s="6"/>
      <c r="K159" s="6"/>
      <c r="L159" s="6"/>
      <c r="M159" s="68"/>
      <c r="N159" s="68"/>
      <c r="O159" s="68"/>
      <c r="P159" s="68"/>
      <c r="Q159" s="68"/>
      <c r="R159" s="68">
        <f t="shared" ref="R159:X159" si="15">R160+R161+R163</f>
        <v>1502796.3</v>
      </c>
      <c r="S159" s="68">
        <f t="shared" si="15"/>
        <v>235706.4</v>
      </c>
      <c r="T159" s="68">
        <f t="shared" si="15"/>
        <v>737484.1</v>
      </c>
      <c r="U159" s="68">
        <f t="shared" si="15"/>
        <v>161503.6</v>
      </c>
      <c r="V159" s="68">
        <f t="shared" si="15"/>
        <v>368102.2</v>
      </c>
      <c r="W159" s="68">
        <f t="shared" si="15"/>
        <v>11014091</v>
      </c>
      <c r="X159" s="68">
        <f t="shared" si="15"/>
        <v>10737950.399999999</v>
      </c>
      <c r="Y159" s="969"/>
      <c r="Z159" s="969"/>
    </row>
    <row r="160" spans="1:26" ht="39" customHeight="1">
      <c r="A160" s="983"/>
      <c r="B160" s="547" t="s">
        <v>10</v>
      </c>
      <c r="C160" s="11">
        <v>176</v>
      </c>
      <c r="D160" s="127" t="s">
        <v>494</v>
      </c>
      <c r="E160" s="127" t="s">
        <v>495</v>
      </c>
      <c r="F160" s="11">
        <v>6100202790</v>
      </c>
      <c r="G160" s="11">
        <v>414</v>
      </c>
      <c r="H160" s="12"/>
      <c r="I160" s="6"/>
      <c r="J160" s="6"/>
      <c r="K160" s="6"/>
      <c r="L160" s="6"/>
      <c r="M160" s="361"/>
      <c r="N160" s="361"/>
      <c r="O160" s="361"/>
      <c r="P160" s="361"/>
      <c r="Q160" s="361"/>
      <c r="R160" s="361">
        <f t="shared" ref="R160:X161" si="16">R168</f>
        <v>695000</v>
      </c>
      <c r="S160" s="361">
        <f t="shared" si="16"/>
        <v>235706.4</v>
      </c>
      <c r="T160" s="361">
        <f t="shared" si="16"/>
        <v>237484.1</v>
      </c>
      <c r="U160" s="361">
        <f t="shared" si="16"/>
        <v>161503.6</v>
      </c>
      <c r="V160" s="361">
        <f t="shared" si="16"/>
        <v>60305.9</v>
      </c>
      <c r="W160" s="361">
        <f t="shared" si="16"/>
        <v>1500000</v>
      </c>
      <c r="X160" s="361">
        <f t="shared" si="16"/>
        <v>0</v>
      </c>
      <c r="Y160" s="969"/>
      <c r="Z160" s="969"/>
    </row>
    <row r="161" spans="1:61" ht="30.75" customHeight="1">
      <c r="A161" s="983"/>
      <c r="B161" s="547" t="s">
        <v>665</v>
      </c>
      <c r="C161" s="11">
        <v>176</v>
      </c>
      <c r="D161" s="127" t="s">
        <v>494</v>
      </c>
      <c r="E161" s="127" t="s">
        <v>495</v>
      </c>
      <c r="F161" s="11">
        <v>6100253901</v>
      </c>
      <c r="G161" s="11">
        <v>415</v>
      </c>
      <c r="H161" s="12"/>
      <c r="I161" s="6"/>
      <c r="J161" s="6"/>
      <c r="K161" s="6"/>
      <c r="L161" s="6"/>
      <c r="M161" s="361"/>
      <c r="N161" s="361"/>
      <c r="O161" s="361"/>
      <c r="P161" s="361"/>
      <c r="Q161" s="361"/>
      <c r="R161" s="361">
        <f t="shared" si="16"/>
        <v>500000</v>
      </c>
      <c r="S161" s="361">
        <f t="shared" si="16"/>
        <v>0</v>
      </c>
      <c r="T161" s="361">
        <f t="shared" si="16"/>
        <v>500000</v>
      </c>
      <c r="U161" s="361">
        <f t="shared" si="16"/>
        <v>0</v>
      </c>
      <c r="V161" s="361">
        <f t="shared" si="16"/>
        <v>0</v>
      </c>
      <c r="W161" s="361">
        <f t="shared" si="16"/>
        <v>8101500</v>
      </c>
      <c r="X161" s="361">
        <f t="shared" si="16"/>
        <v>9258420.6999999993</v>
      </c>
      <c r="Y161" s="969"/>
      <c r="Z161" s="969"/>
    </row>
    <row r="162" spans="1:61" ht="34.5" customHeight="1">
      <c r="A162" s="983"/>
      <c r="B162" s="547" t="s">
        <v>442</v>
      </c>
      <c r="C162" s="11"/>
      <c r="D162" s="127"/>
      <c r="E162" s="127"/>
      <c r="F162" s="11"/>
      <c r="G162" s="11"/>
      <c r="H162" s="12"/>
      <c r="I162" s="6"/>
      <c r="J162" s="6"/>
      <c r="K162" s="6"/>
      <c r="L162" s="6"/>
      <c r="M162" s="361"/>
      <c r="N162" s="361"/>
      <c r="O162" s="361"/>
      <c r="P162" s="361"/>
      <c r="Q162" s="361"/>
      <c r="R162" s="361"/>
      <c r="S162" s="361"/>
      <c r="T162" s="361"/>
      <c r="U162" s="361"/>
      <c r="V162" s="361"/>
      <c r="W162" s="361"/>
      <c r="X162" s="361"/>
      <c r="Y162" s="969"/>
      <c r="Z162" s="969"/>
    </row>
    <row r="163" spans="1:61" ht="46.5" customHeight="1">
      <c r="A163" s="983"/>
      <c r="B163" s="547" t="s">
        <v>454</v>
      </c>
      <c r="C163" s="11"/>
      <c r="D163" s="127"/>
      <c r="E163" s="127"/>
      <c r="F163" s="11"/>
      <c r="G163" s="11"/>
      <c r="H163" s="12"/>
      <c r="I163" s="6"/>
      <c r="J163" s="6"/>
      <c r="K163" s="6"/>
      <c r="L163" s="6"/>
      <c r="M163" s="361"/>
      <c r="N163" s="361"/>
      <c r="O163" s="361"/>
      <c r="P163" s="361"/>
      <c r="Q163" s="361"/>
      <c r="R163" s="361">
        <f t="shared" ref="R163:X163" si="17">R171</f>
        <v>307796.3</v>
      </c>
      <c r="S163" s="361">
        <f t="shared" si="17"/>
        <v>0</v>
      </c>
      <c r="T163" s="361">
        <f t="shared" si="17"/>
        <v>0</v>
      </c>
      <c r="U163" s="361">
        <f t="shared" si="17"/>
        <v>0</v>
      </c>
      <c r="V163" s="361">
        <f t="shared" si="17"/>
        <v>307796.3</v>
      </c>
      <c r="W163" s="361">
        <f t="shared" si="17"/>
        <v>1412591</v>
      </c>
      <c r="X163" s="361">
        <f t="shared" si="17"/>
        <v>1479529.7</v>
      </c>
      <c r="Y163" s="969"/>
      <c r="Z163" s="969"/>
    </row>
    <row r="164" spans="1:61" ht="27" customHeight="1">
      <c r="A164" s="984"/>
      <c r="B164" s="811" t="s">
        <v>1061</v>
      </c>
      <c r="C164" s="777"/>
      <c r="D164" s="127"/>
      <c r="E164" s="127"/>
      <c r="F164" s="777"/>
      <c r="G164" s="777"/>
      <c r="H164" s="12"/>
      <c r="I164" s="6"/>
      <c r="J164" s="6"/>
      <c r="K164" s="6"/>
      <c r="L164" s="6"/>
      <c r="M164" s="361"/>
      <c r="N164" s="361"/>
      <c r="O164" s="361"/>
      <c r="P164" s="361"/>
      <c r="Q164" s="361"/>
      <c r="R164" s="361"/>
      <c r="S164" s="361"/>
      <c r="T164" s="361"/>
      <c r="U164" s="361"/>
      <c r="V164" s="361"/>
      <c r="W164" s="361"/>
      <c r="X164" s="361"/>
      <c r="Y164" s="969"/>
      <c r="Z164" s="969"/>
    </row>
    <row r="165" spans="1:61" ht="28.5" customHeight="1">
      <c r="A165" s="968" t="s">
        <v>759</v>
      </c>
      <c r="B165" s="546" t="s">
        <v>556</v>
      </c>
      <c r="C165" s="375"/>
      <c r="D165" s="335"/>
      <c r="E165" s="335"/>
      <c r="F165" s="375"/>
      <c r="G165" s="375"/>
      <c r="H165" s="23"/>
      <c r="I165" s="9"/>
      <c r="J165" s="9"/>
      <c r="K165" s="9"/>
      <c r="L165" s="9"/>
      <c r="M165" s="363"/>
      <c r="N165" s="363"/>
      <c r="O165" s="363"/>
      <c r="P165" s="363"/>
      <c r="Q165" s="363"/>
      <c r="R165" s="558">
        <v>13.99</v>
      </c>
      <c r="S165" s="558"/>
      <c r="T165" s="558"/>
      <c r="U165" s="558"/>
      <c r="V165" s="558">
        <f>13.99</f>
        <v>13.99</v>
      </c>
      <c r="W165" s="558">
        <v>44.13</v>
      </c>
      <c r="X165" s="558">
        <v>71.61</v>
      </c>
      <c r="Y165" s="969"/>
      <c r="Z165" s="969"/>
    </row>
    <row r="166" spans="1:61" ht="30" customHeight="1">
      <c r="A166" s="969"/>
      <c r="B166" s="546" t="s">
        <v>24</v>
      </c>
      <c r="C166" s="375"/>
      <c r="D166" s="335"/>
      <c r="E166" s="335"/>
      <c r="F166" s="375"/>
      <c r="G166" s="375"/>
      <c r="H166" s="23"/>
      <c r="I166" s="9"/>
      <c r="J166" s="9"/>
      <c r="K166" s="9"/>
      <c r="L166" s="9"/>
      <c r="M166" s="363"/>
      <c r="N166" s="363"/>
      <c r="O166" s="363"/>
      <c r="P166" s="363"/>
      <c r="Q166" s="363"/>
      <c r="R166" s="103">
        <f>R167/R165</f>
        <v>107419.3209435311</v>
      </c>
      <c r="S166" s="65" t="s">
        <v>496</v>
      </c>
      <c r="T166" s="65" t="s">
        <v>496</v>
      </c>
      <c r="U166" s="65" t="s">
        <v>496</v>
      </c>
      <c r="V166" s="65" t="s">
        <v>496</v>
      </c>
      <c r="W166" s="65">
        <f>W167/W165</f>
        <v>249582.84613641512</v>
      </c>
      <c r="X166" s="65">
        <f>X167/X165</f>
        <v>149950.43150397987</v>
      </c>
      <c r="Y166" s="969"/>
      <c r="Z166" s="969"/>
    </row>
    <row r="167" spans="1:61" ht="30.75" customHeight="1">
      <c r="A167" s="969"/>
      <c r="B167" s="546" t="s">
        <v>25</v>
      </c>
      <c r="C167" s="375"/>
      <c r="D167" s="335"/>
      <c r="E167" s="335"/>
      <c r="F167" s="375"/>
      <c r="G167" s="375"/>
      <c r="H167" s="23"/>
      <c r="I167" s="9"/>
      <c r="J167" s="9"/>
      <c r="K167" s="9"/>
      <c r="L167" s="9"/>
      <c r="M167" s="363"/>
      <c r="N167" s="363"/>
      <c r="O167" s="363"/>
      <c r="P167" s="363"/>
      <c r="Q167" s="363"/>
      <c r="R167" s="103">
        <f t="shared" ref="R167:X167" si="18">R168+R169+R170+R171</f>
        <v>1502796.3</v>
      </c>
      <c r="S167" s="103">
        <f t="shared" si="18"/>
        <v>235706.4</v>
      </c>
      <c r="T167" s="103">
        <f t="shared" si="18"/>
        <v>737484.1</v>
      </c>
      <c r="U167" s="103">
        <f t="shared" si="18"/>
        <v>161503.6</v>
      </c>
      <c r="V167" s="103">
        <f t="shared" si="18"/>
        <v>368102.2</v>
      </c>
      <c r="W167" s="103">
        <f t="shared" si="18"/>
        <v>11014091</v>
      </c>
      <c r="X167" s="103">
        <f t="shared" si="18"/>
        <v>10737950.399999999</v>
      </c>
      <c r="Y167" s="969"/>
      <c r="Z167" s="969"/>
    </row>
    <row r="168" spans="1:61" ht="24" customHeight="1">
      <c r="A168" s="969"/>
      <c r="B168" s="546" t="s">
        <v>10</v>
      </c>
      <c r="C168" s="375">
        <v>176</v>
      </c>
      <c r="D168" s="335" t="s">
        <v>494</v>
      </c>
      <c r="E168" s="335" t="s">
        <v>495</v>
      </c>
      <c r="F168" s="375">
        <v>6100253901</v>
      </c>
      <c r="G168" s="375">
        <v>414</v>
      </c>
      <c r="H168" s="23"/>
      <c r="I168" s="9"/>
      <c r="J168" s="9"/>
      <c r="K168" s="9"/>
      <c r="L168" s="9"/>
      <c r="M168" s="363"/>
      <c r="N168" s="363"/>
      <c r="O168" s="363"/>
      <c r="P168" s="363"/>
      <c r="Q168" s="363"/>
      <c r="R168" s="363">
        <f>SUM(S168:V168)</f>
        <v>695000</v>
      </c>
      <c r="S168" s="363">
        <v>235706.4</v>
      </c>
      <c r="T168" s="363">
        <v>237484.1</v>
      </c>
      <c r="U168" s="363">
        <v>161503.6</v>
      </c>
      <c r="V168" s="363">
        <v>60305.9</v>
      </c>
      <c r="W168" s="363">
        <v>1500000</v>
      </c>
      <c r="X168" s="363">
        <v>0</v>
      </c>
      <c r="Y168" s="969"/>
      <c r="Z168" s="969"/>
      <c r="AA168" s="537"/>
      <c r="AB168" s="323"/>
      <c r="AC168" s="323"/>
      <c r="AD168" s="323"/>
      <c r="AE168" s="323"/>
      <c r="AF168" s="323"/>
      <c r="AG168" s="323"/>
      <c r="AH168" s="323"/>
      <c r="AI168" s="323"/>
      <c r="AJ168" s="323"/>
      <c r="AK168" s="323"/>
      <c r="AL168" s="323"/>
      <c r="AM168" s="323"/>
      <c r="AN168" s="323"/>
      <c r="AO168" s="323"/>
      <c r="AP168" s="323"/>
      <c r="AQ168" s="323"/>
      <c r="AR168" s="323"/>
      <c r="AS168" s="323"/>
      <c r="AT168" s="323"/>
      <c r="AU168" s="323"/>
      <c r="AV168" s="323"/>
      <c r="AW168" s="323"/>
      <c r="AX168" s="323"/>
      <c r="AY168" s="323"/>
      <c r="AZ168" s="323"/>
      <c r="BA168" s="323"/>
      <c r="BB168" s="323"/>
      <c r="BC168" s="323"/>
      <c r="BD168" s="323"/>
      <c r="BE168" s="323"/>
      <c r="BF168" s="323"/>
      <c r="BG168" s="323"/>
      <c r="BH168" s="323"/>
      <c r="BI168" s="324"/>
    </row>
    <row r="169" spans="1:61" ht="26.25" customHeight="1">
      <c r="A169" s="969"/>
      <c r="B169" s="546" t="s">
        <v>767</v>
      </c>
      <c r="C169" s="375">
        <v>176</v>
      </c>
      <c r="D169" s="335" t="s">
        <v>494</v>
      </c>
      <c r="E169" s="335" t="s">
        <v>495</v>
      </c>
      <c r="F169" s="375">
        <v>6100253901</v>
      </c>
      <c r="G169" s="375">
        <v>415</v>
      </c>
      <c r="H169" s="23"/>
      <c r="I169" s="9"/>
      <c r="J169" s="9"/>
      <c r="K169" s="9"/>
      <c r="L169" s="9"/>
      <c r="M169" s="363"/>
      <c r="N169" s="363"/>
      <c r="O169" s="363"/>
      <c r="P169" s="363"/>
      <c r="Q169" s="363"/>
      <c r="R169" s="363">
        <f>SUM(S169:V169)</f>
        <v>500000</v>
      </c>
      <c r="S169" s="363"/>
      <c r="T169" s="363">
        <v>500000</v>
      </c>
      <c r="U169" s="363"/>
      <c r="V169" s="363">
        <v>0</v>
      </c>
      <c r="W169" s="363">
        <v>8101500</v>
      </c>
      <c r="X169" s="363">
        <v>9258420.6999999993</v>
      </c>
      <c r="Y169" s="969"/>
      <c r="Z169" s="969"/>
      <c r="AA169" s="537"/>
      <c r="AB169" s="323"/>
      <c r="AC169" s="323"/>
      <c r="AD169" s="323"/>
      <c r="AE169" s="323"/>
      <c r="AF169" s="323"/>
      <c r="AG169" s="323"/>
      <c r="AH169" s="323"/>
      <c r="AI169" s="323"/>
      <c r="AJ169" s="323"/>
      <c r="AK169" s="323"/>
      <c r="AL169" s="323"/>
      <c r="AM169" s="323"/>
      <c r="AN169" s="323"/>
      <c r="AO169" s="323"/>
      <c r="AP169" s="323"/>
      <c r="AQ169" s="323"/>
      <c r="AR169" s="323"/>
      <c r="AS169" s="323"/>
      <c r="AT169" s="323"/>
      <c r="AU169" s="323"/>
      <c r="AV169" s="323"/>
      <c r="AW169" s="323"/>
      <c r="AX169" s="323"/>
      <c r="AY169" s="323"/>
      <c r="AZ169" s="323"/>
      <c r="BA169" s="323"/>
      <c r="BB169" s="323"/>
      <c r="BC169" s="323"/>
      <c r="BD169" s="323"/>
      <c r="BE169" s="323"/>
      <c r="BF169" s="323"/>
      <c r="BG169" s="323"/>
      <c r="BH169" s="323"/>
      <c r="BI169" s="324"/>
    </row>
    <row r="170" spans="1:61" ht="24" customHeight="1">
      <c r="A170" s="969"/>
      <c r="B170" s="546" t="s">
        <v>442</v>
      </c>
      <c r="C170" s="375"/>
      <c r="D170" s="335"/>
      <c r="E170" s="335"/>
      <c r="F170" s="375"/>
      <c r="G170" s="375"/>
      <c r="H170" s="23"/>
      <c r="I170" s="9"/>
      <c r="J170" s="9"/>
      <c r="K170" s="9"/>
      <c r="L170" s="9"/>
      <c r="M170" s="363"/>
      <c r="N170" s="363"/>
      <c r="O170" s="363"/>
      <c r="P170" s="363"/>
      <c r="Q170" s="363"/>
      <c r="R170" s="363"/>
      <c r="S170" s="363"/>
      <c r="T170" s="363"/>
      <c r="U170" s="363"/>
      <c r="V170" s="363"/>
      <c r="W170" s="363"/>
      <c r="X170" s="363"/>
      <c r="Y170" s="969"/>
      <c r="Z170" s="969"/>
      <c r="AA170" s="537"/>
      <c r="AB170" s="323"/>
      <c r="AC170" s="323"/>
      <c r="AD170" s="323"/>
      <c r="AE170" s="323"/>
      <c r="AF170" s="323"/>
      <c r="AG170" s="323"/>
      <c r="AH170" s="323"/>
      <c r="AI170" s="323"/>
      <c r="AJ170" s="323"/>
      <c r="AK170" s="323"/>
      <c r="AL170" s="323"/>
      <c r="AM170" s="323"/>
      <c r="AN170" s="323"/>
      <c r="AO170" s="323"/>
      <c r="AP170" s="323"/>
      <c r="AQ170" s="323"/>
      <c r="AR170" s="323"/>
      <c r="AS170" s="323"/>
      <c r="AT170" s="323"/>
      <c r="AU170" s="323"/>
      <c r="AV170" s="323"/>
      <c r="AW170" s="323"/>
      <c r="AX170" s="323"/>
      <c r="AY170" s="323"/>
      <c r="AZ170" s="323"/>
      <c r="BA170" s="323"/>
      <c r="BB170" s="323"/>
      <c r="BC170" s="323"/>
      <c r="BD170" s="323"/>
      <c r="BE170" s="323"/>
      <c r="BF170" s="323"/>
      <c r="BG170" s="323"/>
      <c r="BH170" s="323"/>
      <c r="BI170" s="324"/>
    </row>
    <row r="171" spans="1:61" ht="86.25" customHeight="1">
      <c r="A171" s="970"/>
      <c r="B171" s="546" t="s">
        <v>454</v>
      </c>
      <c r="C171" s="375"/>
      <c r="D171" s="335"/>
      <c r="E171" s="335"/>
      <c r="F171" s="375"/>
      <c r="G171" s="375"/>
      <c r="H171" s="23"/>
      <c r="I171" s="9"/>
      <c r="J171" s="9"/>
      <c r="K171" s="9"/>
      <c r="L171" s="9"/>
      <c r="M171" s="363"/>
      <c r="N171" s="363"/>
      <c r="O171" s="363"/>
      <c r="P171" s="363"/>
      <c r="Q171" s="363"/>
      <c r="R171" s="363">
        <f>V171</f>
        <v>307796.3</v>
      </c>
      <c r="S171" s="363"/>
      <c r="T171" s="363"/>
      <c r="U171" s="363"/>
      <c r="V171" s="363">
        <v>307796.3</v>
      </c>
      <c r="W171" s="363">
        <v>1412591</v>
      </c>
      <c r="X171" s="363">
        <v>1479529.7</v>
      </c>
      <c r="Y171" s="969"/>
      <c r="Z171" s="970"/>
      <c r="AA171" s="537"/>
      <c r="AB171" s="323"/>
      <c r="AC171" s="323"/>
      <c r="AD171" s="323"/>
      <c r="AE171" s="323"/>
      <c r="AF171" s="323"/>
      <c r="AG171" s="466"/>
      <c r="AH171" s="323"/>
      <c r="AI171" s="323"/>
      <c r="AJ171" s="323"/>
      <c r="AK171" s="323"/>
      <c r="AL171" s="323"/>
      <c r="AM171" s="323"/>
      <c r="AN171" s="323"/>
      <c r="AO171" s="323"/>
      <c r="AP171" s="323"/>
      <c r="AQ171" s="323"/>
      <c r="AR171" s="323"/>
      <c r="AS171" s="323"/>
      <c r="AT171" s="323"/>
      <c r="AU171" s="323"/>
      <c r="AV171" s="323"/>
      <c r="AW171" s="323"/>
      <c r="AX171" s="323"/>
      <c r="AY171" s="323"/>
      <c r="AZ171" s="323"/>
      <c r="BA171" s="323"/>
      <c r="BB171" s="323"/>
      <c r="BC171" s="323"/>
      <c r="BD171" s="323"/>
      <c r="BE171" s="323"/>
      <c r="BF171" s="323"/>
      <c r="BG171" s="323"/>
      <c r="BH171" s="323"/>
      <c r="BI171" s="324"/>
    </row>
    <row r="172" spans="1:61" ht="31.5" hidden="1" customHeight="1">
      <c r="A172" s="968" t="s">
        <v>523</v>
      </c>
      <c r="B172" s="546" t="s">
        <v>473</v>
      </c>
      <c r="C172" s="375"/>
      <c r="D172" s="335"/>
      <c r="E172" s="335"/>
      <c r="F172" s="375"/>
      <c r="G172" s="375"/>
      <c r="H172" s="23"/>
      <c r="I172" s="9"/>
      <c r="J172" s="9"/>
      <c r="K172" s="9"/>
      <c r="L172" s="9"/>
      <c r="M172" s="363"/>
      <c r="N172" s="363"/>
      <c r="O172" s="363"/>
      <c r="P172" s="363"/>
      <c r="Q172" s="363"/>
      <c r="R172" s="363"/>
      <c r="S172" s="363"/>
      <c r="T172" s="363"/>
      <c r="U172" s="363"/>
      <c r="V172" s="363"/>
      <c r="W172" s="363"/>
      <c r="X172" s="363"/>
      <c r="Y172" s="969"/>
      <c r="Z172" s="1025" t="s">
        <v>667</v>
      </c>
      <c r="AA172" s="537"/>
      <c r="AB172" s="323"/>
      <c r="AC172" s="323"/>
      <c r="AD172" s="323"/>
      <c r="AE172" s="323"/>
      <c r="AF172" s="323"/>
      <c r="AG172" s="323"/>
      <c r="AH172" s="323"/>
      <c r="AI172" s="323"/>
      <c r="AJ172" s="323"/>
      <c r="AK172" s="323"/>
      <c r="AL172" s="323"/>
      <c r="AM172" s="323"/>
      <c r="AN172" s="323"/>
      <c r="AO172" s="323"/>
      <c r="AP172" s="323"/>
      <c r="AQ172" s="323"/>
      <c r="AR172" s="323"/>
      <c r="AS172" s="323"/>
      <c r="AT172" s="323"/>
      <c r="AU172" s="323"/>
      <c r="AV172" s="323"/>
      <c r="AW172" s="323"/>
      <c r="AX172" s="323"/>
      <c r="AY172" s="323"/>
      <c r="AZ172" s="323"/>
      <c r="BA172" s="323"/>
      <c r="BB172" s="323"/>
      <c r="BC172" s="323"/>
      <c r="BD172" s="323"/>
      <c r="BE172" s="323"/>
      <c r="BF172" s="323"/>
      <c r="BG172" s="323"/>
      <c r="BH172" s="323"/>
      <c r="BI172" s="324"/>
    </row>
    <row r="173" spans="1:61" ht="30.6" hidden="1" customHeight="1">
      <c r="A173" s="969"/>
      <c r="B173" s="546" t="s">
        <v>24</v>
      </c>
      <c r="C173" s="375"/>
      <c r="D173" s="335"/>
      <c r="E173" s="335"/>
      <c r="F173" s="375"/>
      <c r="G173" s="375"/>
      <c r="H173" s="23"/>
      <c r="I173" s="9"/>
      <c r="J173" s="9"/>
      <c r="K173" s="9"/>
      <c r="L173" s="9"/>
      <c r="M173" s="363"/>
      <c r="N173" s="363"/>
      <c r="O173" s="363"/>
      <c r="P173" s="363"/>
      <c r="Q173" s="363"/>
      <c r="R173" s="363"/>
      <c r="S173" s="65" t="s">
        <v>496</v>
      </c>
      <c r="T173" s="65" t="s">
        <v>496</v>
      </c>
      <c r="U173" s="65" t="s">
        <v>496</v>
      </c>
      <c r="V173" s="65" t="s">
        <v>496</v>
      </c>
      <c r="W173" s="363"/>
      <c r="X173" s="363"/>
      <c r="Y173" s="969"/>
      <c r="Z173" s="1026"/>
      <c r="AA173" s="537"/>
      <c r="AB173" s="323"/>
      <c r="AC173" s="323"/>
      <c r="AD173" s="323"/>
      <c r="AE173" s="323"/>
      <c r="AF173" s="323"/>
      <c r="AG173" s="323"/>
      <c r="AH173" s="323"/>
      <c r="AI173" s="323"/>
      <c r="AJ173" s="323"/>
      <c r="AK173" s="323"/>
      <c r="AL173" s="323"/>
      <c r="AM173" s="323"/>
      <c r="AN173" s="323"/>
      <c r="AO173" s="323"/>
      <c r="AP173" s="323"/>
      <c r="AQ173" s="323"/>
      <c r="AR173" s="323"/>
      <c r="AS173" s="323"/>
      <c r="AT173" s="323"/>
      <c r="AU173" s="323"/>
      <c r="AV173" s="323"/>
      <c r="AW173" s="323"/>
      <c r="AX173" s="323"/>
      <c r="AY173" s="323"/>
      <c r="AZ173" s="323"/>
      <c r="BA173" s="323"/>
      <c r="BB173" s="323"/>
      <c r="BC173" s="323"/>
      <c r="BD173" s="323"/>
      <c r="BE173" s="323"/>
      <c r="BF173" s="323"/>
      <c r="BG173" s="323"/>
      <c r="BH173" s="323"/>
      <c r="BI173" s="324"/>
    </row>
    <row r="174" spans="1:61" s="42" customFormat="1" ht="36" hidden="1" customHeight="1">
      <c r="A174" s="969"/>
      <c r="B174" s="546" t="s">
        <v>472</v>
      </c>
      <c r="C174" s="375"/>
      <c r="D174" s="335"/>
      <c r="E174" s="335"/>
      <c r="F174" s="375"/>
      <c r="G174" s="375"/>
      <c r="H174" s="25"/>
      <c r="I174" s="25"/>
      <c r="J174" s="25"/>
      <c r="K174" s="25"/>
      <c r="L174" s="25"/>
      <c r="M174" s="363"/>
      <c r="N174" s="363"/>
      <c r="O174" s="363"/>
      <c r="P174" s="363"/>
      <c r="Q174" s="363"/>
      <c r="R174" s="363" t="e">
        <f>R175</f>
        <v>#REF!</v>
      </c>
      <c r="S174" s="363">
        <f>S175</f>
        <v>0</v>
      </c>
      <c r="T174" s="363" t="e">
        <f>T175</f>
        <v>#REF!</v>
      </c>
      <c r="U174" s="363">
        <f>U175</f>
        <v>0</v>
      </c>
      <c r="V174" s="363" t="e">
        <f>V175</f>
        <v>#REF!</v>
      </c>
      <c r="W174" s="363">
        <v>0</v>
      </c>
      <c r="X174" s="363">
        <v>0</v>
      </c>
      <c r="Y174" s="970"/>
      <c r="Z174" s="1026"/>
      <c r="AA174" s="537"/>
      <c r="AB174" s="323"/>
      <c r="AC174" s="323"/>
      <c r="AD174" s="323"/>
      <c r="AE174" s="323"/>
      <c r="AF174" s="323"/>
      <c r="AG174" s="323"/>
      <c r="AH174" s="323"/>
      <c r="AI174" s="323"/>
      <c r="AJ174" s="323"/>
      <c r="AK174" s="323"/>
      <c r="AL174" s="323"/>
      <c r="AM174" s="323"/>
      <c r="AN174" s="323"/>
      <c r="AO174" s="323"/>
      <c r="AP174" s="323"/>
      <c r="AQ174" s="323"/>
      <c r="AR174" s="323"/>
      <c r="AS174" s="323"/>
      <c r="AT174" s="323"/>
      <c r="AU174" s="323"/>
      <c r="AV174" s="323"/>
      <c r="AW174" s="323"/>
      <c r="AX174" s="323"/>
      <c r="AY174" s="323"/>
      <c r="AZ174" s="323"/>
      <c r="BA174" s="323"/>
      <c r="BB174" s="323"/>
      <c r="BC174" s="323"/>
      <c r="BD174" s="325"/>
    </row>
    <row r="175" spans="1:61" s="323" customFormat="1" ht="36" hidden="1" customHeight="1">
      <c r="A175" s="969"/>
      <c r="B175" s="546" t="s">
        <v>10</v>
      </c>
      <c r="C175" s="375">
        <v>176</v>
      </c>
      <c r="D175" s="335" t="s">
        <v>494</v>
      </c>
      <c r="E175" s="335" t="s">
        <v>495</v>
      </c>
      <c r="F175" s="375">
        <v>6100102770</v>
      </c>
      <c r="G175" s="375">
        <v>414</v>
      </c>
      <c r="H175" s="25"/>
      <c r="I175" s="25"/>
      <c r="J175" s="25"/>
      <c r="K175" s="25"/>
      <c r="L175" s="25"/>
      <c r="M175" s="363"/>
      <c r="N175" s="363"/>
      <c r="O175" s="363"/>
      <c r="P175" s="363"/>
      <c r="Q175" s="363"/>
      <c r="R175" s="363" t="e">
        <f>'Подробный перечень(БКАД)'!#REF!</f>
        <v>#REF!</v>
      </c>
      <c r="S175" s="363">
        <v>0</v>
      </c>
      <c r="T175" s="363" t="e">
        <f>'Подробный перечень(БКАД)'!#REF!</f>
        <v>#REF!</v>
      </c>
      <c r="U175" s="363">
        <v>0</v>
      </c>
      <c r="V175" s="363" t="e">
        <f>'Подробный перечень(БКАД)'!#REF!</f>
        <v>#REF!</v>
      </c>
      <c r="W175" s="363">
        <f>W174</f>
        <v>0</v>
      </c>
      <c r="X175" s="363">
        <f>X174</f>
        <v>0</v>
      </c>
      <c r="Y175" s="783"/>
      <c r="Z175" s="1026"/>
      <c r="AA175" s="537"/>
    </row>
    <row r="176" spans="1:61" s="323" customFormat="1" ht="22.5" hidden="1" customHeight="1">
      <c r="A176" s="969"/>
      <c r="B176" s="546" t="s">
        <v>443</v>
      </c>
      <c r="C176" s="375"/>
      <c r="D176" s="335"/>
      <c r="E176" s="335"/>
      <c r="F176" s="375"/>
      <c r="G176" s="375"/>
      <c r="H176" s="25"/>
      <c r="I176" s="25"/>
      <c r="J176" s="25"/>
      <c r="K176" s="25"/>
      <c r="L176" s="25"/>
      <c r="M176" s="363"/>
      <c r="N176" s="363"/>
      <c r="O176" s="363"/>
      <c r="P176" s="363"/>
      <c r="Q176" s="363"/>
      <c r="R176" s="363"/>
      <c r="S176" s="363"/>
      <c r="T176" s="363"/>
      <c r="U176" s="363"/>
      <c r="V176" s="363"/>
      <c r="W176" s="363"/>
      <c r="X176" s="363"/>
      <c r="Y176" s="783"/>
      <c r="Z176" s="1026"/>
      <c r="AA176" s="537"/>
    </row>
    <row r="177" spans="1:27" s="323" customFormat="1" ht="19.5" hidden="1" customHeight="1">
      <c r="A177" s="969"/>
      <c r="B177" s="546" t="s">
        <v>442</v>
      </c>
      <c r="C177" s="375"/>
      <c r="D177" s="335"/>
      <c r="E177" s="335"/>
      <c r="F177" s="375"/>
      <c r="G177" s="375"/>
      <c r="H177" s="25"/>
      <c r="I177" s="25"/>
      <c r="J177" s="25"/>
      <c r="K177" s="25"/>
      <c r="L177" s="25"/>
      <c r="M177" s="363"/>
      <c r="N177" s="363"/>
      <c r="O177" s="363"/>
      <c r="P177" s="363"/>
      <c r="Q177" s="363"/>
      <c r="R177" s="363"/>
      <c r="S177" s="363"/>
      <c r="T177" s="363"/>
      <c r="U177" s="363"/>
      <c r="V177" s="363"/>
      <c r="W177" s="363"/>
      <c r="X177" s="363"/>
      <c r="Y177" s="783"/>
      <c r="Z177" s="1026"/>
      <c r="AA177" s="537"/>
    </row>
    <row r="178" spans="1:27" s="323" customFormat="1" ht="27" hidden="1" customHeight="1">
      <c r="A178" s="970"/>
      <c r="B178" s="546" t="s">
        <v>454</v>
      </c>
      <c r="C178" s="375"/>
      <c r="D178" s="335"/>
      <c r="E178" s="335"/>
      <c r="F178" s="375"/>
      <c r="G178" s="375"/>
      <c r="H178" s="25"/>
      <c r="I178" s="25"/>
      <c r="J178" s="25"/>
      <c r="K178" s="25"/>
      <c r="L178" s="25"/>
      <c r="M178" s="363"/>
      <c r="N178" s="363"/>
      <c r="O178" s="363"/>
      <c r="P178" s="363"/>
      <c r="Q178" s="363"/>
      <c r="R178" s="363"/>
      <c r="S178" s="363"/>
      <c r="T178" s="363"/>
      <c r="U178" s="363"/>
      <c r="V178" s="363"/>
      <c r="W178" s="363"/>
      <c r="X178" s="363"/>
      <c r="Y178" s="783"/>
      <c r="Z178" s="1027"/>
      <c r="AA178" s="537"/>
    </row>
    <row r="179" spans="1:27" ht="65.25" customHeight="1">
      <c r="A179" s="982" t="s">
        <v>866</v>
      </c>
      <c r="B179" s="548" t="s">
        <v>557</v>
      </c>
      <c r="C179" s="11"/>
      <c r="D179" s="127"/>
      <c r="E179" s="127"/>
      <c r="F179" s="11"/>
      <c r="G179" s="11"/>
      <c r="H179" s="12"/>
      <c r="I179" s="6"/>
      <c r="J179" s="6"/>
      <c r="K179" s="6"/>
      <c r="L179" s="6"/>
      <c r="M179" s="68"/>
      <c r="N179" s="68"/>
      <c r="O179" s="68"/>
      <c r="P179" s="68"/>
      <c r="Q179" s="68"/>
      <c r="R179" s="87">
        <v>0</v>
      </c>
      <c r="S179" s="87"/>
      <c r="T179" s="87"/>
      <c r="U179" s="87"/>
      <c r="V179" s="87"/>
      <c r="W179" s="68"/>
      <c r="X179" s="49">
        <f>'Подробный перечень (ОБ)'!$M$470</f>
        <v>0</v>
      </c>
      <c r="Y179" s="989" t="s">
        <v>26</v>
      </c>
      <c r="Z179" s="939" t="s">
        <v>872</v>
      </c>
    </row>
    <row r="180" spans="1:27" ht="28.5" customHeight="1">
      <c r="A180" s="983"/>
      <c r="B180" s="548" t="s">
        <v>24</v>
      </c>
      <c r="C180" s="11"/>
      <c r="D180" s="127"/>
      <c r="E180" s="127"/>
      <c r="F180" s="11"/>
      <c r="G180" s="11"/>
      <c r="H180" s="12"/>
      <c r="I180" s="6"/>
      <c r="J180" s="6"/>
      <c r="K180" s="6"/>
      <c r="L180" s="6"/>
      <c r="M180" s="68"/>
      <c r="N180" s="68"/>
      <c r="O180" s="68"/>
      <c r="P180" s="68"/>
      <c r="Q180" s="68"/>
      <c r="R180" s="87"/>
      <c r="S180" s="87" t="s">
        <v>496</v>
      </c>
      <c r="T180" s="87" t="s">
        <v>496</v>
      </c>
      <c r="U180" s="87" t="s">
        <v>496</v>
      </c>
      <c r="V180" s="87" t="s">
        <v>496</v>
      </c>
      <c r="W180" s="68"/>
      <c r="X180" s="68"/>
      <c r="Y180" s="990"/>
      <c r="Z180" s="974"/>
    </row>
    <row r="181" spans="1:27" ht="33" customHeight="1">
      <c r="A181" s="983"/>
      <c r="B181" s="547" t="s">
        <v>237</v>
      </c>
      <c r="C181" s="11"/>
      <c r="D181" s="127"/>
      <c r="E181" s="127"/>
      <c r="F181" s="11"/>
      <c r="G181" s="11"/>
      <c r="H181" s="12"/>
      <c r="I181" s="6"/>
      <c r="J181" s="6"/>
      <c r="K181" s="6"/>
      <c r="L181" s="6"/>
      <c r="M181" s="68"/>
      <c r="N181" s="68"/>
      <c r="O181" s="68"/>
      <c r="P181" s="68"/>
      <c r="Q181" s="68"/>
      <c r="R181" s="87">
        <f t="shared" ref="R181:X181" si="19">R182</f>
        <v>0</v>
      </c>
      <c r="S181" s="87">
        <f t="shared" si="19"/>
        <v>0</v>
      </c>
      <c r="T181" s="87">
        <f t="shared" si="19"/>
        <v>0</v>
      </c>
      <c r="U181" s="87">
        <f t="shared" si="19"/>
        <v>0</v>
      </c>
      <c r="V181" s="87">
        <f t="shared" si="19"/>
        <v>0</v>
      </c>
      <c r="W181" s="68">
        <f t="shared" si="19"/>
        <v>0</v>
      </c>
      <c r="X181" s="49">
        <f t="shared" si="19"/>
        <v>0</v>
      </c>
      <c r="Y181" s="990"/>
      <c r="Z181" s="974"/>
      <c r="AA181" s="313"/>
    </row>
    <row r="182" spans="1:27" ht="23.25" customHeight="1">
      <c r="A182" s="983"/>
      <c r="B182" s="547" t="s">
        <v>10</v>
      </c>
      <c r="C182" s="11">
        <v>176</v>
      </c>
      <c r="D182" s="127" t="s">
        <v>494</v>
      </c>
      <c r="E182" s="127" t="s">
        <v>495</v>
      </c>
      <c r="F182" s="11">
        <v>6100602920</v>
      </c>
      <c r="G182" s="11">
        <v>414</v>
      </c>
      <c r="H182" s="12"/>
      <c r="I182" s="6"/>
      <c r="J182" s="6"/>
      <c r="K182" s="6"/>
      <c r="L182" s="6"/>
      <c r="M182" s="68"/>
      <c r="N182" s="68"/>
      <c r="O182" s="68"/>
      <c r="P182" s="68"/>
      <c r="Q182" s="68"/>
      <c r="R182" s="87">
        <f>'Подробный перечень (ОБ)'!$G$473</f>
        <v>0</v>
      </c>
      <c r="S182" s="87"/>
      <c r="T182" s="87"/>
      <c r="U182" s="87"/>
      <c r="V182" s="87">
        <f>'Подробный перечень (ОБ)'!$K$473</f>
        <v>0</v>
      </c>
      <c r="W182" s="68">
        <f>'Подробный перечень (ОБ)'!$L$473</f>
        <v>0</v>
      </c>
      <c r="X182" s="49">
        <f>'Подробный перечень (ОБ)'!$M$473</f>
        <v>0</v>
      </c>
      <c r="Y182" s="991"/>
      <c r="Z182" s="974"/>
    </row>
    <row r="183" spans="1:27" ht="27" customHeight="1">
      <c r="A183" s="983"/>
      <c r="B183" s="551" t="s">
        <v>443</v>
      </c>
      <c r="C183" s="378"/>
      <c r="D183" s="336"/>
      <c r="E183" s="336"/>
      <c r="F183" s="378"/>
      <c r="G183" s="378"/>
      <c r="H183" s="371"/>
      <c r="I183" s="30"/>
      <c r="J183" s="30"/>
      <c r="K183" s="30"/>
      <c r="L183" s="30"/>
      <c r="M183" s="74"/>
      <c r="N183" s="74"/>
      <c r="O183" s="74"/>
      <c r="P183" s="74"/>
      <c r="Q183" s="74"/>
      <c r="R183" s="317"/>
      <c r="S183" s="317"/>
      <c r="T183" s="317"/>
      <c r="U183" s="317"/>
      <c r="V183" s="317"/>
      <c r="W183" s="74"/>
      <c r="X183" s="64"/>
      <c r="Y183" s="510"/>
      <c r="Z183" s="974"/>
    </row>
    <row r="184" spans="1:27" ht="22.5" customHeight="1">
      <c r="A184" s="983"/>
      <c r="B184" s="551" t="s">
        <v>442</v>
      </c>
      <c r="C184" s="378"/>
      <c r="D184" s="336"/>
      <c r="E184" s="336"/>
      <c r="F184" s="378"/>
      <c r="G184" s="378"/>
      <c r="H184" s="371"/>
      <c r="I184" s="30"/>
      <c r="J184" s="30"/>
      <c r="K184" s="30"/>
      <c r="L184" s="30"/>
      <c r="M184" s="74"/>
      <c r="N184" s="74"/>
      <c r="O184" s="74"/>
      <c r="P184" s="74"/>
      <c r="Q184" s="74"/>
      <c r="R184" s="317"/>
      <c r="S184" s="317"/>
      <c r="T184" s="317"/>
      <c r="U184" s="317"/>
      <c r="V184" s="317"/>
      <c r="W184" s="74"/>
      <c r="X184" s="64"/>
      <c r="Y184" s="378"/>
      <c r="Z184" s="974"/>
    </row>
    <row r="185" spans="1:27" ht="22.5" customHeight="1">
      <c r="A185" s="983"/>
      <c r="B185" s="551" t="s">
        <v>454</v>
      </c>
      <c r="C185" s="852"/>
      <c r="D185" s="336"/>
      <c r="E185" s="336"/>
      <c r="F185" s="852"/>
      <c r="G185" s="852"/>
      <c r="H185" s="371"/>
      <c r="I185" s="30"/>
      <c r="J185" s="30"/>
      <c r="K185" s="30"/>
      <c r="L185" s="30"/>
      <c r="M185" s="74"/>
      <c r="N185" s="74"/>
      <c r="O185" s="74"/>
      <c r="P185" s="74"/>
      <c r="Q185" s="74"/>
      <c r="R185" s="317"/>
      <c r="S185" s="317"/>
      <c r="T185" s="317"/>
      <c r="U185" s="317"/>
      <c r="V185" s="317"/>
      <c r="W185" s="74"/>
      <c r="X185" s="64"/>
      <c r="Y185" s="852"/>
      <c r="Z185" s="974"/>
    </row>
    <row r="186" spans="1:27" ht="26.25" customHeight="1">
      <c r="A186" s="984"/>
      <c r="B186" s="551" t="s">
        <v>1061</v>
      </c>
      <c r="C186" s="378"/>
      <c r="D186" s="336"/>
      <c r="E186" s="336"/>
      <c r="F186" s="378"/>
      <c r="G186" s="378"/>
      <c r="H186" s="371"/>
      <c r="I186" s="30"/>
      <c r="J186" s="30"/>
      <c r="K186" s="30"/>
      <c r="L186" s="30"/>
      <c r="M186" s="74"/>
      <c r="N186" s="74"/>
      <c r="O186" s="74"/>
      <c r="P186" s="74"/>
      <c r="Q186" s="74"/>
      <c r="R186" s="317"/>
      <c r="S186" s="317"/>
      <c r="T186" s="317"/>
      <c r="U186" s="317"/>
      <c r="V186" s="317"/>
      <c r="W186" s="74"/>
      <c r="X186" s="64"/>
      <c r="Y186" s="378"/>
      <c r="Z186" s="940"/>
    </row>
    <row r="187" spans="1:27" ht="27" customHeight="1">
      <c r="A187" s="982" t="s">
        <v>1088</v>
      </c>
      <c r="B187" s="547" t="s">
        <v>89</v>
      </c>
      <c r="C187" s="514"/>
      <c r="D187" s="336"/>
      <c r="E187" s="336"/>
      <c r="F187" s="514"/>
      <c r="G187" s="514"/>
      <c r="H187" s="371"/>
      <c r="I187" s="30"/>
      <c r="J187" s="30"/>
      <c r="K187" s="30"/>
      <c r="L187" s="30"/>
      <c r="M187" s="74"/>
      <c r="N187" s="74"/>
      <c r="O187" s="74"/>
      <c r="P187" s="74"/>
      <c r="Q187" s="74"/>
      <c r="R187" s="317"/>
      <c r="S187" s="317"/>
      <c r="T187" s="317"/>
      <c r="U187" s="317"/>
      <c r="V187" s="317"/>
      <c r="W187" s="74"/>
      <c r="X187" s="64"/>
      <c r="Y187" s="982" t="s">
        <v>783</v>
      </c>
      <c r="Z187" s="968" t="s">
        <v>1100</v>
      </c>
    </row>
    <row r="188" spans="1:27" ht="27" customHeight="1">
      <c r="A188" s="983"/>
      <c r="B188" s="547" t="s">
        <v>24</v>
      </c>
      <c r="C188" s="514"/>
      <c r="D188" s="336"/>
      <c r="E188" s="336"/>
      <c r="F188" s="514"/>
      <c r="G188" s="514"/>
      <c r="H188" s="371"/>
      <c r="I188" s="30"/>
      <c r="J188" s="30"/>
      <c r="K188" s="30"/>
      <c r="L188" s="30"/>
      <c r="M188" s="74"/>
      <c r="N188" s="74"/>
      <c r="O188" s="74"/>
      <c r="P188" s="74"/>
      <c r="Q188" s="74"/>
      <c r="R188" s="317"/>
      <c r="S188" s="317"/>
      <c r="T188" s="317"/>
      <c r="U188" s="317"/>
      <c r="V188" s="317"/>
      <c r="W188" s="892">
        <f>W204</f>
        <v>0.64500000000000002</v>
      </c>
      <c r="X188" s="893">
        <f>X196</f>
        <v>2.25</v>
      </c>
      <c r="Y188" s="983"/>
      <c r="Z188" s="969"/>
    </row>
    <row r="189" spans="1:27" ht="27" customHeight="1">
      <c r="A189" s="983"/>
      <c r="B189" s="547" t="s">
        <v>237</v>
      </c>
      <c r="C189" s="11">
        <v>124</v>
      </c>
      <c r="D189" s="127" t="s">
        <v>494</v>
      </c>
      <c r="E189" s="127" t="s">
        <v>495</v>
      </c>
      <c r="F189" s="11">
        <v>6100702780</v>
      </c>
      <c r="G189" s="11">
        <v>414</v>
      </c>
      <c r="H189" s="371"/>
      <c r="I189" s="30"/>
      <c r="J189" s="30"/>
      <c r="K189" s="30"/>
      <c r="L189" s="30"/>
      <c r="M189" s="74"/>
      <c r="N189" s="74"/>
      <c r="O189" s="74"/>
      <c r="P189" s="74"/>
      <c r="Q189" s="74"/>
      <c r="R189" s="317">
        <f t="shared" ref="R189:X189" si="20">R190</f>
        <v>447176.9</v>
      </c>
      <c r="S189" s="317">
        <f t="shared" si="20"/>
        <v>0</v>
      </c>
      <c r="T189" s="317">
        <f t="shared" si="20"/>
        <v>150601.79999999999</v>
      </c>
      <c r="U189" s="317">
        <f t="shared" si="20"/>
        <v>275843.20000000001</v>
      </c>
      <c r="V189" s="317">
        <f t="shared" si="20"/>
        <v>20731.900000000001</v>
      </c>
      <c r="W189" s="74">
        <f t="shared" si="20"/>
        <v>1028851.8</v>
      </c>
      <c r="X189" s="64">
        <f t="shared" si="20"/>
        <v>0</v>
      </c>
      <c r="Y189" s="983"/>
      <c r="Z189" s="969"/>
    </row>
    <row r="190" spans="1:27" ht="27" customHeight="1">
      <c r="A190" s="983"/>
      <c r="B190" s="547" t="s">
        <v>10</v>
      </c>
      <c r="C190" s="514">
        <v>124</v>
      </c>
      <c r="D190" s="336" t="s">
        <v>494</v>
      </c>
      <c r="E190" s="336" t="s">
        <v>495</v>
      </c>
      <c r="F190" s="514">
        <v>6100702780</v>
      </c>
      <c r="G190" s="514">
        <v>414</v>
      </c>
      <c r="H190" s="371"/>
      <c r="I190" s="30"/>
      <c r="J190" s="30"/>
      <c r="K190" s="30"/>
      <c r="L190" s="30"/>
      <c r="M190" s="74"/>
      <c r="N190" s="74"/>
      <c r="O190" s="74"/>
      <c r="P190" s="74"/>
      <c r="Q190" s="74"/>
      <c r="R190" s="317">
        <f t="shared" ref="R190:X190" si="21">R198+R206</f>
        <v>447176.9</v>
      </c>
      <c r="S190" s="317">
        <f t="shared" si="21"/>
        <v>0</v>
      </c>
      <c r="T190" s="317">
        <f t="shared" si="21"/>
        <v>150601.79999999999</v>
      </c>
      <c r="U190" s="317">
        <f t="shared" si="21"/>
        <v>275843.20000000001</v>
      </c>
      <c r="V190" s="317">
        <f t="shared" si="21"/>
        <v>20731.900000000001</v>
      </c>
      <c r="W190" s="317">
        <f t="shared" si="21"/>
        <v>1028851.8</v>
      </c>
      <c r="X190" s="317">
        <f t="shared" si="21"/>
        <v>0</v>
      </c>
      <c r="Y190" s="983"/>
      <c r="Z190" s="969"/>
    </row>
    <row r="191" spans="1:27" ht="27" customHeight="1">
      <c r="A191" s="983"/>
      <c r="B191" s="551" t="s">
        <v>443</v>
      </c>
      <c r="C191" s="514"/>
      <c r="D191" s="336"/>
      <c r="E191" s="336"/>
      <c r="F191" s="514"/>
      <c r="G191" s="514"/>
      <c r="H191" s="371"/>
      <c r="I191" s="30"/>
      <c r="J191" s="30"/>
      <c r="K191" s="30"/>
      <c r="L191" s="30"/>
      <c r="M191" s="74"/>
      <c r="N191" s="74"/>
      <c r="O191" s="74"/>
      <c r="P191" s="74"/>
      <c r="Q191" s="74"/>
      <c r="R191" s="317"/>
      <c r="S191" s="317"/>
      <c r="T191" s="317"/>
      <c r="U191" s="317"/>
      <c r="V191" s="317"/>
      <c r="W191" s="74"/>
      <c r="X191" s="64"/>
      <c r="Y191" s="983"/>
      <c r="Z191" s="969"/>
    </row>
    <row r="192" spans="1:27" ht="27" customHeight="1">
      <c r="A192" s="983"/>
      <c r="B192" s="551" t="s">
        <v>442</v>
      </c>
      <c r="C192" s="514"/>
      <c r="D192" s="336"/>
      <c r="E192" s="336"/>
      <c r="F192" s="514"/>
      <c r="G192" s="514"/>
      <c r="H192" s="371"/>
      <c r="I192" s="30"/>
      <c r="J192" s="30"/>
      <c r="K192" s="30"/>
      <c r="L192" s="30"/>
      <c r="M192" s="74"/>
      <c r="N192" s="74"/>
      <c r="O192" s="74"/>
      <c r="P192" s="74"/>
      <c r="Q192" s="74"/>
      <c r="R192" s="317"/>
      <c r="S192" s="317"/>
      <c r="T192" s="317"/>
      <c r="U192" s="317"/>
      <c r="V192" s="317"/>
      <c r="W192" s="74"/>
      <c r="X192" s="64"/>
      <c r="Y192" s="983"/>
      <c r="Z192" s="969"/>
    </row>
    <row r="193" spans="1:26" ht="27" customHeight="1">
      <c r="A193" s="983"/>
      <c r="B193" s="552" t="s">
        <v>454</v>
      </c>
      <c r="C193" s="513"/>
      <c r="D193" s="517"/>
      <c r="E193" s="517"/>
      <c r="F193" s="513"/>
      <c r="G193" s="513"/>
      <c r="H193" s="518"/>
      <c r="I193" s="519"/>
      <c r="J193" s="519"/>
      <c r="K193" s="519"/>
      <c r="L193" s="519"/>
      <c r="M193" s="520"/>
      <c r="N193" s="520"/>
      <c r="O193" s="520"/>
      <c r="P193" s="520"/>
      <c r="Q193" s="520"/>
      <c r="R193" s="521"/>
      <c r="S193" s="521"/>
      <c r="T193" s="521"/>
      <c r="U193" s="521"/>
      <c r="V193" s="521"/>
      <c r="W193" s="520"/>
      <c r="X193" s="522"/>
      <c r="Y193" s="983"/>
      <c r="Z193" s="969"/>
    </row>
    <row r="194" spans="1:26" ht="27" customHeight="1">
      <c r="A194" s="806"/>
      <c r="B194" s="811" t="s">
        <v>1061</v>
      </c>
      <c r="C194" s="777"/>
      <c r="D194" s="127"/>
      <c r="E194" s="127"/>
      <c r="F194" s="777"/>
      <c r="G194" s="777"/>
      <c r="H194" s="12"/>
      <c r="I194" s="6"/>
      <c r="J194" s="6"/>
      <c r="K194" s="6"/>
      <c r="L194" s="6"/>
      <c r="M194" s="68"/>
      <c r="N194" s="68"/>
      <c r="O194" s="68"/>
      <c r="P194" s="68"/>
      <c r="Q194" s="68"/>
      <c r="R194" s="87"/>
      <c r="S194" s="87"/>
      <c r="T194" s="87"/>
      <c r="U194" s="87"/>
      <c r="V194" s="87"/>
      <c r="W194" s="68"/>
      <c r="X194" s="49"/>
      <c r="Y194" s="983"/>
      <c r="Z194" s="969"/>
    </row>
    <row r="195" spans="1:26" ht="27" customHeight="1">
      <c r="A195" s="968" t="s">
        <v>1089</v>
      </c>
      <c r="B195" s="547" t="s">
        <v>89</v>
      </c>
      <c r="C195" s="11"/>
      <c r="D195" s="127"/>
      <c r="E195" s="127"/>
      <c r="F195" s="11"/>
      <c r="G195" s="11"/>
      <c r="H195" s="12"/>
      <c r="I195" s="6"/>
      <c r="J195" s="6"/>
      <c r="K195" s="6"/>
      <c r="L195" s="6"/>
      <c r="M195" s="68"/>
      <c r="N195" s="68"/>
      <c r="O195" s="68"/>
      <c r="P195" s="68"/>
      <c r="Q195" s="68"/>
      <c r="R195" s="87"/>
      <c r="S195" s="87"/>
      <c r="T195" s="87"/>
      <c r="U195" s="87"/>
      <c r="V195" s="87"/>
      <c r="W195" s="799"/>
      <c r="X195" s="49"/>
      <c r="Y195" s="988" t="s">
        <v>783</v>
      </c>
      <c r="Z195" s="967" t="s">
        <v>1098</v>
      </c>
    </row>
    <row r="196" spans="1:26" ht="27" customHeight="1">
      <c r="A196" s="969"/>
      <c r="B196" s="547" t="s">
        <v>24</v>
      </c>
      <c r="C196" s="11"/>
      <c r="D196" s="127"/>
      <c r="E196" s="127"/>
      <c r="F196" s="11"/>
      <c r="G196" s="11"/>
      <c r="H196" s="12"/>
      <c r="I196" s="6"/>
      <c r="J196" s="6"/>
      <c r="K196" s="6"/>
      <c r="L196" s="6"/>
      <c r="M196" s="68"/>
      <c r="N196" s="68"/>
      <c r="O196" s="68"/>
      <c r="P196" s="68"/>
      <c r="Q196" s="68"/>
      <c r="R196" s="87"/>
      <c r="S196" s="87"/>
      <c r="T196" s="87"/>
      <c r="U196" s="87"/>
      <c r="V196" s="87"/>
      <c r="W196" s="68"/>
      <c r="X196" s="891">
        <v>2.25</v>
      </c>
      <c r="Y196" s="988"/>
      <c r="Z196" s="967"/>
    </row>
    <row r="197" spans="1:26" ht="27" customHeight="1">
      <c r="A197" s="969"/>
      <c r="B197" s="547" t="s">
        <v>237</v>
      </c>
      <c r="C197" s="11">
        <v>124</v>
      </c>
      <c r="D197" s="127" t="s">
        <v>494</v>
      </c>
      <c r="E197" s="127" t="s">
        <v>495</v>
      </c>
      <c r="F197" s="11">
        <v>6100702780</v>
      </c>
      <c r="G197" s="11">
        <v>414</v>
      </c>
      <c r="H197" s="12"/>
      <c r="I197" s="6"/>
      <c r="J197" s="6"/>
      <c r="K197" s="6"/>
      <c r="L197" s="6"/>
      <c r="M197" s="68"/>
      <c r="N197" s="68"/>
      <c r="O197" s="68"/>
      <c r="P197" s="68"/>
      <c r="Q197" s="68"/>
      <c r="R197" s="68">
        <f t="shared" ref="R197:X197" si="22">R198</f>
        <v>399188</v>
      </c>
      <c r="S197" s="68">
        <f t="shared" si="22"/>
        <v>0</v>
      </c>
      <c r="T197" s="68">
        <f t="shared" si="22"/>
        <v>102612.9</v>
      </c>
      <c r="U197" s="68">
        <f t="shared" si="22"/>
        <v>275843.20000000001</v>
      </c>
      <c r="V197" s="68">
        <f t="shared" si="22"/>
        <v>20731.900000000001</v>
      </c>
      <c r="W197" s="68">
        <f t="shared" si="22"/>
        <v>890143.9</v>
      </c>
      <c r="X197" s="49">
        <f t="shared" si="22"/>
        <v>0</v>
      </c>
      <c r="Y197" s="988"/>
      <c r="Z197" s="967"/>
    </row>
    <row r="198" spans="1:26" ht="27" customHeight="1">
      <c r="A198" s="969"/>
      <c r="B198" s="547" t="s">
        <v>10</v>
      </c>
      <c r="C198" s="11">
        <v>124</v>
      </c>
      <c r="D198" s="127" t="s">
        <v>494</v>
      </c>
      <c r="E198" s="127" t="s">
        <v>495</v>
      </c>
      <c r="F198" s="11">
        <v>6100702780</v>
      </c>
      <c r="G198" s="11">
        <v>414</v>
      </c>
      <c r="H198" s="12"/>
      <c r="I198" s="6"/>
      <c r="J198" s="6"/>
      <c r="K198" s="6"/>
      <c r="L198" s="6"/>
      <c r="M198" s="68"/>
      <c r="N198" s="68"/>
      <c r="O198" s="68"/>
      <c r="P198" s="68"/>
      <c r="Q198" s="68"/>
      <c r="R198" s="68">
        <f>S198+T198+U198+V198</f>
        <v>399188</v>
      </c>
      <c r="S198" s="68">
        <v>0</v>
      </c>
      <c r="T198" s="68">
        <v>102612.9</v>
      </c>
      <c r="U198" s="68">
        <v>275843.20000000001</v>
      </c>
      <c r="V198" s="68">
        <v>20731.900000000001</v>
      </c>
      <c r="W198" s="68">
        <v>890143.9</v>
      </c>
      <c r="X198" s="49">
        <v>0</v>
      </c>
      <c r="Y198" s="988"/>
      <c r="Z198" s="967"/>
    </row>
    <row r="199" spans="1:26" ht="27" customHeight="1">
      <c r="A199" s="969"/>
      <c r="B199" s="547" t="s">
        <v>443</v>
      </c>
      <c r="C199" s="11"/>
      <c r="D199" s="127"/>
      <c r="E199" s="127"/>
      <c r="F199" s="11"/>
      <c r="G199" s="11"/>
      <c r="H199" s="12"/>
      <c r="I199" s="6"/>
      <c r="J199" s="6"/>
      <c r="K199" s="6"/>
      <c r="L199" s="6"/>
      <c r="M199" s="68"/>
      <c r="N199" s="68"/>
      <c r="O199" s="68"/>
      <c r="P199" s="68"/>
      <c r="Q199" s="68"/>
      <c r="R199" s="68"/>
      <c r="S199" s="68"/>
      <c r="T199" s="68"/>
      <c r="U199" s="68"/>
      <c r="V199" s="68"/>
      <c r="W199" s="68"/>
      <c r="X199" s="49"/>
      <c r="Y199" s="988"/>
      <c r="Z199" s="967"/>
    </row>
    <row r="200" spans="1:26" ht="27" customHeight="1">
      <c r="A200" s="969"/>
      <c r="B200" s="851" t="s">
        <v>442</v>
      </c>
      <c r="C200" s="777"/>
      <c r="D200" s="127"/>
      <c r="E200" s="127"/>
      <c r="F200" s="777"/>
      <c r="G200" s="777"/>
      <c r="H200" s="12"/>
      <c r="I200" s="6"/>
      <c r="J200" s="6"/>
      <c r="K200" s="6"/>
      <c r="L200" s="6"/>
      <c r="M200" s="68"/>
      <c r="N200" s="68"/>
      <c r="O200" s="68"/>
      <c r="P200" s="68"/>
      <c r="Q200" s="68"/>
      <c r="R200" s="68"/>
      <c r="S200" s="68"/>
      <c r="T200" s="68"/>
      <c r="U200" s="68"/>
      <c r="V200" s="68"/>
      <c r="W200" s="68"/>
      <c r="X200" s="49"/>
      <c r="Y200" s="988"/>
      <c r="Z200" s="967"/>
    </row>
    <row r="201" spans="1:26" ht="39" customHeight="1">
      <c r="A201" s="969"/>
      <c r="B201" s="547" t="s">
        <v>454</v>
      </c>
      <c r="C201" s="11"/>
      <c r="D201" s="127"/>
      <c r="E201" s="127"/>
      <c r="F201" s="11"/>
      <c r="G201" s="11"/>
      <c r="H201" s="12"/>
      <c r="I201" s="6"/>
      <c r="J201" s="6"/>
      <c r="K201" s="6"/>
      <c r="L201" s="6"/>
      <c r="M201" s="68"/>
      <c r="N201" s="68"/>
      <c r="O201" s="68"/>
      <c r="P201" s="68"/>
      <c r="Q201" s="68"/>
      <c r="R201" s="68"/>
      <c r="S201" s="68"/>
      <c r="T201" s="68"/>
      <c r="U201" s="68"/>
      <c r="V201" s="68"/>
      <c r="W201" s="68"/>
      <c r="X201" s="49"/>
      <c r="Y201" s="988"/>
      <c r="Z201" s="967"/>
    </row>
    <row r="202" spans="1:26" ht="120" customHeight="1">
      <c r="A202" s="970"/>
      <c r="B202" s="547" t="s">
        <v>1061</v>
      </c>
      <c r="C202" s="11"/>
      <c r="D202" s="127"/>
      <c r="E202" s="127"/>
      <c r="F202" s="11"/>
      <c r="G202" s="11"/>
      <c r="H202" s="12"/>
      <c r="I202" s="6"/>
      <c r="J202" s="6"/>
      <c r="K202" s="6"/>
      <c r="L202" s="6"/>
      <c r="M202" s="68"/>
      <c r="N202" s="68"/>
      <c r="O202" s="68"/>
      <c r="P202" s="68"/>
      <c r="Q202" s="68"/>
      <c r="R202" s="68"/>
      <c r="S202" s="68"/>
      <c r="T202" s="68"/>
      <c r="U202" s="68"/>
      <c r="V202" s="68"/>
      <c r="W202" s="68"/>
      <c r="X202" s="49"/>
      <c r="Y202" s="988"/>
      <c r="Z202" s="967"/>
    </row>
    <row r="203" spans="1:26" ht="27" customHeight="1">
      <c r="A203" s="968" t="s">
        <v>1090</v>
      </c>
      <c r="B203" s="547" t="s">
        <v>89</v>
      </c>
      <c r="C203" s="11"/>
      <c r="D203" s="127"/>
      <c r="E203" s="127"/>
      <c r="F203" s="11"/>
      <c r="G203" s="11"/>
      <c r="H203" s="12"/>
      <c r="I203" s="6"/>
      <c r="J203" s="6"/>
      <c r="K203" s="6"/>
      <c r="L203" s="6"/>
      <c r="M203" s="68"/>
      <c r="N203" s="68"/>
      <c r="O203" s="68"/>
      <c r="P203" s="68"/>
      <c r="Q203" s="68"/>
      <c r="R203" s="68"/>
      <c r="S203" s="68"/>
      <c r="T203" s="68"/>
      <c r="U203" s="68"/>
      <c r="V203" s="68"/>
      <c r="W203" s="68"/>
      <c r="X203" s="800"/>
      <c r="Y203" s="982" t="s">
        <v>783</v>
      </c>
      <c r="Z203" s="968" t="s">
        <v>1099</v>
      </c>
    </row>
    <row r="204" spans="1:26" ht="27" customHeight="1">
      <c r="A204" s="969"/>
      <c r="B204" s="547" t="s">
        <v>24</v>
      </c>
      <c r="C204" s="11"/>
      <c r="D204" s="127"/>
      <c r="E204" s="127"/>
      <c r="F204" s="11"/>
      <c r="G204" s="11"/>
      <c r="H204" s="12"/>
      <c r="I204" s="6"/>
      <c r="J204" s="6"/>
      <c r="K204" s="6"/>
      <c r="L204" s="6"/>
      <c r="M204" s="68"/>
      <c r="N204" s="68"/>
      <c r="O204" s="68"/>
      <c r="P204" s="68"/>
      <c r="Q204" s="68"/>
      <c r="R204" s="68"/>
      <c r="S204" s="68"/>
      <c r="T204" s="68"/>
      <c r="U204" s="68"/>
      <c r="V204" s="68"/>
      <c r="W204" s="857">
        <v>0.64500000000000002</v>
      </c>
      <c r="X204" s="49"/>
      <c r="Y204" s="983"/>
      <c r="Z204" s="969"/>
    </row>
    <row r="205" spans="1:26" ht="27" customHeight="1">
      <c r="A205" s="969"/>
      <c r="B205" s="547" t="s">
        <v>237</v>
      </c>
      <c r="C205" s="11">
        <v>124</v>
      </c>
      <c r="D205" s="127" t="s">
        <v>494</v>
      </c>
      <c r="E205" s="127" t="s">
        <v>495</v>
      </c>
      <c r="F205" s="11">
        <v>6100702780</v>
      </c>
      <c r="G205" s="11">
        <v>414</v>
      </c>
      <c r="H205" s="12"/>
      <c r="I205" s="6"/>
      <c r="J205" s="6"/>
      <c r="K205" s="6"/>
      <c r="L205" s="6"/>
      <c r="M205" s="68"/>
      <c r="N205" s="68"/>
      <c r="O205" s="68"/>
      <c r="P205" s="68"/>
      <c r="Q205" s="68"/>
      <c r="R205" s="68">
        <f t="shared" ref="R205:X205" si="23">R206</f>
        <v>47988.9</v>
      </c>
      <c r="S205" s="68">
        <f t="shared" si="23"/>
        <v>0</v>
      </c>
      <c r="T205" s="68">
        <f t="shared" si="23"/>
        <v>47988.9</v>
      </c>
      <c r="U205" s="68">
        <f t="shared" si="23"/>
        <v>0</v>
      </c>
      <c r="V205" s="68">
        <f t="shared" si="23"/>
        <v>0</v>
      </c>
      <c r="W205" s="68">
        <f t="shared" si="23"/>
        <v>138707.9</v>
      </c>
      <c r="X205" s="49">
        <f t="shared" si="23"/>
        <v>0</v>
      </c>
      <c r="Y205" s="983"/>
      <c r="Z205" s="969"/>
    </row>
    <row r="206" spans="1:26" ht="27" customHeight="1">
      <c r="A206" s="969"/>
      <c r="B206" s="547" t="s">
        <v>10</v>
      </c>
      <c r="C206" s="11">
        <v>124</v>
      </c>
      <c r="D206" s="127" t="s">
        <v>494</v>
      </c>
      <c r="E206" s="127" t="s">
        <v>495</v>
      </c>
      <c r="F206" s="11">
        <v>6100702780</v>
      </c>
      <c r="G206" s="11">
        <v>414</v>
      </c>
      <c r="H206" s="12"/>
      <c r="I206" s="6"/>
      <c r="J206" s="6"/>
      <c r="K206" s="6"/>
      <c r="L206" s="6"/>
      <c r="M206" s="68"/>
      <c r="N206" s="68"/>
      <c r="O206" s="68"/>
      <c r="P206" s="68"/>
      <c r="Q206" s="68"/>
      <c r="R206" s="87">
        <f>S206+T206+U206+V206</f>
        <v>47988.9</v>
      </c>
      <c r="S206" s="87">
        <v>0</v>
      </c>
      <c r="T206" s="87">
        <v>47988.9</v>
      </c>
      <c r="U206" s="87">
        <v>0</v>
      </c>
      <c r="V206" s="87">
        <v>0</v>
      </c>
      <c r="W206" s="68">
        <v>138707.9</v>
      </c>
      <c r="X206" s="49">
        <v>0</v>
      </c>
      <c r="Y206" s="983"/>
      <c r="Z206" s="969"/>
    </row>
    <row r="207" spans="1:26" ht="27" customHeight="1">
      <c r="A207" s="969"/>
      <c r="B207" s="547" t="s">
        <v>443</v>
      </c>
      <c r="C207" s="11"/>
      <c r="D207" s="127"/>
      <c r="E207" s="127"/>
      <c r="F207" s="11"/>
      <c r="G207" s="11"/>
      <c r="H207" s="12"/>
      <c r="I207" s="6"/>
      <c r="J207" s="6"/>
      <c r="K207" s="6"/>
      <c r="L207" s="6"/>
      <c r="M207" s="68"/>
      <c r="N207" s="68"/>
      <c r="O207" s="68"/>
      <c r="P207" s="68"/>
      <c r="Q207" s="68"/>
      <c r="R207" s="87"/>
      <c r="S207" s="87"/>
      <c r="T207" s="87"/>
      <c r="U207" s="87"/>
      <c r="V207" s="87"/>
      <c r="W207" s="68"/>
      <c r="X207" s="49"/>
      <c r="Y207" s="983"/>
      <c r="Z207" s="969"/>
    </row>
    <row r="208" spans="1:26" ht="27" customHeight="1">
      <c r="A208" s="969"/>
      <c r="B208" s="547" t="s">
        <v>442</v>
      </c>
      <c r="C208" s="11"/>
      <c r="D208" s="127"/>
      <c r="E208" s="127"/>
      <c r="F208" s="11"/>
      <c r="G208" s="11"/>
      <c r="H208" s="12"/>
      <c r="I208" s="6"/>
      <c r="J208" s="6"/>
      <c r="K208" s="6"/>
      <c r="L208" s="6"/>
      <c r="M208" s="68"/>
      <c r="N208" s="68"/>
      <c r="O208" s="68"/>
      <c r="P208" s="68"/>
      <c r="Q208" s="68"/>
      <c r="R208" s="87"/>
      <c r="S208" s="87"/>
      <c r="T208" s="87"/>
      <c r="U208" s="87"/>
      <c r="V208" s="87"/>
      <c r="W208" s="68"/>
      <c r="X208" s="49"/>
      <c r="Y208" s="983"/>
      <c r="Z208" s="969"/>
    </row>
    <row r="209" spans="1:61" ht="27" customHeight="1">
      <c r="A209" s="969"/>
      <c r="B209" s="851" t="s">
        <v>454</v>
      </c>
      <c r="C209" s="777"/>
      <c r="D209" s="127"/>
      <c r="E209" s="127"/>
      <c r="F209" s="777"/>
      <c r="G209" s="777"/>
      <c r="H209" s="12"/>
      <c r="I209" s="6"/>
      <c r="J209" s="6"/>
      <c r="K209" s="6"/>
      <c r="L209" s="6"/>
      <c r="M209" s="68"/>
      <c r="N209" s="68"/>
      <c r="O209" s="68"/>
      <c r="P209" s="68"/>
      <c r="Q209" s="68"/>
      <c r="R209" s="87"/>
      <c r="S209" s="87"/>
      <c r="T209" s="87"/>
      <c r="U209" s="87"/>
      <c r="V209" s="87"/>
      <c r="W209" s="68"/>
      <c r="X209" s="49"/>
      <c r="Y209" s="983"/>
      <c r="Z209" s="969"/>
    </row>
    <row r="210" spans="1:61" s="515" customFormat="1" ht="96.75" customHeight="1">
      <c r="A210" s="970"/>
      <c r="B210" s="547" t="s">
        <v>1061</v>
      </c>
      <c r="C210" s="516"/>
      <c r="D210" s="523"/>
      <c r="E210" s="523"/>
      <c r="F210" s="516"/>
      <c r="G210" s="516"/>
      <c r="H210" s="524"/>
      <c r="I210" s="525"/>
      <c r="J210" s="525"/>
      <c r="K210" s="525"/>
      <c r="L210" s="525"/>
      <c r="M210" s="526"/>
      <c r="N210" s="526"/>
      <c r="O210" s="526"/>
      <c r="P210" s="526"/>
      <c r="Q210" s="526"/>
      <c r="R210" s="527"/>
      <c r="S210" s="527"/>
      <c r="T210" s="527"/>
      <c r="U210" s="527"/>
      <c r="V210" s="527"/>
      <c r="W210" s="526"/>
      <c r="X210" s="528"/>
      <c r="Y210" s="984"/>
      <c r="Z210" s="970"/>
      <c r="AA210" s="538"/>
    </row>
    <row r="211" spans="1:61" ht="31.5" customHeight="1">
      <c r="A211" s="1017" t="s">
        <v>1096</v>
      </c>
      <c r="B211" s="551" t="s">
        <v>497</v>
      </c>
      <c r="C211" s="316"/>
      <c r="D211" s="336"/>
      <c r="E211" s="336"/>
      <c r="F211" s="316"/>
      <c r="G211" s="316"/>
      <c r="H211" s="30" t="e">
        <f>H96+H145</f>
        <v>#REF!</v>
      </c>
      <c r="I211" s="30" t="e">
        <f>I96+I145</f>
        <v>#REF!</v>
      </c>
      <c r="J211" s="30" t="e">
        <f>J96+J145</f>
        <v>#REF!</v>
      </c>
      <c r="K211" s="30" t="e">
        <f>K96+K145</f>
        <v>#REF!</v>
      </c>
      <c r="L211" s="30" t="e">
        <f>L96+L145</f>
        <v>#REF!</v>
      </c>
      <c r="M211" s="74" t="e">
        <f>M214+M220+M222+M223</f>
        <v>#REF!</v>
      </c>
      <c r="N211" s="74" t="e">
        <f>N214+N220+N222+N223</f>
        <v>#REF!</v>
      </c>
      <c r="O211" s="74" t="e">
        <f>O214+O220+O222+O223</f>
        <v>#REF!</v>
      </c>
      <c r="P211" s="74" t="e">
        <f>P214+P220+P222+P223</f>
        <v>#REF!</v>
      </c>
      <c r="Q211" s="74" t="e">
        <f>Q214+Q220+Q222+Q223</f>
        <v>#REF!</v>
      </c>
      <c r="R211" s="317">
        <f t="shared" ref="R211:X211" si="24">R212+R218+R223</f>
        <v>3043114.1</v>
      </c>
      <c r="S211" s="317">
        <f t="shared" si="24"/>
        <v>235706.4</v>
      </c>
      <c r="T211" s="317">
        <f t="shared" si="24"/>
        <v>888085.9</v>
      </c>
      <c r="U211" s="317">
        <f t="shared" si="24"/>
        <v>437346.80000000005</v>
      </c>
      <c r="V211" s="317">
        <f t="shared" si="24"/>
        <v>1481975</v>
      </c>
      <c r="W211" s="74">
        <f t="shared" si="24"/>
        <v>12730518.399999999</v>
      </c>
      <c r="X211" s="317">
        <f t="shared" si="24"/>
        <v>12124950.399999999</v>
      </c>
      <c r="Y211" s="320"/>
      <c r="Z211" s="321"/>
      <c r="AA211" s="539"/>
      <c r="AB211" s="323"/>
      <c r="AC211" s="323"/>
      <c r="AD211" s="323"/>
      <c r="AE211" s="323"/>
      <c r="AF211" s="466"/>
      <c r="AG211" s="323"/>
      <c r="AH211" s="323"/>
      <c r="AI211" s="323"/>
      <c r="AJ211" s="323"/>
      <c r="AK211" s="323"/>
      <c r="AL211" s="323"/>
      <c r="AM211" s="323"/>
      <c r="AN211" s="323"/>
      <c r="AO211" s="323"/>
      <c r="AP211" s="323"/>
      <c r="AQ211" s="323"/>
      <c r="AR211" s="323"/>
      <c r="AS211" s="323"/>
      <c r="AT211" s="323"/>
      <c r="AU211" s="323"/>
      <c r="AV211" s="323"/>
      <c r="AW211" s="323"/>
      <c r="AX211" s="323"/>
      <c r="AY211" s="323"/>
      <c r="AZ211" s="323"/>
      <c r="BA211" s="323"/>
      <c r="BB211" s="323"/>
      <c r="BC211" s="323"/>
      <c r="BD211" s="323"/>
      <c r="BE211" s="323"/>
      <c r="BF211" s="323"/>
      <c r="BG211" s="323"/>
      <c r="BH211" s="323"/>
      <c r="BI211" s="324"/>
    </row>
    <row r="212" spans="1:61" ht="24" customHeight="1">
      <c r="A212" s="1004"/>
      <c r="B212" s="551" t="s">
        <v>249</v>
      </c>
      <c r="C212" s="365"/>
      <c r="D212" s="336" t="s">
        <v>494</v>
      </c>
      <c r="E212" s="336" t="s">
        <v>495</v>
      </c>
      <c r="F212" s="365" t="s">
        <v>550</v>
      </c>
      <c r="G212" s="365">
        <v>414</v>
      </c>
      <c r="H212" s="30"/>
      <c r="I212" s="30"/>
      <c r="J212" s="30"/>
      <c r="K212" s="30"/>
      <c r="L212" s="30"/>
      <c r="M212" s="74"/>
      <c r="N212" s="74"/>
      <c r="O212" s="74"/>
      <c r="P212" s="74"/>
      <c r="Q212" s="74"/>
      <c r="R212" s="317">
        <f t="shared" ref="R212:X212" si="25">R213+R214+R215+R216+R217</f>
        <v>1999655.7000000002</v>
      </c>
      <c r="S212" s="317">
        <f t="shared" si="25"/>
        <v>235706.4</v>
      </c>
      <c r="T212" s="317">
        <f t="shared" si="25"/>
        <v>388085.9</v>
      </c>
      <c r="U212" s="317">
        <f t="shared" si="25"/>
        <v>437346.80000000005</v>
      </c>
      <c r="V212" s="317">
        <f t="shared" si="25"/>
        <v>938516.6</v>
      </c>
      <c r="W212" s="317">
        <f t="shared" si="25"/>
        <v>3111137.3</v>
      </c>
      <c r="X212" s="317">
        <f t="shared" si="25"/>
        <v>1277232.6000000001</v>
      </c>
      <c r="Y212" s="320"/>
      <c r="Z212" s="321"/>
      <c r="AA212" s="537"/>
      <c r="AB212" s="323"/>
      <c r="AC212" s="323"/>
      <c r="AD212" s="323"/>
      <c r="AE212" s="323"/>
      <c r="AF212" s="466"/>
      <c r="AG212" s="323"/>
      <c r="AH212" s="323"/>
      <c r="AI212" s="323"/>
      <c r="AJ212" s="323"/>
      <c r="AK212" s="323"/>
      <c r="AL212" s="323"/>
      <c r="AM212" s="323"/>
      <c r="AN212" s="323"/>
      <c r="AO212" s="323"/>
      <c r="AP212" s="323"/>
      <c r="AQ212" s="323"/>
      <c r="AR212" s="323"/>
      <c r="AS212" s="323"/>
      <c r="AT212" s="323"/>
      <c r="AU212" s="323"/>
      <c r="AV212" s="323"/>
      <c r="AW212" s="323"/>
      <c r="AX212" s="323"/>
      <c r="AY212" s="323"/>
      <c r="AZ212" s="323"/>
      <c r="BA212" s="323"/>
      <c r="BB212" s="323"/>
      <c r="BC212" s="323"/>
      <c r="BD212" s="323"/>
      <c r="BE212" s="323"/>
      <c r="BF212" s="323"/>
      <c r="BG212" s="323"/>
      <c r="BH212" s="323"/>
      <c r="BI212" s="323"/>
    </row>
    <row r="213" spans="1:61" ht="23.25" hidden="1" customHeight="1">
      <c r="A213" s="1004"/>
      <c r="B213" s="547" t="s">
        <v>768</v>
      </c>
      <c r="C213" s="11">
        <v>176</v>
      </c>
      <c r="D213" s="127" t="s">
        <v>494</v>
      </c>
      <c r="E213" s="127" t="s">
        <v>495</v>
      </c>
      <c r="F213" s="11" t="s">
        <v>940</v>
      </c>
      <c r="G213" s="11">
        <v>414</v>
      </c>
      <c r="H213" s="6"/>
      <c r="I213" s="6"/>
      <c r="J213" s="6"/>
      <c r="K213" s="6"/>
      <c r="L213" s="6"/>
      <c r="M213" s="68"/>
      <c r="N213" s="68"/>
      <c r="O213" s="68"/>
      <c r="P213" s="68"/>
      <c r="Q213" s="68"/>
      <c r="R213" s="68">
        <f t="shared" ref="R213:X213" si="26">R99</f>
        <v>150588.20000000001</v>
      </c>
      <c r="S213" s="68">
        <f t="shared" si="26"/>
        <v>0</v>
      </c>
      <c r="T213" s="68">
        <f t="shared" si="26"/>
        <v>0</v>
      </c>
      <c r="U213" s="68">
        <f t="shared" si="26"/>
        <v>0</v>
      </c>
      <c r="V213" s="68">
        <f t="shared" si="26"/>
        <v>150588.20000000001</v>
      </c>
      <c r="W213" s="68">
        <f t="shared" si="26"/>
        <v>177869.2</v>
      </c>
      <c r="X213" s="68">
        <f t="shared" si="26"/>
        <v>257000</v>
      </c>
      <c r="Y213" s="26"/>
      <c r="Z213" s="26"/>
    </row>
    <row r="214" spans="1:61" ht="30" hidden="1" customHeight="1">
      <c r="A214" s="1004"/>
      <c r="B214" s="547" t="s">
        <v>10</v>
      </c>
      <c r="C214" s="11">
        <v>176</v>
      </c>
      <c r="D214" s="127" t="s">
        <v>494</v>
      </c>
      <c r="E214" s="127" t="s">
        <v>495</v>
      </c>
      <c r="F214" s="11">
        <v>6100602920</v>
      </c>
      <c r="G214" s="11">
        <v>414</v>
      </c>
      <c r="H214" s="6" t="e">
        <f>H99</f>
        <v>#REF!</v>
      </c>
      <c r="I214" s="6" t="e">
        <f>I99</f>
        <v>#REF!</v>
      </c>
      <c r="J214" s="6" t="e">
        <f>J99</f>
        <v>#REF!</v>
      </c>
      <c r="K214" s="6" t="e">
        <f>K99</f>
        <v>#REF!</v>
      </c>
      <c r="L214" s="6" t="e">
        <f>L99</f>
        <v>#REF!</v>
      </c>
      <c r="M214" s="68" t="e">
        <f>M99+M160</f>
        <v>#REF!</v>
      </c>
      <c r="N214" s="68" t="e">
        <f>N99+N160</f>
        <v>#REF!</v>
      </c>
      <c r="O214" s="68" t="e">
        <f>O99+O160</f>
        <v>#REF!</v>
      </c>
      <c r="P214" s="68" t="e">
        <f>P99+P160</f>
        <v>#REF!</v>
      </c>
      <c r="Q214" s="68" t="e">
        <f>Q99+Q160</f>
        <v>#REF!</v>
      </c>
      <c r="R214" s="68">
        <f t="shared" ref="R214:X214" si="27">R182</f>
        <v>0</v>
      </c>
      <c r="S214" s="68">
        <f t="shared" si="27"/>
        <v>0</v>
      </c>
      <c r="T214" s="68">
        <f t="shared" si="27"/>
        <v>0</v>
      </c>
      <c r="U214" s="68">
        <f t="shared" si="27"/>
        <v>0</v>
      </c>
      <c r="V214" s="68">
        <f t="shared" si="27"/>
        <v>0</v>
      </c>
      <c r="W214" s="68">
        <f t="shared" si="27"/>
        <v>0</v>
      </c>
      <c r="X214" s="68">
        <f t="shared" si="27"/>
        <v>0</v>
      </c>
      <c r="Y214" s="26"/>
      <c r="Z214" s="333"/>
    </row>
    <row r="215" spans="1:61" ht="30" hidden="1" customHeight="1">
      <c r="A215" s="1004"/>
      <c r="B215" s="547" t="s">
        <v>10</v>
      </c>
      <c r="C215" s="542">
        <v>124</v>
      </c>
      <c r="D215" s="127" t="s">
        <v>494</v>
      </c>
      <c r="E215" s="127" t="s">
        <v>495</v>
      </c>
      <c r="F215" s="542">
        <v>6100702780</v>
      </c>
      <c r="G215" s="542">
        <v>414</v>
      </c>
      <c r="H215" s="6"/>
      <c r="I215" s="6"/>
      <c r="J215" s="6"/>
      <c r="K215" s="6"/>
      <c r="L215" s="6"/>
      <c r="M215" s="68"/>
      <c r="N215" s="68"/>
      <c r="O215" s="68"/>
      <c r="P215" s="68"/>
      <c r="Q215" s="68"/>
      <c r="R215" s="68">
        <f t="shared" ref="R215:X215" si="28">R190</f>
        <v>447176.9</v>
      </c>
      <c r="S215" s="68">
        <f t="shared" si="28"/>
        <v>0</v>
      </c>
      <c r="T215" s="68">
        <f t="shared" si="28"/>
        <v>150601.79999999999</v>
      </c>
      <c r="U215" s="68">
        <f t="shared" si="28"/>
        <v>275843.20000000001</v>
      </c>
      <c r="V215" s="68">
        <f t="shared" si="28"/>
        <v>20731.900000000001</v>
      </c>
      <c r="W215" s="68">
        <f t="shared" si="28"/>
        <v>1028851.8</v>
      </c>
      <c r="X215" s="68">
        <f t="shared" si="28"/>
        <v>0</v>
      </c>
      <c r="Y215" s="26"/>
      <c r="Z215" s="333"/>
    </row>
    <row r="216" spans="1:61" ht="30" hidden="1" customHeight="1">
      <c r="A216" s="1004"/>
      <c r="B216" s="637" t="s">
        <v>249</v>
      </c>
      <c r="C216" s="638">
        <v>176</v>
      </c>
      <c r="D216" s="127" t="s">
        <v>494</v>
      </c>
      <c r="E216" s="127" t="s">
        <v>495</v>
      </c>
      <c r="F216" s="638">
        <v>6100102770</v>
      </c>
      <c r="G216" s="638">
        <v>414</v>
      </c>
      <c r="H216" s="6"/>
      <c r="I216" s="6"/>
      <c r="J216" s="6"/>
      <c r="K216" s="6"/>
      <c r="L216" s="6"/>
      <c r="M216" s="68"/>
      <c r="N216" s="68"/>
      <c r="O216" s="68"/>
      <c r="P216" s="68"/>
      <c r="Q216" s="68"/>
      <c r="R216" s="68">
        <f t="shared" ref="R216:X216" si="29">R100</f>
        <v>706890.6</v>
      </c>
      <c r="S216" s="68">
        <f t="shared" si="29"/>
        <v>0</v>
      </c>
      <c r="T216" s="68">
        <f t="shared" si="29"/>
        <v>0</v>
      </c>
      <c r="U216" s="68">
        <f t="shared" si="29"/>
        <v>0</v>
      </c>
      <c r="V216" s="68">
        <f t="shared" si="29"/>
        <v>706890.6</v>
      </c>
      <c r="W216" s="68">
        <f t="shared" si="29"/>
        <v>404416.30000000005</v>
      </c>
      <c r="X216" s="68">
        <f t="shared" si="29"/>
        <v>1020232.6</v>
      </c>
      <c r="Y216" s="26"/>
      <c r="Z216" s="333"/>
    </row>
    <row r="217" spans="1:61" ht="33.75" hidden="1" customHeight="1">
      <c r="A217" s="1004"/>
      <c r="B217" s="547" t="s">
        <v>669</v>
      </c>
      <c r="C217" s="11">
        <v>176</v>
      </c>
      <c r="D217" s="127" t="s">
        <v>494</v>
      </c>
      <c r="E217" s="127" t="s">
        <v>495</v>
      </c>
      <c r="F217" s="11">
        <v>6100202790</v>
      </c>
      <c r="G217" s="11">
        <v>414</v>
      </c>
      <c r="H217" s="6"/>
      <c r="I217" s="6"/>
      <c r="J217" s="6"/>
      <c r="K217" s="6"/>
      <c r="L217" s="6"/>
      <c r="M217" s="68"/>
      <c r="N217" s="68"/>
      <c r="O217" s="68"/>
      <c r="P217" s="68"/>
      <c r="Q217" s="68"/>
      <c r="R217" s="87">
        <f>R168</f>
        <v>695000</v>
      </c>
      <c r="S217" s="87">
        <f>S160</f>
        <v>235706.4</v>
      </c>
      <c r="T217" s="87">
        <f>T160</f>
        <v>237484.1</v>
      </c>
      <c r="U217" s="87">
        <f>U160</f>
        <v>161503.6</v>
      </c>
      <c r="V217" s="87">
        <f>V168</f>
        <v>60305.9</v>
      </c>
      <c r="W217" s="68">
        <f>W168</f>
        <v>1500000</v>
      </c>
      <c r="X217" s="87">
        <f>X168</f>
        <v>0</v>
      </c>
      <c r="Y217" s="26"/>
      <c r="Z217" s="333"/>
      <c r="AA217" s="313">
        <f>W212-1713804.8</f>
        <v>1397332.4999999998</v>
      </c>
    </row>
    <row r="218" spans="1:61" ht="25.5" customHeight="1">
      <c r="A218" s="1004"/>
      <c r="B218" s="547" t="s">
        <v>443</v>
      </c>
      <c r="C218" s="11">
        <v>176</v>
      </c>
      <c r="D218" s="127" t="s">
        <v>494</v>
      </c>
      <c r="E218" s="127" t="s">
        <v>495</v>
      </c>
      <c r="F218" s="11" t="s">
        <v>550</v>
      </c>
      <c r="G218" s="11">
        <v>414</v>
      </c>
      <c r="H218" s="6"/>
      <c r="I218" s="6"/>
      <c r="J218" s="6"/>
      <c r="K218" s="6"/>
      <c r="L218" s="6"/>
      <c r="M218" s="68"/>
      <c r="N218" s="68"/>
      <c r="O218" s="68"/>
      <c r="P218" s="68"/>
      <c r="Q218" s="68"/>
      <c r="R218" s="87">
        <f t="shared" ref="R218:X218" si="30">R219+R220+R221</f>
        <v>735662.1</v>
      </c>
      <c r="S218" s="87">
        <f t="shared" si="30"/>
        <v>0</v>
      </c>
      <c r="T218" s="87">
        <f t="shared" si="30"/>
        <v>500000</v>
      </c>
      <c r="U218" s="87">
        <f t="shared" si="30"/>
        <v>0</v>
      </c>
      <c r="V218" s="87">
        <f t="shared" si="30"/>
        <v>235662.1</v>
      </c>
      <c r="W218" s="68">
        <f t="shared" si="30"/>
        <v>8206790.0999999996</v>
      </c>
      <c r="X218" s="87">
        <f t="shared" si="30"/>
        <v>9368188.0999999996</v>
      </c>
      <c r="Y218" s="26"/>
      <c r="Z218" s="333"/>
    </row>
    <row r="219" spans="1:61" ht="30" hidden="1" customHeight="1">
      <c r="A219" s="1004"/>
      <c r="B219" s="547" t="s">
        <v>665</v>
      </c>
      <c r="C219" s="11">
        <v>176</v>
      </c>
      <c r="D219" s="127" t="s">
        <v>494</v>
      </c>
      <c r="E219" s="127" t="s">
        <v>495</v>
      </c>
      <c r="F219" s="11" t="s">
        <v>666</v>
      </c>
      <c r="G219" s="11">
        <v>415</v>
      </c>
      <c r="H219" s="6"/>
      <c r="I219" s="6"/>
      <c r="J219" s="6"/>
      <c r="K219" s="6"/>
      <c r="L219" s="6"/>
      <c r="M219" s="68"/>
      <c r="N219" s="68"/>
      <c r="O219" s="68"/>
      <c r="P219" s="68"/>
      <c r="Q219" s="68"/>
      <c r="R219" s="87">
        <f t="shared" ref="R219:X219" si="31">R169</f>
        <v>500000</v>
      </c>
      <c r="S219" s="87">
        <f t="shared" si="31"/>
        <v>0</v>
      </c>
      <c r="T219" s="87">
        <f t="shared" si="31"/>
        <v>500000</v>
      </c>
      <c r="U219" s="87">
        <f t="shared" si="31"/>
        <v>0</v>
      </c>
      <c r="V219" s="87">
        <f t="shared" si="31"/>
        <v>0</v>
      </c>
      <c r="W219" s="68">
        <f t="shared" si="31"/>
        <v>8101500</v>
      </c>
      <c r="X219" s="87">
        <f t="shared" si="31"/>
        <v>9258420.6999999993</v>
      </c>
      <c r="Y219" s="26"/>
      <c r="Z219" s="26"/>
    </row>
    <row r="220" spans="1:61" ht="32.25" hidden="1" customHeight="1">
      <c r="A220" s="1004"/>
      <c r="B220" s="547" t="s">
        <v>769</v>
      </c>
      <c r="C220" s="11">
        <v>176</v>
      </c>
      <c r="D220" s="127" t="s">
        <v>494</v>
      </c>
      <c r="E220" s="127" t="s">
        <v>495</v>
      </c>
      <c r="F220" s="11" t="s">
        <v>940</v>
      </c>
      <c r="G220" s="11">
        <v>414</v>
      </c>
      <c r="H220" s="6" t="e">
        <f>H101</f>
        <v>#REF!</v>
      </c>
      <c r="I220" s="6" t="e">
        <f>I101</f>
        <v>#REF!</v>
      </c>
      <c r="J220" s="6" t="e">
        <f>J101</f>
        <v>#REF!</v>
      </c>
      <c r="K220" s="6" t="e">
        <f>K101</f>
        <v>#REF!</v>
      </c>
      <c r="L220" s="6" t="e">
        <f>L101</f>
        <v>#REF!</v>
      </c>
      <c r="M220" s="68" t="e">
        <f>M101+M161</f>
        <v>#REF!</v>
      </c>
      <c r="N220" s="68"/>
      <c r="O220" s="68"/>
      <c r="P220" s="68" t="e">
        <f>P101+P161</f>
        <v>#REF!</v>
      </c>
      <c r="Q220" s="68" t="e">
        <f>Q101+Q161</f>
        <v>#REF!</v>
      </c>
      <c r="R220" s="68">
        <f t="shared" ref="R220:X220" si="32">R101</f>
        <v>235662.1</v>
      </c>
      <c r="S220" s="68">
        <f t="shared" si="32"/>
        <v>0</v>
      </c>
      <c r="T220" s="68">
        <f t="shared" si="32"/>
        <v>0</v>
      </c>
      <c r="U220" s="68">
        <f t="shared" si="32"/>
        <v>0</v>
      </c>
      <c r="V220" s="68">
        <f t="shared" si="32"/>
        <v>235662.1</v>
      </c>
      <c r="W220" s="68">
        <f t="shared" si="32"/>
        <v>105290.1</v>
      </c>
      <c r="X220" s="68">
        <f t="shared" si="32"/>
        <v>109767.4</v>
      </c>
      <c r="Y220" s="26"/>
      <c r="Z220" s="333"/>
    </row>
    <row r="221" spans="1:61" ht="32.25" hidden="1" customHeight="1">
      <c r="A221" s="1004"/>
      <c r="B221" s="547" t="s">
        <v>664</v>
      </c>
      <c r="C221" s="11">
        <v>176</v>
      </c>
      <c r="D221" s="127" t="s">
        <v>494</v>
      </c>
      <c r="E221" s="127" t="s">
        <v>495</v>
      </c>
      <c r="F221" s="11" t="s">
        <v>563</v>
      </c>
      <c r="G221" s="11">
        <v>414</v>
      </c>
      <c r="H221" s="6"/>
      <c r="I221" s="6"/>
      <c r="J221" s="6"/>
      <c r="K221" s="6"/>
      <c r="L221" s="6"/>
      <c r="M221" s="68"/>
      <c r="N221" s="68"/>
      <c r="O221" s="68"/>
      <c r="P221" s="68"/>
      <c r="Q221" s="68"/>
      <c r="R221" s="68">
        <v>0</v>
      </c>
      <c r="S221" s="68">
        <f>'Подробный перечень(БКАД)'!$H$16</f>
        <v>0</v>
      </c>
      <c r="T221" s="68">
        <f>'Подробный перечень(БКАД)'!$I$16</f>
        <v>0</v>
      </c>
      <c r="U221" s="68">
        <f>'Подробный перечень(БКАД)'!$J$16</f>
        <v>0</v>
      </c>
      <c r="V221" s="68">
        <v>0</v>
      </c>
      <c r="W221" s="68">
        <v>0</v>
      </c>
      <c r="X221" s="68">
        <v>0</v>
      </c>
      <c r="Y221" s="333"/>
      <c r="Z221" s="26"/>
    </row>
    <row r="222" spans="1:61" ht="32.25" customHeight="1">
      <c r="A222" s="1004"/>
      <c r="B222" s="547" t="s">
        <v>442</v>
      </c>
      <c r="C222" s="11"/>
      <c r="D222" s="127"/>
      <c r="E222" s="127"/>
      <c r="F222" s="11"/>
      <c r="G222" s="11"/>
      <c r="H222" s="6">
        <f>H104</f>
        <v>0</v>
      </c>
      <c r="I222" s="6">
        <v>0</v>
      </c>
      <c r="J222" s="6">
        <v>0</v>
      </c>
      <c r="K222" s="6">
        <v>0</v>
      </c>
      <c r="L222" s="6">
        <v>0</v>
      </c>
      <c r="M222" s="68"/>
      <c r="N222" s="68"/>
      <c r="O222" s="68"/>
      <c r="P222" s="68"/>
      <c r="Q222" s="68"/>
      <c r="R222" s="87"/>
      <c r="S222" s="87"/>
      <c r="T222" s="87"/>
      <c r="U222" s="87"/>
      <c r="V222" s="87"/>
      <c r="W222" s="68"/>
      <c r="X222" s="68"/>
      <c r="Y222" s="26"/>
      <c r="Z222" s="26"/>
      <c r="AA222" s="313"/>
    </row>
    <row r="223" spans="1:61" ht="33.75" customHeight="1">
      <c r="A223" s="1004"/>
      <c r="B223" s="547" t="s">
        <v>454</v>
      </c>
      <c r="C223" s="11"/>
      <c r="D223" s="127"/>
      <c r="E223" s="127"/>
      <c r="F223" s="11"/>
      <c r="G223" s="11"/>
      <c r="H223" s="6">
        <v>0</v>
      </c>
      <c r="I223" s="6">
        <v>0</v>
      </c>
      <c r="J223" s="6">
        <v>0</v>
      </c>
      <c r="K223" s="6">
        <v>0</v>
      </c>
      <c r="L223" s="6">
        <v>0</v>
      </c>
      <c r="M223" s="68"/>
      <c r="N223" s="68"/>
      <c r="O223" s="68"/>
      <c r="P223" s="68"/>
      <c r="Q223" s="68"/>
      <c r="R223" s="87">
        <f t="shared" ref="R223:X223" si="33">R171</f>
        <v>307796.3</v>
      </c>
      <c r="S223" s="87">
        <f t="shared" si="33"/>
        <v>0</v>
      </c>
      <c r="T223" s="87">
        <f t="shared" si="33"/>
        <v>0</v>
      </c>
      <c r="U223" s="87">
        <f t="shared" si="33"/>
        <v>0</v>
      </c>
      <c r="V223" s="87">
        <f t="shared" si="33"/>
        <v>307796.3</v>
      </c>
      <c r="W223" s="68">
        <f t="shared" si="33"/>
        <v>1412591</v>
      </c>
      <c r="X223" s="87">
        <f t="shared" si="33"/>
        <v>1479529.7</v>
      </c>
      <c r="Y223" s="26"/>
      <c r="Z223" s="26"/>
      <c r="AA223" s="313"/>
    </row>
    <row r="224" spans="1:61" ht="33.75" customHeight="1">
      <c r="A224" s="1005"/>
      <c r="B224" s="811" t="s">
        <v>1061</v>
      </c>
      <c r="C224" s="777"/>
      <c r="D224" s="127"/>
      <c r="E224" s="127"/>
      <c r="F224" s="777"/>
      <c r="G224" s="777"/>
      <c r="H224" s="6"/>
      <c r="I224" s="6"/>
      <c r="J224" s="6"/>
      <c r="K224" s="6"/>
      <c r="L224" s="6"/>
      <c r="M224" s="68"/>
      <c r="N224" s="68"/>
      <c r="O224" s="68"/>
      <c r="P224" s="68"/>
      <c r="Q224" s="68"/>
      <c r="R224" s="87"/>
      <c r="S224" s="87"/>
      <c r="T224" s="87"/>
      <c r="U224" s="87"/>
      <c r="V224" s="87"/>
      <c r="W224" s="68"/>
      <c r="X224" s="87"/>
      <c r="Y224" s="26"/>
      <c r="Z224" s="26"/>
      <c r="AA224" s="313"/>
    </row>
    <row r="225" spans="1:33" ht="33.75" hidden="1" customHeight="1">
      <c r="A225" s="666"/>
      <c r="B225" s="636"/>
      <c r="C225" s="667"/>
      <c r="D225" s="668"/>
      <c r="E225" s="668"/>
      <c r="F225" s="667" t="s">
        <v>432</v>
      </c>
      <c r="G225" s="667"/>
      <c r="H225" s="669"/>
      <c r="I225" s="669"/>
      <c r="J225" s="669"/>
      <c r="K225" s="669"/>
      <c r="L225" s="669"/>
      <c r="M225" s="670"/>
      <c r="N225" s="670"/>
      <c r="O225" s="670"/>
      <c r="P225" s="670"/>
      <c r="Q225" s="670"/>
      <c r="R225" s="671">
        <f t="shared" ref="R225:X225" si="34">R212+R25-R190</f>
        <v>2126078.6</v>
      </c>
      <c r="S225" s="671">
        <f t="shared" si="34"/>
        <v>241442.69999999998</v>
      </c>
      <c r="T225" s="671">
        <f t="shared" si="34"/>
        <v>237484.10000000003</v>
      </c>
      <c r="U225" s="671">
        <f t="shared" si="34"/>
        <v>161503.60000000003</v>
      </c>
      <c r="V225" s="671">
        <f t="shared" si="34"/>
        <v>1485648.2000000002</v>
      </c>
      <c r="W225" s="671">
        <f t="shared" si="34"/>
        <v>2983285.5</v>
      </c>
      <c r="X225" s="671">
        <f t="shared" si="34"/>
        <v>2437757.5</v>
      </c>
      <c r="Y225" s="671">
        <f>Y212+Y25</f>
        <v>0</v>
      </c>
      <c r="Z225" s="673"/>
      <c r="AA225" s="313"/>
    </row>
    <row r="226" spans="1:33" ht="33.75" hidden="1" customHeight="1">
      <c r="A226" s="666"/>
      <c r="B226" s="714"/>
      <c r="C226" s="667"/>
      <c r="D226" s="668"/>
      <c r="E226" s="668"/>
      <c r="F226" s="667" t="s">
        <v>431</v>
      </c>
      <c r="G226" s="667"/>
      <c r="H226" s="669"/>
      <c r="I226" s="669"/>
      <c r="J226" s="669"/>
      <c r="K226" s="669"/>
      <c r="L226" s="669"/>
      <c r="M226" s="670"/>
      <c r="N226" s="670"/>
      <c r="O226" s="670"/>
      <c r="P226" s="670"/>
      <c r="Q226" s="670"/>
      <c r="R226" s="671">
        <f t="shared" ref="R226:X226" si="35">R218+R34</f>
        <v>1593462.1</v>
      </c>
      <c r="S226" s="671">
        <f t="shared" si="35"/>
        <v>0</v>
      </c>
      <c r="T226" s="671">
        <f t="shared" si="35"/>
        <v>500000</v>
      </c>
      <c r="U226" s="671">
        <f t="shared" si="35"/>
        <v>0</v>
      </c>
      <c r="V226" s="671">
        <f t="shared" si="35"/>
        <v>1093462.1000000001</v>
      </c>
      <c r="W226" s="671">
        <f t="shared" si="35"/>
        <v>9111790.0999999996</v>
      </c>
      <c r="X226" s="671">
        <f t="shared" si="35"/>
        <v>9368188.0999999996</v>
      </c>
      <c r="Y226" s="672"/>
      <c r="Z226" s="673"/>
      <c r="AA226" s="313"/>
    </row>
    <row r="227" spans="1:33" ht="33.75" hidden="1" customHeight="1">
      <c r="A227" s="666"/>
      <c r="B227" s="714"/>
      <c r="C227" s="667"/>
      <c r="D227" s="668"/>
      <c r="E227" s="668"/>
      <c r="F227" s="667"/>
      <c r="G227" s="667"/>
      <c r="H227" s="669"/>
      <c r="I227" s="669"/>
      <c r="J227" s="669"/>
      <c r="K227" s="669"/>
      <c r="L227" s="669"/>
      <c r="M227" s="670"/>
      <c r="N227" s="670"/>
      <c r="O227" s="670"/>
      <c r="P227" s="670"/>
      <c r="Q227" s="670"/>
      <c r="R227" s="671">
        <f t="shared" ref="R227:X227" si="36">R225+R226</f>
        <v>3719540.7</v>
      </c>
      <c r="S227" s="671">
        <f t="shared" si="36"/>
        <v>241442.69999999998</v>
      </c>
      <c r="T227" s="671">
        <f t="shared" si="36"/>
        <v>737484.10000000009</v>
      </c>
      <c r="U227" s="671">
        <f t="shared" si="36"/>
        <v>161503.60000000003</v>
      </c>
      <c r="V227" s="671">
        <f t="shared" si="36"/>
        <v>2579110.3000000003</v>
      </c>
      <c r="W227" s="671">
        <f t="shared" si="36"/>
        <v>12095075.6</v>
      </c>
      <c r="X227" s="671">
        <f t="shared" si="36"/>
        <v>11805945.6</v>
      </c>
      <c r="Y227" s="672"/>
      <c r="Z227" s="673"/>
      <c r="AA227" s="313"/>
    </row>
    <row r="228" spans="1:33" ht="27.75" customHeight="1">
      <c r="A228" s="1001" t="s">
        <v>332</v>
      </c>
      <c r="B228" s="1002"/>
      <c r="C228" s="1002"/>
      <c r="D228" s="1002"/>
      <c r="E228" s="1002"/>
      <c r="F228" s="1002"/>
      <c r="G228" s="1002"/>
      <c r="H228" s="1002"/>
      <c r="I228" s="1002"/>
      <c r="J228" s="1002"/>
      <c r="K228" s="1002"/>
      <c r="L228" s="1002"/>
      <c r="M228" s="1002"/>
      <c r="N228" s="1002"/>
      <c r="O228" s="1002"/>
      <c r="P228" s="1002"/>
      <c r="Q228" s="1002"/>
      <c r="R228" s="1002"/>
      <c r="S228" s="1002"/>
      <c r="T228" s="1002"/>
      <c r="U228" s="1002"/>
      <c r="V228" s="1002"/>
      <c r="W228" s="1002"/>
      <c r="X228" s="1002"/>
      <c r="Y228" s="1002"/>
      <c r="Z228" s="1003"/>
      <c r="AA228" s="313"/>
    </row>
    <row r="229" spans="1:33" ht="25.5" customHeight="1">
      <c r="A229" s="985" t="s">
        <v>194</v>
      </c>
      <c r="B229" s="547" t="s">
        <v>269</v>
      </c>
      <c r="C229" s="11"/>
      <c r="D229" s="127"/>
      <c r="E229" s="127"/>
      <c r="F229" s="11"/>
      <c r="G229" s="11"/>
      <c r="H229" s="12">
        <v>0</v>
      </c>
      <c r="I229" s="12">
        <v>0</v>
      </c>
      <c r="J229" s="12">
        <v>0</v>
      </c>
      <c r="K229" s="12">
        <v>0</v>
      </c>
      <c r="L229" s="12">
        <v>0</v>
      </c>
      <c r="M229" s="49"/>
      <c r="N229" s="49"/>
      <c r="O229" s="49"/>
      <c r="P229" s="49"/>
      <c r="Q229" s="49"/>
      <c r="R229" s="85"/>
      <c r="S229" s="85"/>
      <c r="T229" s="85"/>
      <c r="U229" s="85"/>
      <c r="V229" s="85"/>
      <c r="W229" s="49"/>
      <c r="X229" s="49"/>
      <c r="Y229" s="971" t="s">
        <v>26</v>
      </c>
      <c r="Z229" s="968" t="s">
        <v>192</v>
      </c>
    </row>
    <row r="230" spans="1:33" ht="26.25" customHeight="1">
      <c r="A230" s="986"/>
      <c r="B230" s="547" t="s">
        <v>24</v>
      </c>
      <c r="C230" s="11"/>
      <c r="D230" s="127"/>
      <c r="E230" s="127"/>
      <c r="F230" s="11"/>
      <c r="G230" s="11"/>
      <c r="H230" s="12">
        <v>0</v>
      </c>
      <c r="I230" s="12">
        <v>0</v>
      </c>
      <c r="J230" s="12">
        <v>0</v>
      </c>
      <c r="K230" s="12">
        <v>0</v>
      </c>
      <c r="L230" s="12">
        <v>0</v>
      </c>
      <c r="M230" s="49"/>
      <c r="N230" s="49"/>
      <c r="O230" s="49"/>
      <c r="P230" s="49"/>
      <c r="Q230" s="49"/>
      <c r="R230" s="85"/>
      <c r="S230" s="85" t="s">
        <v>496</v>
      </c>
      <c r="T230" s="85" t="s">
        <v>496</v>
      </c>
      <c r="U230" s="85" t="s">
        <v>496</v>
      </c>
      <c r="V230" s="85" t="s">
        <v>496</v>
      </c>
      <c r="W230" s="49"/>
      <c r="X230" s="49"/>
      <c r="Y230" s="972"/>
      <c r="Z230" s="969"/>
    </row>
    <row r="231" spans="1:33" ht="33" customHeight="1">
      <c r="A231" s="986"/>
      <c r="B231" s="547" t="s">
        <v>25</v>
      </c>
      <c r="C231" s="11">
        <v>176</v>
      </c>
      <c r="D231" s="127" t="s">
        <v>494</v>
      </c>
      <c r="E231" s="127" t="s">
        <v>495</v>
      </c>
      <c r="F231" s="11" t="s">
        <v>550</v>
      </c>
      <c r="G231" s="11" t="s">
        <v>28</v>
      </c>
      <c r="H231" s="12" t="e">
        <f>H233+H234</f>
        <v>#REF!</v>
      </c>
      <c r="I231" s="12" t="e">
        <f t="shared" ref="I231:Q231" si="37">I233</f>
        <v>#REF!</v>
      </c>
      <c r="J231" s="12" t="e">
        <f t="shared" si="37"/>
        <v>#REF!</v>
      </c>
      <c r="K231" s="12" t="e">
        <f t="shared" si="37"/>
        <v>#REF!</v>
      </c>
      <c r="L231" s="12" t="e">
        <f t="shared" si="37"/>
        <v>#REF!</v>
      </c>
      <c r="M231" s="49" t="e">
        <f t="shared" si="37"/>
        <v>#REF!</v>
      </c>
      <c r="N231" s="49" t="e">
        <f t="shared" si="37"/>
        <v>#REF!</v>
      </c>
      <c r="O231" s="49" t="e">
        <f t="shared" si="37"/>
        <v>#REF!</v>
      </c>
      <c r="P231" s="49" t="e">
        <f t="shared" si="37"/>
        <v>#REF!</v>
      </c>
      <c r="Q231" s="49" t="e">
        <f t="shared" si="37"/>
        <v>#REF!</v>
      </c>
      <c r="R231" s="49">
        <f>SUM(R233:R234)</f>
        <v>5784590.8000000017</v>
      </c>
      <c r="S231" s="49">
        <f t="shared" ref="S231:V231" si="38">SUM(S233:S234)</f>
        <v>998726.07045999996</v>
      </c>
      <c r="T231" s="49">
        <f t="shared" si="38"/>
        <v>993036.58594999998</v>
      </c>
      <c r="U231" s="49">
        <f t="shared" si="38"/>
        <v>966489.28530999995</v>
      </c>
      <c r="V231" s="49">
        <f t="shared" si="38"/>
        <v>2826338.8582800012</v>
      </c>
      <c r="W231" s="49">
        <f>SUM(W233:W234)</f>
        <v>4460964.7</v>
      </c>
      <c r="X231" s="49">
        <f t="shared" ref="X231" si="39">SUM(X233:X234)</f>
        <v>7299797.9000000004</v>
      </c>
      <c r="Y231" s="972"/>
      <c r="Z231" s="969"/>
    </row>
    <row r="232" spans="1:33" ht="19.5" customHeight="1">
      <c r="A232" s="986"/>
      <c r="B232" s="547" t="s">
        <v>9</v>
      </c>
      <c r="C232" s="11"/>
      <c r="D232" s="127"/>
      <c r="E232" s="127"/>
      <c r="F232" s="11"/>
      <c r="G232" s="11"/>
      <c r="H232" s="12"/>
      <c r="I232" s="12"/>
      <c r="J232" s="12"/>
      <c r="K232" s="12"/>
      <c r="L232" s="12"/>
      <c r="M232" s="49"/>
      <c r="N232" s="49"/>
      <c r="O232" s="49"/>
      <c r="P232" s="49"/>
      <c r="Q232" s="49"/>
      <c r="R232" s="49"/>
      <c r="S232" s="85"/>
      <c r="T232" s="85"/>
      <c r="U232" s="85"/>
      <c r="V232" s="85"/>
      <c r="W232" s="49"/>
      <c r="X232" s="49"/>
      <c r="Y232" s="972"/>
      <c r="Z232" s="969"/>
      <c r="AG232" s="76"/>
    </row>
    <row r="233" spans="1:33" ht="24" customHeight="1">
      <c r="A233" s="986"/>
      <c r="B233" s="547" t="s">
        <v>10</v>
      </c>
      <c r="C233" s="11">
        <v>176</v>
      </c>
      <c r="D233" s="127" t="s">
        <v>494</v>
      </c>
      <c r="E233" s="127" t="s">
        <v>495</v>
      </c>
      <c r="F233" s="11">
        <v>6100302810</v>
      </c>
      <c r="G233" s="11" t="s">
        <v>28</v>
      </c>
      <c r="H233" s="12" t="e">
        <f>H241+H294+#REF!+H418+H427+H435+H461+H484</f>
        <v>#REF!</v>
      </c>
      <c r="I233" s="12" t="e">
        <f>I241+I295+#REF!+I418+I427+I435+I461+I484</f>
        <v>#REF!</v>
      </c>
      <c r="J233" s="12" t="e">
        <f>J241+J295+#REF!+J418+J427+J435+J461+J484</f>
        <v>#REF!</v>
      </c>
      <c r="K233" s="12" t="e">
        <f>K241+K295+#REF!+K418+K427+K435+K461+K484</f>
        <v>#REF!</v>
      </c>
      <c r="L233" s="12" t="e">
        <f>L241+L295+#REF!+L418+L427+L435+L461+L484</f>
        <v>#REF!</v>
      </c>
      <c r="M233" s="49" t="e">
        <f>M241+M295+#REF!+M418+M427+M435+M461+M484</f>
        <v>#REF!</v>
      </c>
      <c r="N233" s="49" t="e">
        <f>N241+N295+#REF!+N418+N427+N435+N461+N484</f>
        <v>#REF!</v>
      </c>
      <c r="O233" s="49" t="e">
        <f>O241+O295+#REF!+O418+O427+O435+O461+O484</f>
        <v>#REF!</v>
      </c>
      <c r="P233" s="49" t="e">
        <f>P241+P295+#REF!+P418+P427+P435+P461+P484</f>
        <v>#REF!</v>
      </c>
      <c r="Q233" s="49" t="e">
        <f>Q241+Q295+#REF!+Q418+Q427+Q435+Q461+Q484</f>
        <v>#REF!</v>
      </c>
      <c r="R233" s="49">
        <f t="shared" ref="R233:X233" si="40">R241+R294+R363+R418+R435+R461</f>
        <v>5784590.8000000017</v>
      </c>
      <c r="S233" s="49">
        <f t="shared" si="40"/>
        <v>998726.07045999996</v>
      </c>
      <c r="T233" s="49">
        <f t="shared" si="40"/>
        <v>993036.58594999998</v>
      </c>
      <c r="U233" s="49">
        <f t="shared" si="40"/>
        <v>966489.28530999995</v>
      </c>
      <c r="V233" s="49">
        <f t="shared" si="40"/>
        <v>2826338.8582800012</v>
      </c>
      <c r="W233" s="49">
        <f t="shared" si="40"/>
        <v>4460964.7</v>
      </c>
      <c r="X233" s="49">
        <f t="shared" si="40"/>
        <v>7299797.9000000004</v>
      </c>
      <c r="Y233" s="972"/>
      <c r="Z233" s="969"/>
      <c r="AG233" s="76"/>
    </row>
    <row r="234" spans="1:33" ht="18.75" customHeight="1">
      <c r="A234" s="986"/>
      <c r="B234" s="547" t="s">
        <v>443</v>
      </c>
      <c r="C234" s="11">
        <v>176</v>
      </c>
      <c r="D234" s="127" t="s">
        <v>494</v>
      </c>
      <c r="E234" s="127" t="s">
        <v>495</v>
      </c>
      <c r="F234" s="11" t="s">
        <v>666</v>
      </c>
      <c r="G234" s="11" t="s">
        <v>28</v>
      </c>
      <c r="H234" s="12">
        <f>H242+H357</f>
        <v>45736.5</v>
      </c>
      <c r="I234" s="12">
        <v>0</v>
      </c>
      <c r="J234" s="12" t="e">
        <f>J242+J357</f>
        <v>#REF!</v>
      </c>
      <c r="K234" s="12" t="e">
        <f>K242+K357</f>
        <v>#REF!</v>
      </c>
      <c r="L234" s="12">
        <f>L242+L357</f>
        <v>0</v>
      </c>
      <c r="M234" s="69">
        <v>0</v>
      </c>
      <c r="N234" s="69"/>
      <c r="O234" s="69"/>
      <c r="P234" s="69"/>
      <c r="Q234" s="69"/>
      <c r="R234" s="85">
        <f t="shared" ref="R234:X234" si="41">R242+R296+R357</f>
        <v>0</v>
      </c>
      <c r="S234" s="85">
        <f t="shared" si="41"/>
        <v>0</v>
      </c>
      <c r="T234" s="85">
        <f t="shared" si="41"/>
        <v>0</v>
      </c>
      <c r="U234" s="85">
        <f t="shared" si="41"/>
        <v>0</v>
      </c>
      <c r="V234" s="85">
        <f t="shared" si="41"/>
        <v>0</v>
      </c>
      <c r="W234" s="49">
        <f t="shared" si="41"/>
        <v>0</v>
      </c>
      <c r="X234" s="85">
        <f t="shared" si="41"/>
        <v>0</v>
      </c>
      <c r="Y234" s="31"/>
      <c r="Z234" s="969"/>
    </row>
    <row r="235" spans="1:33" ht="19.5" customHeight="1">
      <c r="A235" s="986"/>
      <c r="B235" s="547" t="s">
        <v>442</v>
      </c>
      <c r="C235" s="11"/>
      <c r="D235" s="127"/>
      <c r="E235" s="127"/>
      <c r="F235" s="11"/>
      <c r="G235" s="11"/>
      <c r="H235" s="12">
        <v>0</v>
      </c>
      <c r="I235" s="12">
        <v>0</v>
      </c>
      <c r="J235" s="12">
        <v>0</v>
      </c>
      <c r="K235" s="12">
        <v>0</v>
      </c>
      <c r="L235" s="12">
        <v>0</v>
      </c>
      <c r="M235" s="69">
        <v>0</v>
      </c>
      <c r="N235" s="69"/>
      <c r="O235" s="69"/>
      <c r="P235" s="69"/>
      <c r="Q235" s="69"/>
      <c r="R235" s="89">
        <v>0</v>
      </c>
      <c r="S235" s="89"/>
      <c r="T235" s="89"/>
      <c r="U235" s="89"/>
      <c r="V235" s="89"/>
      <c r="W235" s="69">
        <v>0</v>
      </c>
      <c r="X235" s="69"/>
      <c r="Y235" s="31"/>
      <c r="Z235" s="969"/>
    </row>
    <row r="236" spans="1:33" ht="33" customHeight="1">
      <c r="A236" s="986"/>
      <c r="B236" s="811" t="s">
        <v>454</v>
      </c>
      <c r="C236" s="777"/>
      <c r="D236" s="127"/>
      <c r="E236" s="127"/>
      <c r="F236" s="777"/>
      <c r="G236" s="777"/>
      <c r="H236" s="12"/>
      <c r="I236" s="12"/>
      <c r="J236" s="12"/>
      <c r="K236" s="12"/>
      <c r="L236" s="12"/>
      <c r="M236" s="69"/>
      <c r="N236" s="69"/>
      <c r="O236" s="69"/>
      <c r="P236" s="69"/>
      <c r="Q236" s="69"/>
      <c r="R236" s="89"/>
      <c r="S236" s="89"/>
      <c r="T236" s="89"/>
      <c r="U236" s="89"/>
      <c r="V236" s="89"/>
      <c r="W236" s="69"/>
      <c r="X236" s="69"/>
      <c r="Y236" s="31"/>
      <c r="Z236" s="807"/>
    </row>
    <row r="237" spans="1:33" ht="31.5" customHeight="1">
      <c r="A237" s="987"/>
      <c r="B237" s="547" t="s">
        <v>1061</v>
      </c>
      <c r="C237" s="11"/>
      <c r="D237" s="127"/>
      <c r="E237" s="127"/>
      <c r="F237" s="11"/>
      <c r="G237" s="11"/>
      <c r="H237" s="12">
        <v>0</v>
      </c>
      <c r="I237" s="12">
        <v>0</v>
      </c>
      <c r="J237" s="12">
        <v>0</v>
      </c>
      <c r="K237" s="12">
        <v>0</v>
      </c>
      <c r="L237" s="12">
        <v>0</v>
      </c>
      <c r="M237" s="69">
        <v>0</v>
      </c>
      <c r="N237" s="69"/>
      <c r="O237" s="69"/>
      <c r="P237" s="69"/>
      <c r="Q237" s="69"/>
      <c r="R237" s="89">
        <v>0</v>
      </c>
      <c r="S237" s="89"/>
      <c r="T237" s="89"/>
      <c r="U237" s="89"/>
      <c r="V237" s="89"/>
      <c r="W237" s="69">
        <v>0</v>
      </c>
      <c r="X237" s="69"/>
      <c r="Y237" s="38"/>
      <c r="Z237" s="38"/>
    </row>
    <row r="238" spans="1:33" ht="26.25" customHeight="1">
      <c r="A238" s="998" t="s">
        <v>1011</v>
      </c>
      <c r="B238" s="553" t="s">
        <v>89</v>
      </c>
      <c r="C238" s="11"/>
      <c r="D238" s="127"/>
      <c r="E238" s="127"/>
      <c r="F238" s="11"/>
      <c r="G238" s="11"/>
      <c r="H238" s="27" t="e">
        <f>L238</f>
        <v>#REF!</v>
      </c>
      <c r="I238" s="27"/>
      <c r="J238" s="27"/>
      <c r="K238" s="27"/>
      <c r="L238" s="27" t="e">
        <f>#REF!</f>
        <v>#REF!</v>
      </c>
      <c r="M238" s="49" t="e">
        <f>'Подробный перечень(БКАД)'!#REF!</f>
        <v>#REF!</v>
      </c>
      <c r="N238" s="49"/>
      <c r="O238" s="49"/>
      <c r="P238" s="49"/>
      <c r="Q238" s="49"/>
      <c r="R238" s="85">
        <f>[1]Мероприятия!X216</f>
        <v>17.048000000000002</v>
      </c>
      <c r="S238" s="85"/>
      <c r="T238" s="85"/>
      <c r="U238" s="85"/>
      <c r="V238" s="85"/>
      <c r="W238" s="49">
        <f>W246</f>
        <v>7</v>
      </c>
      <c r="X238" s="49">
        <f>X246</f>
        <v>5</v>
      </c>
      <c r="Y238" s="968" t="s">
        <v>26</v>
      </c>
      <c r="Z238" s="968" t="s">
        <v>1012</v>
      </c>
    </row>
    <row r="239" spans="1:33" ht="26.25" customHeight="1">
      <c r="A239" s="999"/>
      <c r="B239" s="547" t="s">
        <v>24</v>
      </c>
      <c r="C239" s="11"/>
      <c r="D239" s="127"/>
      <c r="E239" s="127"/>
      <c r="F239" s="11"/>
      <c r="G239" s="11"/>
      <c r="H239" s="12">
        <v>0</v>
      </c>
      <c r="I239" s="12">
        <v>0</v>
      </c>
      <c r="J239" s="12">
        <v>0</v>
      </c>
      <c r="K239" s="12">
        <v>0</v>
      </c>
      <c r="L239" s="12">
        <v>0</v>
      </c>
      <c r="M239" s="49"/>
      <c r="N239" s="49"/>
      <c r="O239" s="49"/>
      <c r="P239" s="49"/>
      <c r="Q239" s="49"/>
      <c r="R239" s="85">
        <f>R240/R238</f>
        <v>35169.362975129043</v>
      </c>
      <c r="S239" s="85" t="s">
        <v>496</v>
      </c>
      <c r="T239" s="85" t="s">
        <v>496</v>
      </c>
      <c r="U239" s="85" t="s">
        <v>496</v>
      </c>
      <c r="V239" s="85" t="s">
        <v>496</v>
      </c>
      <c r="W239" s="49">
        <f>W240/W238</f>
        <v>29742.857142857141</v>
      </c>
      <c r="X239" s="49">
        <f>X240/X238</f>
        <v>119800</v>
      </c>
      <c r="Y239" s="969"/>
      <c r="Z239" s="969"/>
    </row>
    <row r="240" spans="1:33" ht="29.25" customHeight="1">
      <c r="A240" s="999"/>
      <c r="B240" s="553" t="s">
        <v>25</v>
      </c>
      <c r="C240" s="11">
        <v>176</v>
      </c>
      <c r="D240" s="127" t="s">
        <v>494</v>
      </c>
      <c r="E240" s="127" t="s">
        <v>495</v>
      </c>
      <c r="F240" s="11" t="s">
        <v>550</v>
      </c>
      <c r="G240" s="11">
        <v>243</v>
      </c>
      <c r="H240" s="12" t="e">
        <f t="shared" ref="H240:X240" si="42">H241+H242</f>
        <v>#REF!</v>
      </c>
      <c r="I240" s="12" t="e">
        <f t="shared" si="42"/>
        <v>#REF!</v>
      </c>
      <c r="J240" s="12" t="e">
        <f t="shared" si="42"/>
        <v>#REF!</v>
      </c>
      <c r="K240" s="12" t="e">
        <f t="shared" si="42"/>
        <v>#REF!</v>
      </c>
      <c r="L240" s="12" t="e">
        <f t="shared" si="42"/>
        <v>#REF!</v>
      </c>
      <c r="M240" s="49" t="e">
        <f t="shared" si="42"/>
        <v>#REF!</v>
      </c>
      <c r="N240" s="49" t="e">
        <f t="shared" si="42"/>
        <v>#REF!</v>
      </c>
      <c r="O240" s="49" t="e">
        <f t="shared" si="42"/>
        <v>#REF!</v>
      </c>
      <c r="P240" s="49" t="e">
        <f t="shared" si="42"/>
        <v>#REF!</v>
      </c>
      <c r="Q240" s="49" t="e">
        <f t="shared" si="42"/>
        <v>#REF!</v>
      </c>
      <c r="R240" s="49">
        <f t="shared" si="42"/>
        <v>599567.30000000005</v>
      </c>
      <c r="S240" s="49">
        <f t="shared" si="42"/>
        <v>4513.3</v>
      </c>
      <c r="T240" s="49">
        <f t="shared" si="42"/>
        <v>0</v>
      </c>
      <c r="U240" s="49">
        <f t="shared" si="42"/>
        <v>0</v>
      </c>
      <c r="V240" s="49">
        <f t="shared" si="42"/>
        <v>595054</v>
      </c>
      <c r="W240" s="49">
        <f t="shared" si="42"/>
        <v>208200</v>
      </c>
      <c r="X240" s="49">
        <f t="shared" si="42"/>
        <v>599000</v>
      </c>
      <c r="Y240" s="969"/>
      <c r="Z240" s="969"/>
    </row>
    <row r="241" spans="1:30" ht="28.5" customHeight="1">
      <c r="A241" s="999"/>
      <c r="B241" s="547" t="s">
        <v>10</v>
      </c>
      <c r="C241" s="11">
        <v>176</v>
      </c>
      <c r="D241" s="127" t="s">
        <v>494</v>
      </c>
      <c r="E241" s="127" t="s">
        <v>495</v>
      </c>
      <c r="F241" s="11">
        <v>6100302810</v>
      </c>
      <c r="G241" s="11">
        <v>243</v>
      </c>
      <c r="H241" s="12" t="e">
        <f>H255+H256+H257+H258+H259+H260+H261+H262+H263+H264+H265+H266+H267+H268+H269+H270+H271+H272+H273+H276+H277+H278+H279+#REF!+H282+H283+H284+H285+H286+H287+H288+#REF!-H242</f>
        <v>#REF!</v>
      </c>
      <c r="I241" s="12" t="e">
        <f>SUM(I255:I288)</f>
        <v>#REF!</v>
      </c>
      <c r="J241" s="12" t="e">
        <f>SUM(J255:J288)-J242</f>
        <v>#REF!</v>
      </c>
      <c r="K241" s="12" t="e">
        <f>SUM(K255:K288)-K242</f>
        <v>#REF!</v>
      </c>
      <c r="L241" s="12" t="e">
        <f>#REF!</f>
        <v>#REF!</v>
      </c>
      <c r="M241" s="49" t="e">
        <f>'Подробный перечень(БКАД)'!#REF!</f>
        <v>#REF!</v>
      </c>
      <c r="N241" s="49" t="e">
        <f>SUM(N255:N288)</f>
        <v>#REF!</v>
      </c>
      <c r="O241" s="49" t="e">
        <f>SUM(O255:O288)</f>
        <v>#REF!</v>
      </c>
      <c r="P241" s="49" t="e">
        <f>SUM(P255:P288)</f>
        <v>#REF!</v>
      </c>
      <c r="Q241" s="49" t="e">
        <f>SUM(Q255:Q288)</f>
        <v>#REF!</v>
      </c>
      <c r="R241" s="85">
        <f>R249+R290</f>
        <v>599567.30000000005</v>
      </c>
      <c r="S241" s="85">
        <f t="shared" ref="S241:V241" si="43">S249+S290</f>
        <v>4513.3</v>
      </c>
      <c r="T241" s="85">
        <f t="shared" si="43"/>
        <v>0</v>
      </c>
      <c r="U241" s="85">
        <f t="shared" si="43"/>
        <v>0</v>
      </c>
      <c r="V241" s="85">
        <f t="shared" si="43"/>
        <v>595054</v>
      </c>
      <c r="W241" s="85">
        <f>W249+W290</f>
        <v>208200</v>
      </c>
      <c r="X241" s="85">
        <f>X249+X290</f>
        <v>599000</v>
      </c>
      <c r="Y241" s="969"/>
      <c r="Z241" s="969"/>
    </row>
    <row r="242" spans="1:30" ht="30" customHeight="1">
      <c r="A242" s="999"/>
      <c r="B242" s="547" t="s">
        <v>443</v>
      </c>
      <c r="C242" s="624">
        <v>176</v>
      </c>
      <c r="D242" s="127" t="s">
        <v>494</v>
      </c>
      <c r="E242" s="127" t="s">
        <v>495</v>
      </c>
      <c r="F242" s="624"/>
      <c r="G242" s="624">
        <v>243</v>
      </c>
      <c r="H242" s="12">
        <v>45736.5</v>
      </c>
      <c r="I242" s="12"/>
      <c r="J242" s="12" t="e">
        <f>#REF!</f>
        <v>#REF!</v>
      </c>
      <c r="K242" s="12" t="e">
        <f>#REF!</f>
        <v>#REF!</v>
      </c>
      <c r="L242" s="12"/>
      <c r="M242" s="49"/>
      <c r="N242" s="49"/>
      <c r="O242" s="49"/>
      <c r="P242" s="49"/>
      <c r="Q242" s="49"/>
      <c r="R242" s="85">
        <f>[1]Мероприятия!X220</f>
        <v>0</v>
      </c>
      <c r="S242" s="85">
        <f t="shared" ref="S242:X242" si="44">S250</f>
        <v>0</v>
      </c>
      <c r="T242" s="85">
        <f t="shared" si="44"/>
        <v>0</v>
      </c>
      <c r="U242" s="85">
        <f t="shared" si="44"/>
        <v>0</v>
      </c>
      <c r="V242" s="85">
        <f t="shared" si="44"/>
        <v>0</v>
      </c>
      <c r="W242" s="85">
        <f t="shared" si="44"/>
        <v>0</v>
      </c>
      <c r="X242" s="85">
        <f t="shared" si="44"/>
        <v>0</v>
      </c>
      <c r="Y242" s="969"/>
      <c r="Z242" s="969"/>
      <c r="AA242" s="313"/>
      <c r="AB242" s="76">
        <f>W240</f>
        <v>208200</v>
      </c>
      <c r="AD242" s="76">
        <f>X240</f>
        <v>599000</v>
      </c>
    </row>
    <row r="243" spans="1:30" ht="20.25" customHeight="1">
      <c r="A243" s="999"/>
      <c r="B243" s="547" t="s">
        <v>11</v>
      </c>
      <c r="C243" s="11"/>
      <c r="D243" s="127"/>
      <c r="E243" s="127"/>
      <c r="F243" s="11"/>
      <c r="G243" s="11"/>
      <c r="H243" s="12"/>
      <c r="I243" s="12"/>
      <c r="J243" s="12"/>
      <c r="K243" s="12"/>
      <c r="L243" s="12"/>
      <c r="M243" s="49"/>
      <c r="N243" s="49"/>
      <c r="O243" s="49"/>
      <c r="P243" s="49"/>
      <c r="Q243" s="49"/>
      <c r="R243" s="85"/>
      <c r="S243" s="85"/>
      <c r="T243" s="85"/>
      <c r="U243" s="85"/>
      <c r="V243" s="85"/>
      <c r="W243" s="49"/>
      <c r="X243" s="49"/>
      <c r="Y243" s="969"/>
      <c r="Z243" s="969"/>
      <c r="AA243" s="313"/>
      <c r="AB243" s="76">
        <f>W294</f>
        <v>101800</v>
      </c>
      <c r="AD243" s="76">
        <f>X294</f>
        <v>2113647.8999999994</v>
      </c>
    </row>
    <row r="244" spans="1:30" ht="28.5" customHeight="1">
      <c r="A244" s="999"/>
      <c r="B244" s="811" t="s">
        <v>454</v>
      </c>
      <c r="C244" s="777"/>
      <c r="D244" s="127"/>
      <c r="E244" s="127"/>
      <c r="F244" s="777"/>
      <c r="G244" s="777"/>
      <c r="H244" s="12"/>
      <c r="I244" s="12"/>
      <c r="J244" s="12"/>
      <c r="K244" s="12"/>
      <c r="L244" s="12"/>
      <c r="M244" s="49"/>
      <c r="N244" s="49"/>
      <c r="O244" s="49"/>
      <c r="P244" s="49"/>
      <c r="Q244" s="49"/>
      <c r="R244" s="85"/>
      <c r="S244" s="85"/>
      <c r="T244" s="85"/>
      <c r="U244" s="85"/>
      <c r="V244" s="85"/>
      <c r="W244" s="49"/>
      <c r="X244" s="49"/>
      <c r="Y244" s="969"/>
      <c r="Z244" s="969"/>
      <c r="AA244" s="313"/>
      <c r="AB244" s="76"/>
      <c r="AD244" s="76"/>
    </row>
    <row r="245" spans="1:30" ht="26.25" customHeight="1">
      <c r="A245" s="1000"/>
      <c r="B245" s="547" t="s">
        <v>1061</v>
      </c>
      <c r="C245" s="11"/>
      <c r="D245" s="127"/>
      <c r="E245" s="127"/>
      <c r="F245" s="11"/>
      <c r="G245" s="11"/>
      <c r="H245" s="12"/>
      <c r="I245" s="12"/>
      <c r="J245" s="12"/>
      <c r="K245" s="12"/>
      <c r="L245" s="12"/>
      <c r="M245" s="49"/>
      <c r="N245" s="49"/>
      <c r="O245" s="49"/>
      <c r="P245" s="49"/>
      <c r="Q245" s="49"/>
      <c r="R245" s="85"/>
      <c r="S245" s="85"/>
      <c r="T245" s="85"/>
      <c r="U245" s="85"/>
      <c r="V245" s="85"/>
      <c r="W245" s="49"/>
      <c r="X245" s="49"/>
      <c r="Y245" s="969"/>
      <c r="Z245" s="969"/>
      <c r="AA245" s="313"/>
      <c r="AB245" s="76">
        <f t="shared" ref="AB245:AD245" si="45">AB242+AB243</f>
        <v>310000</v>
      </c>
      <c r="AC245" s="76">
        <f t="shared" si="45"/>
        <v>0</v>
      </c>
      <c r="AD245" s="76">
        <f t="shared" si="45"/>
        <v>2712647.8999999994</v>
      </c>
    </row>
    <row r="246" spans="1:30" ht="30.75" customHeight="1">
      <c r="A246" s="982" t="s">
        <v>894</v>
      </c>
      <c r="B246" s="586" t="s">
        <v>744</v>
      </c>
      <c r="C246" s="11"/>
      <c r="D246" s="127"/>
      <c r="E246" s="127"/>
      <c r="F246" s="63"/>
      <c r="G246" s="585"/>
      <c r="H246" s="12"/>
      <c r="I246" s="12"/>
      <c r="J246" s="12"/>
      <c r="K246" s="12"/>
      <c r="L246" s="12"/>
      <c r="M246" s="49"/>
      <c r="N246" s="49"/>
      <c r="O246" s="49"/>
      <c r="P246" s="49"/>
      <c r="Q246" s="49"/>
      <c r="R246" s="853">
        <f>V246</f>
        <v>17.048000000000002</v>
      </c>
      <c r="S246" s="85">
        <f>'Подробный перечень (ОБ)'!H525</f>
        <v>0</v>
      </c>
      <c r="T246" s="85">
        <f>'Подробный перечень (ОБ)'!I525</f>
        <v>0</v>
      </c>
      <c r="U246" s="85">
        <f>'Подробный перечень (ОБ)'!J525</f>
        <v>0</v>
      </c>
      <c r="V246" s="85">
        <f>'Подробный перечень (ОБ)'!K525</f>
        <v>17.048000000000002</v>
      </c>
      <c r="W246" s="49">
        <f>'Подробный перечень (ОБ)'!$L$525</f>
        <v>7</v>
      </c>
      <c r="X246" s="85">
        <f>'Подробный перечень (ОБ)'!$M$525</f>
        <v>5</v>
      </c>
      <c r="Y246" s="969"/>
      <c r="Z246" s="969"/>
    </row>
    <row r="247" spans="1:30" ht="30.75" customHeight="1">
      <c r="A247" s="983"/>
      <c r="B247" s="584" t="s">
        <v>24</v>
      </c>
      <c r="C247" s="585"/>
      <c r="D247" s="127"/>
      <c r="E247" s="127"/>
      <c r="F247" s="585"/>
      <c r="G247" s="585"/>
      <c r="H247" s="12"/>
      <c r="I247" s="12"/>
      <c r="J247" s="12"/>
      <c r="K247" s="12"/>
      <c r="L247" s="12"/>
      <c r="M247" s="49"/>
      <c r="N247" s="49"/>
      <c r="O247" s="49"/>
      <c r="P247" s="49"/>
      <c r="Q247" s="49"/>
      <c r="R247" s="854">
        <f>R248/R246</f>
        <v>34904.62224307836</v>
      </c>
      <c r="S247" s="85" t="s">
        <v>496</v>
      </c>
      <c r="T247" s="85" t="s">
        <v>496</v>
      </c>
      <c r="U247" s="85" t="s">
        <v>496</v>
      </c>
      <c r="V247" s="85" t="s">
        <v>496</v>
      </c>
      <c r="W247" s="49">
        <f>W249/W246</f>
        <v>29742.857142857141</v>
      </c>
      <c r="X247" s="49">
        <f>X249/X246</f>
        <v>119800</v>
      </c>
      <c r="Y247" s="969"/>
      <c r="Z247" s="969"/>
    </row>
    <row r="248" spans="1:30" ht="30.75" customHeight="1">
      <c r="A248" s="983"/>
      <c r="B248" s="738" t="s">
        <v>25</v>
      </c>
      <c r="C248" s="737">
        <v>176</v>
      </c>
      <c r="D248" s="127" t="s">
        <v>494</v>
      </c>
      <c r="E248" s="127" t="s">
        <v>495</v>
      </c>
      <c r="F248" s="737" t="s">
        <v>550</v>
      </c>
      <c r="G248" s="737">
        <v>243</v>
      </c>
      <c r="H248" s="12"/>
      <c r="I248" s="12"/>
      <c r="J248" s="12"/>
      <c r="K248" s="12"/>
      <c r="L248" s="12"/>
      <c r="M248" s="49"/>
      <c r="N248" s="49"/>
      <c r="O248" s="49"/>
      <c r="P248" s="49"/>
      <c r="Q248" s="49"/>
      <c r="R248" s="85">
        <f t="shared" ref="R248:X248" si="46">R249+R250</f>
        <v>595054</v>
      </c>
      <c r="S248" s="85">
        <f t="shared" si="46"/>
        <v>0</v>
      </c>
      <c r="T248" s="85">
        <f t="shared" si="46"/>
        <v>0</v>
      </c>
      <c r="U248" s="85">
        <f t="shared" si="46"/>
        <v>0</v>
      </c>
      <c r="V248" s="85">
        <f t="shared" si="46"/>
        <v>595054</v>
      </c>
      <c r="W248" s="85">
        <f t="shared" si="46"/>
        <v>208200</v>
      </c>
      <c r="X248" s="85">
        <f t="shared" si="46"/>
        <v>599000</v>
      </c>
      <c r="Y248" s="969"/>
      <c r="Z248" s="969"/>
    </row>
    <row r="249" spans="1:30" ht="26.25" customHeight="1">
      <c r="A249" s="983"/>
      <c r="B249" s="553" t="s">
        <v>10</v>
      </c>
      <c r="C249" s="737">
        <v>176</v>
      </c>
      <c r="D249" s="127" t="s">
        <v>494</v>
      </c>
      <c r="E249" s="127" t="s">
        <v>495</v>
      </c>
      <c r="F249" s="737">
        <v>6100302810</v>
      </c>
      <c r="G249" s="737">
        <v>243</v>
      </c>
      <c r="H249" s="12"/>
      <c r="I249" s="12"/>
      <c r="J249" s="12"/>
      <c r="K249" s="12"/>
      <c r="L249" s="12"/>
      <c r="M249" s="49"/>
      <c r="N249" s="49"/>
      <c r="O249" s="49"/>
      <c r="P249" s="49"/>
      <c r="Q249" s="49"/>
      <c r="R249" s="49">
        <f t="shared" ref="R249:V249" si="47">R256+R260+R261+R262+R263+R266+R270+R272+R274+R276+R280+R282+R284+R285+R288</f>
        <v>595054</v>
      </c>
      <c r="S249" s="49">
        <f t="shared" si="47"/>
        <v>0</v>
      </c>
      <c r="T249" s="49">
        <f t="shared" si="47"/>
        <v>0</v>
      </c>
      <c r="U249" s="49">
        <f t="shared" si="47"/>
        <v>0</v>
      </c>
      <c r="V249" s="49">
        <f t="shared" si="47"/>
        <v>595054</v>
      </c>
      <c r="W249" s="49">
        <f>W270+W272+W274+W284+W288+W262+W276</f>
        <v>208200</v>
      </c>
      <c r="X249" s="49">
        <f>X261+X272+X274+X285+X288</f>
        <v>599000</v>
      </c>
      <c r="Y249" s="969"/>
      <c r="Z249" s="969"/>
    </row>
    <row r="250" spans="1:30" ht="24.75" customHeight="1">
      <c r="A250" s="983"/>
      <c r="B250" s="553" t="s">
        <v>443</v>
      </c>
      <c r="C250" s="737">
        <v>176</v>
      </c>
      <c r="D250" s="127" t="s">
        <v>494</v>
      </c>
      <c r="E250" s="127" t="s">
        <v>495</v>
      </c>
      <c r="F250" s="737"/>
      <c r="G250" s="737">
        <v>243</v>
      </c>
      <c r="H250" s="12"/>
      <c r="I250" s="12"/>
      <c r="J250" s="12"/>
      <c r="K250" s="12"/>
      <c r="L250" s="12"/>
      <c r="M250" s="49"/>
      <c r="N250" s="49"/>
      <c r="O250" s="49"/>
      <c r="P250" s="49"/>
      <c r="Q250" s="49"/>
      <c r="R250" s="49">
        <f t="shared" ref="R250:X250" si="48">R275</f>
        <v>0</v>
      </c>
      <c r="S250" s="49">
        <f t="shared" si="48"/>
        <v>0</v>
      </c>
      <c r="T250" s="49">
        <f t="shared" si="48"/>
        <v>0</v>
      </c>
      <c r="U250" s="49">
        <f t="shared" si="48"/>
        <v>0</v>
      </c>
      <c r="V250" s="49">
        <f t="shared" si="48"/>
        <v>0</v>
      </c>
      <c r="W250" s="49">
        <f>W275</f>
        <v>0</v>
      </c>
      <c r="X250" s="49">
        <f t="shared" si="48"/>
        <v>0</v>
      </c>
      <c r="Y250" s="969"/>
      <c r="Z250" s="969"/>
    </row>
    <row r="251" spans="1:30" ht="19.5" customHeight="1">
      <c r="A251" s="983"/>
      <c r="B251" s="553" t="s">
        <v>11</v>
      </c>
      <c r="C251" s="737"/>
      <c r="D251" s="127"/>
      <c r="E251" s="127"/>
      <c r="F251" s="737"/>
      <c r="G251" s="737"/>
      <c r="H251" s="12"/>
      <c r="I251" s="12"/>
      <c r="J251" s="12"/>
      <c r="K251" s="12"/>
      <c r="L251" s="12"/>
      <c r="M251" s="49"/>
      <c r="N251" s="49"/>
      <c r="O251" s="49"/>
      <c r="P251" s="49"/>
      <c r="Q251" s="49"/>
      <c r="R251" s="49"/>
      <c r="S251" s="49"/>
      <c r="T251" s="49"/>
      <c r="U251" s="49"/>
      <c r="V251" s="49"/>
      <c r="W251" s="49"/>
      <c r="X251" s="64"/>
      <c r="Y251" s="969"/>
      <c r="Z251" s="969"/>
    </row>
    <row r="252" spans="1:30" ht="34.5" customHeight="1">
      <c r="A252" s="983"/>
      <c r="B252" s="553" t="s">
        <v>454</v>
      </c>
      <c r="C252" s="737"/>
      <c r="D252" s="127"/>
      <c r="E252" s="127"/>
      <c r="F252" s="737"/>
      <c r="G252" s="737"/>
      <c r="H252" s="12"/>
      <c r="I252" s="12"/>
      <c r="J252" s="12"/>
      <c r="K252" s="12"/>
      <c r="L252" s="12"/>
      <c r="M252" s="49"/>
      <c r="N252" s="49"/>
      <c r="O252" s="49"/>
      <c r="P252" s="49"/>
      <c r="Q252" s="49"/>
      <c r="R252" s="49"/>
      <c r="S252" s="49"/>
      <c r="T252" s="49"/>
      <c r="U252" s="49"/>
      <c r="V252" s="49"/>
      <c r="W252" s="49"/>
      <c r="X252" s="64"/>
      <c r="Y252" s="969"/>
      <c r="Z252" s="969"/>
    </row>
    <row r="253" spans="1:30" ht="28.5" customHeight="1">
      <c r="A253" s="984"/>
      <c r="B253" s="553" t="s">
        <v>1061</v>
      </c>
      <c r="C253" s="777"/>
      <c r="D253" s="127"/>
      <c r="E253" s="127"/>
      <c r="F253" s="777"/>
      <c r="G253" s="777"/>
      <c r="H253" s="12"/>
      <c r="I253" s="12"/>
      <c r="J253" s="12"/>
      <c r="K253" s="12"/>
      <c r="L253" s="12"/>
      <c r="M253" s="49"/>
      <c r="N253" s="49"/>
      <c r="O253" s="49"/>
      <c r="P253" s="49"/>
      <c r="Q253" s="49"/>
      <c r="R253" s="49"/>
      <c r="S253" s="49"/>
      <c r="T253" s="49"/>
      <c r="U253" s="49"/>
      <c r="V253" s="49"/>
      <c r="W253" s="49"/>
      <c r="X253" s="64"/>
      <c r="Y253" s="969"/>
      <c r="Z253" s="969"/>
    </row>
    <row r="254" spans="1:30" ht="19.5" customHeight="1">
      <c r="A254" s="588"/>
      <c r="B254" s="553" t="s">
        <v>9</v>
      </c>
      <c r="C254" s="589"/>
      <c r="D254" s="127"/>
      <c r="E254" s="127"/>
      <c r="F254" s="589"/>
      <c r="G254" s="589"/>
      <c r="H254" s="12"/>
      <c r="I254" s="12"/>
      <c r="J254" s="12"/>
      <c r="K254" s="12"/>
      <c r="L254" s="12"/>
      <c r="M254" s="49"/>
      <c r="N254" s="49"/>
      <c r="O254" s="49"/>
      <c r="P254" s="49"/>
      <c r="Q254" s="49"/>
      <c r="R254" s="85"/>
      <c r="S254" s="85"/>
      <c r="T254" s="85"/>
      <c r="U254" s="85"/>
      <c r="V254" s="85"/>
      <c r="W254" s="49"/>
      <c r="X254" s="93"/>
      <c r="Y254" s="969"/>
      <c r="Z254" s="969"/>
    </row>
    <row r="255" spans="1:30" ht="30.75" hidden="1" customHeight="1">
      <c r="A255" s="13" t="s">
        <v>42</v>
      </c>
      <c r="B255" s="546" t="s">
        <v>337</v>
      </c>
      <c r="C255" s="50">
        <v>176</v>
      </c>
      <c r="D255" s="335" t="s">
        <v>494</v>
      </c>
      <c r="E255" s="335" t="s">
        <v>495</v>
      </c>
      <c r="F255" s="50">
        <v>6100302810</v>
      </c>
      <c r="G255" s="50">
        <v>243</v>
      </c>
      <c r="H255" s="37" t="e">
        <f>SUM(I255:L255)</f>
        <v>#REF!</v>
      </c>
      <c r="I255" s="23" t="e">
        <f>#REF!</f>
        <v>#REF!</v>
      </c>
      <c r="J255" s="23" t="e">
        <f>#REF!</f>
        <v>#REF!</v>
      </c>
      <c r="K255" s="23" t="e">
        <f>#REF!</f>
        <v>#REF!</v>
      </c>
      <c r="L255" s="23" t="e">
        <f>#REF!</f>
        <v>#REF!</v>
      </c>
      <c r="M255" s="65"/>
      <c r="N255" s="65"/>
      <c r="O255" s="65"/>
      <c r="P255" s="65"/>
      <c r="Q255" s="65"/>
      <c r="R255" s="86"/>
      <c r="S255" s="86"/>
      <c r="T255" s="86"/>
      <c r="U255" s="86"/>
      <c r="V255" s="86"/>
      <c r="W255" s="65"/>
      <c r="X255" s="66"/>
      <c r="Y255" s="969"/>
      <c r="Z255" s="969"/>
      <c r="AA255" s="313"/>
      <c r="AB255" s="76">
        <f>AB245+W535</f>
        <v>3131819.4736842103</v>
      </c>
      <c r="AD255" s="76">
        <f>AD245+X535</f>
        <v>5878424.9526315778</v>
      </c>
    </row>
    <row r="256" spans="1:30" ht="22.5" customHeight="1">
      <c r="A256" s="13" t="s">
        <v>43</v>
      </c>
      <c r="B256" s="546" t="s">
        <v>337</v>
      </c>
      <c r="C256" s="50">
        <v>176</v>
      </c>
      <c r="D256" s="335" t="s">
        <v>494</v>
      </c>
      <c r="E256" s="335" t="s">
        <v>495</v>
      </c>
      <c r="F256" s="50">
        <v>6100302810</v>
      </c>
      <c r="G256" s="50">
        <v>243</v>
      </c>
      <c r="H256" s="37" t="e">
        <f t="shared" ref="H256:H288" si="49">SUM(I256:L256)</f>
        <v>#REF!</v>
      </c>
      <c r="I256" s="23" t="e">
        <f>#REF!</f>
        <v>#REF!</v>
      </c>
      <c r="J256" s="23" t="e">
        <f>#REF!</f>
        <v>#REF!</v>
      </c>
      <c r="K256" s="23" t="e">
        <f>#REF!</f>
        <v>#REF!</v>
      </c>
      <c r="L256" s="23" t="e">
        <f>#REF!</f>
        <v>#REF!</v>
      </c>
      <c r="M256" s="65" t="e">
        <f>'Подробный перечень(БКАД)'!#REF!</f>
        <v>#REF!</v>
      </c>
      <c r="N256" s="65" t="e">
        <f>'Подробный перечень(БКАД)'!#REF!</f>
        <v>#REF!</v>
      </c>
      <c r="O256" s="65"/>
      <c r="P256" s="65"/>
      <c r="Q256" s="65"/>
      <c r="R256" s="86">
        <f>S256+T256+U256+V256</f>
        <v>16000</v>
      </c>
      <c r="S256" s="86"/>
      <c r="T256" s="86"/>
      <c r="U256" s="86"/>
      <c r="V256" s="86">
        <f>'Подробный перечень (ОБ)'!$K$541</f>
        <v>16000</v>
      </c>
      <c r="W256" s="65"/>
      <c r="X256" s="66"/>
      <c r="Y256" s="969"/>
      <c r="Z256" s="969"/>
      <c r="AA256" s="322"/>
    </row>
    <row r="257" spans="1:31" ht="18.75" customHeight="1">
      <c r="A257" s="13" t="s">
        <v>44</v>
      </c>
      <c r="B257" s="546" t="s">
        <v>337</v>
      </c>
      <c r="C257" s="50">
        <v>176</v>
      </c>
      <c r="D257" s="335" t="s">
        <v>494</v>
      </c>
      <c r="E257" s="335" t="s">
        <v>495</v>
      </c>
      <c r="F257" s="50">
        <v>6100302810</v>
      </c>
      <c r="G257" s="50">
        <v>243</v>
      </c>
      <c r="H257" s="37" t="e">
        <f t="shared" si="49"/>
        <v>#REF!</v>
      </c>
      <c r="I257" s="23" t="e">
        <f>#REF!</f>
        <v>#REF!</v>
      </c>
      <c r="J257" s="23" t="e">
        <f>#REF!</f>
        <v>#REF!</v>
      </c>
      <c r="K257" s="23" t="e">
        <f>#REF!</f>
        <v>#REF!</v>
      </c>
      <c r="L257" s="23" t="e">
        <f>#REF!</f>
        <v>#REF!</v>
      </c>
      <c r="M257" s="65" t="e">
        <f>'Подробный перечень(БКАД)'!#REF!</f>
        <v>#REF!</v>
      </c>
      <c r="N257" s="65" t="e">
        <f>'Подробный перечень(БКАД)'!#REF!</f>
        <v>#REF!</v>
      </c>
      <c r="O257" s="65" t="e">
        <f>'Подробный перечень(БКАД)'!#REF!</f>
        <v>#REF!</v>
      </c>
      <c r="P257" s="65"/>
      <c r="Q257" s="65"/>
      <c r="R257" s="86">
        <f t="shared" ref="R257:R288" si="50">S257+T257+U257+V257</f>
        <v>0</v>
      </c>
      <c r="S257" s="86"/>
      <c r="T257" s="86"/>
      <c r="U257" s="86"/>
      <c r="V257" s="86"/>
      <c r="W257" s="65"/>
      <c r="X257" s="66"/>
      <c r="Y257" s="969"/>
      <c r="Z257" s="969"/>
      <c r="AA257" s="313"/>
    </row>
    <row r="258" spans="1:31" ht="16.5" customHeight="1">
      <c r="A258" s="13" t="s">
        <v>45</v>
      </c>
      <c r="B258" s="546" t="s">
        <v>337</v>
      </c>
      <c r="C258" s="50">
        <v>176</v>
      </c>
      <c r="D258" s="335" t="s">
        <v>494</v>
      </c>
      <c r="E258" s="335" t="s">
        <v>495</v>
      </c>
      <c r="F258" s="50">
        <v>6100302810</v>
      </c>
      <c r="G258" s="50">
        <v>243</v>
      </c>
      <c r="H258" s="37" t="e">
        <f t="shared" si="49"/>
        <v>#REF!</v>
      </c>
      <c r="I258" s="23" t="e">
        <f>#REF!</f>
        <v>#REF!</v>
      </c>
      <c r="J258" s="23" t="e">
        <f>#REF!</f>
        <v>#REF!</v>
      </c>
      <c r="K258" s="23" t="e">
        <f>#REF!</f>
        <v>#REF!</v>
      </c>
      <c r="L258" s="23" t="e">
        <f>#REF!</f>
        <v>#REF!</v>
      </c>
      <c r="M258" s="65" t="e">
        <f>'Подробный перечень(БКАД)'!#REF!</f>
        <v>#REF!</v>
      </c>
      <c r="N258" s="65" t="e">
        <f>'Подробный перечень(БКАД)'!#REF!</f>
        <v>#REF!</v>
      </c>
      <c r="O258" s="65"/>
      <c r="P258" s="65"/>
      <c r="Q258" s="65"/>
      <c r="R258" s="86">
        <f t="shared" si="50"/>
        <v>0</v>
      </c>
      <c r="S258" s="86"/>
      <c r="T258" s="86"/>
      <c r="U258" s="86"/>
      <c r="V258" s="86"/>
      <c r="W258" s="65"/>
      <c r="X258" s="66"/>
      <c r="Y258" s="969"/>
      <c r="Z258" s="969"/>
      <c r="AA258" s="313"/>
    </row>
    <row r="259" spans="1:31" ht="30.75" customHeight="1">
      <c r="A259" s="13" t="s">
        <v>46</v>
      </c>
      <c r="B259" s="546" t="s">
        <v>337</v>
      </c>
      <c r="C259" s="50">
        <v>176</v>
      </c>
      <c r="D259" s="335" t="s">
        <v>494</v>
      </c>
      <c r="E259" s="335" t="s">
        <v>495</v>
      </c>
      <c r="F259" s="50">
        <v>6100302810</v>
      </c>
      <c r="G259" s="50">
        <v>243</v>
      </c>
      <c r="H259" s="37" t="e">
        <f t="shared" si="49"/>
        <v>#REF!</v>
      </c>
      <c r="I259" s="23" t="e">
        <f>#REF!</f>
        <v>#REF!</v>
      </c>
      <c r="J259" s="23" t="e">
        <f>#REF!</f>
        <v>#REF!</v>
      </c>
      <c r="K259" s="23" t="e">
        <f>#REF!</f>
        <v>#REF!</v>
      </c>
      <c r="L259" s="23" t="e">
        <f>#REF!</f>
        <v>#REF!</v>
      </c>
      <c r="M259" s="65"/>
      <c r="N259" s="65"/>
      <c r="O259" s="65"/>
      <c r="P259" s="65"/>
      <c r="Q259" s="65"/>
      <c r="R259" s="86">
        <f t="shared" si="50"/>
        <v>0</v>
      </c>
      <c r="S259" s="86"/>
      <c r="T259" s="86"/>
      <c r="U259" s="86"/>
      <c r="V259" s="86"/>
      <c r="W259" s="65"/>
      <c r="X259" s="66"/>
      <c r="Y259" s="969"/>
      <c r="Z259" s="969"/>
      <c r="AA259" s="313"/>
    </row>
    <row r="260" spans="1:31" ht="30.75" customHeight="1">
      <c r="A260" s="13" t="s">
        <v>47</v>
      </c>
      <c r="B260" s="546" t="s">
        <v>337</v>
      </c>
      <c r="C260" s="50">
        <v>176</v>
      </c>
      <c r="D260" s="335" t="s">
        <v>494</v>
      </c>
      <c r="E260" s="335" t="s">
        <v>495</v>
      </c>
      <c r="F260" s="50">
        <v>6100302810</v>
      </c>
      <c r="G260" s="50">
        <v>243</v>
      </c>
      <c r="H260" s="37" t="e">
        <f t="shared" si="49"/>
        <v>#REF!</v>
      </c>
      <c r="I260" s="23" t="e">
        <f>#REF!</f>
        <v>#REF!</v>
      </c>
      <c r="J260" s="23" t="e">
        <f>#REF!</f>
        <v>#REF!</v>
      </c>
      <c r="K260" s="23" t="e">
        <f>#REF!</f>
        <v>#REF!</v>
      </c>
      <c r="L260" s="23" t="e">
        <f>#REF!</f>
        <v>#REF!</v>
      </c>
      <c r="M260" s="65" t="e">
        <f>'Подробный перечень(БКАД)'!#REF!</f>
        <v>#REF!</v>
      </c>
      <c r="N260" s="65" t="e">
        <f>'Подробный перечень(БКАД)'!#REF!</f>
        <v>#REF!</v>
      </c>
      <c r="O260" s="65"/>
      <c r="P260" s="65"/>
      <c r="Q260" s="65"/>
      <c r="R260" s="86">
        <f t="shared" si="50"/>
        <v>13167.4</v>
      </c>
      <c r="S260" s="86"/>
      <c r="T260" s="86"/>
      <c r="U260" s="86"/>
      <c r="V260" s="86">
        <f>'Подробный перечень (ОБ)'!$K$576</f>
        <v>13167.4</v>
      </c>
      <c r="W260" s="65"/>
      <c r="X260" s="66"/>
      <c r="Y260" s="969"/>
      <c r="Z260" s="969"/>
      <c r="AA260" s="313"/>
    </row>
    <row r="261" spans="1:31" ht="24.75" customHeight="1">
      <c r="A261" s="13" t="s">
        <v>48</v>
      </c>
      <c r="B261" s="546" t="s">
        <v>337</v>
      </c>
      <c r="C261" s="50">
        <v>176</v>
      </c>
      <c r="D261" s="335" t="s">
        <v>494</v>
      </c>
      <c r="E261" s="335" t="s">
        <v>495</v>
      </c>
      <c r="F261" s="50">
        <v>6100302810</v>
      </c>
      <c r="G261" s="50">
        <v>243</v>
      </c>
      <c r="H261" s="37" t="e">
        <f t="shared" si="49"/>
        <v>#REF!</v>
      </c>
      <c r="I261" s="23" t="e">
        <f>#REF!</f>
        <v>#REF!</v>
      </c>
      <c r="J261" s="23" t="e">
        <f>#REF!</f>
        <v>#REF!</v>
      </c>
      <c r="K261" s="23" t="e">
        <f>#REF!</f>
        <v>#REF!</v>
      </c>
      <c r="L261" s="23" t="e">
        <f>#REF!</f>
        <v>#REF!</v>
      </c>
      <c r="M261" s="65"/>
      <c r="N261" s="65"/>
      <c r="O261" s="65"/>
      <c r="P261" s="65"/>
      <c r="Q261" s="65"/>
      <c r="R261" s="86">
        <f t="shared" si="50"/>
        <v>197178.4</v>
      </c>
      <c r="S261" s="86">
        <f>'Подробный перечень(БКАД)'!$H$511</f>
        <v>0</v>
      </c>
      <c r="T261" s="86">
        <f>'Подробный перечень(БКАД)'!$I$511</f>
        <v>0</v>
      </c>
      <c r="U261" s="86"/>
      <c r="V261" s="86">
        <f>'Подробный перечень (ОБ)'!$K$588</f>
        <v>197178.4</v>
      </c>
      <c r="W261" s="65"/>
      <c r="X261" s="66">
        <f>'Подробный перечень (ОБ)'!$M$588</f>
        <v>200000</v>
      </c>
      <c r="Y261" s="969"/>
      <c r="Z261" s="969"/>
      <c r="AA261" s="313"/>
      <c r="AE261" s="76"/>
    </row>
    <row r="262" spans="1:31" ht="24.75" customHeight="1">
      <c r="A262" s="13" t="s">
        <v>49</v>
      </c>
      <c r="B262" s="546" t="s">
        <v>337</v>
      </c>
      <c r="C262" s="50">
        <v>176</v>
      </c>
      <c r="D262" s="335" t="s">
        <v>494</v>
      </c>
      <c r="E262" s="335" t="s">
        <v>495</v>
      </c>
      <c r="F262" s="50">
        <v>6100302810</v>
      </c>
      <c r="G262" s="50">
        <v>243</v>
      </c>
      <c r="H262" s="37" t="e">
        <f t="shared" si="49"/>
        <v>#REF!</v>
      </c>
      <c r="I262" s="23" t="e">
        <f>#REF!</f>
        <v>#REF!</v>
      </c>
      <c r="J262" s="23" t="e">
        <f>#REF!</f>
        <v>#REF!</v>
      </c>
      <c r="K262" s="23" t="e">
        <f>#REF!</f>
        <v>#REF!</v>
      </c>
      <c r="L262" s="23" t="e">
        <f>#REF!</f>
        <v>#REF!</v>
      </c>
      <c r="M262" s="65"/>
      <c r="N262" s="65"/>
      <c r="O262" s="65"/>
      <c r="P262" s="65"/>
      <c r="Q262" s="65"/>
      <c r="R262" s="86">
        <f>'Подробный перечень (ОБ)'!$G$604</f>
        <v>40000</v>
      </c>
      <c r="S262" s="86"/>
      <c r="T262" s="86"/>
      <c r="U262" s="86"/>
      <c r="V262" s="86">
        <f>'Подробный перечень (ОБ)'!$K$604</f>
        <v>40000</v>
      </c>
      <c r="W262" s="65">
        <f>'Подробный перечень (ОБ)'!$L$608</f>
        <v>41200</v>
      </c>
      <c r="X262" s="66"/>
      <c r="Y262" s="969"/>
      <c r="Z262" s="969"/>
    </row>
    <row r="263" spans="1:31" ht="24.75" customHeight="1">
      <c r="A263" s="13" t="s">
        <v>50</v>
      </c>
      <c r="B263" s="546" t="s">
        <v>337</v>
      </c>
      <c r="C263" s="50">
        <v>176</v>
      </c>
      <c r="D263" s="335" t="s">
        <v>494</v>
      </c>
      <c r="E263" s="335" t="s">
        <v>495</v>
      </c>
      <c r="F263" s="50">
        <v>6100302810</v>
      </c>
      <c r="G263" s="50">
        <v>243</v>
      </c>
      <c r="H263" s="37" t="e">
        <f t="shared" si="49"/>
        <v>#REF!</v>
      </c>
      <c r="I263" s="23" t="e">
        <f>#REF!</f>
        <v>#REF!</v>
      </c>
      <c r="J263" s="23" t="e">
        <f>#REF!</f>
        <v>#REF!</v>
      </c>
      <c r="K263" s="23" t="e">
        <f>#REF!</f>
        <v>#REF!</v>
      </c>
      <c r="L263" s="23" t="e">
        <f>#REF!</f>
        <v>#REF!</v>
      </c>
      <c r="M263" s="65"/>
      <c r="N263" s="65"/>
      <c r="O263" s="65"/>
      <c r="P263" s="65"/>
      <c r="Q263" s="65"/>
      <c r="R263" s="86">
        <f t="shared" si="50"/>
        <v>26000</v>
      </c>
      <c r="S263" s="86"/>
      <c r="T263" s="86"/>
      <c r="U263" s="86"/>
      <c r="V263" s="86">
        <f>'Подробный перечень (ОБ)'!$K$618</f>
        <v>26000</v>
      </c>
      <c r="W263" s="65"/>
      <c r="X263" s="66"/>
      <c r="Y263" s="969"/>
      <c r="Z263" s="969"/>
      <c r="AE263" s="76"/>
    </row>
    <row r="264" spans="1:31" ht="24.75" customHeight="1">
      <c r="A264" s="13" t="s">
        <v>51</v>
      </c>
      <c r="B264" s="546" t="s">
        <v>337</v>
      </c>
      <c r="C264" s="50">
        <v>176</v>
      </c>
      <c r="D264" s="335" t="s">
        <v>494</v>
      </c>
      <c r="E264" s="335" t="s">
        <v>495</v>
      </c>
      <c r="F264" s="50">
        <v>6100302810</v>
      </c>
      <c r="G264" s="50">
        <v>243</v>
      </c>
      <c r="H264" s="37" t="e">
        <f t="shared" si="49"/>
        <v>#REF!</v>
      </c>
      <c r="I264" s="23" t="e">
        <f>#REF!</f>
        <v>#REF!</v>
      </c>
      <c r="J264" s="23" t="e">
        <f>#REF!</f>
        <v>#REF!</v>
      </c>
      <c r="K264" s="23" t="e">
        <f>#REF!</f>
        <v>#REF!</v>
      </c>
      <c r="L264" s="23" t="e">
        <f>#REF!</f>
        <v>#REF!</v>
      </c>
      <c r="M264" s="65"/>
      <c r="N264" s="65"/>
      <c r="O264" s="65"/>
      <c r="P264" s="65"/>
      <c r="Q264" s="65"/>
      <c r="R264" s="86">
        <f t="shared" si="50"/>
        <v>0</v>
      </c>
      <c r="S264" s="86">
        <f>'Подробный перечень(БКАД)'!$H$557</f>
        <v>0</v>
      </c>
      <c r="T264" s="86">
        <f>'Подробный перечень(БКАД)'!$I$557</f>
        <v>0</v>
      </c>
      <c r="U264" s="86"/>
      <c r="V264" s="86"/>
      <c r="W264" s="65"/>
      <c r="X264" s="66"/>
      <c r="Y264" s="969"/>
      <c r="Z264" s="969"/>
      <c r="AE264" s="76"/>
    </row>
    <row r="265" spans="1:31" ht="24.75" customHeight="1">
      <c r="A265" s="13" t="s">
        <v>52</v>
      </c>
      <c r="B265" s="546" t="s">
        <v>337</v>
      </c>
      <c r="C265" s="50">
        <v>176</v>
      </c>
      <c r="D265" s="335" t="s">
        <v>494</v>
      </c>
      <c r="E265" s="335" t="s">
        <v>495</v>
      </c>
      <c r="F265" s="50">
        <v>6100302810</v>
      </c>
      <c r="G265" s="50">
        <v>243</v>
      </c>
      <c r="H265" s="37" t="e">
        <f t="shared" si="49"/>
        <v>#REF!</v>
      </c>
      <c r="I265" s="23" t="e">
        <f>#REF!</f>
        <v>#REF!</v>
      </c>
      <c r="J265" s="23" t="e">
        <f>#REF!</f>
        <v>#REF!</v>
      </c>
      <c r="K265" s="23" t="e">
        <f>#REF!</f>
        <v>#REF!</v>
      </c>
      <c r="L265" s="23" t="e">
        <f>#REF!</f>
        <v>#REF!</v>
      </c>
      <c r="M265" s="65"/>
      <c r="N265" s="65"/>
      <c r="O265" s="65"/>
      <c r="P265" s="65"/>
      <c r="Q265" s="65"/>
      <c r="R265" s="86">
        <f t="shared" si="50"/>
        <v>0</v>
      </c>
      <c r="S265" s="86"/>
      <c r="T265" s="86"/>
      <c r="U265" s="86"/>
      <c r="V265" s="86"/>
      <c r="W265" s="65"/>
      <c r="X265" s="66"/>
      <c r="Y265" s="969"/>
      <c r="Z265" s="969"/>
    </row>
    <row r="266" spans="1:31" ht="24.75" customHeight="1">
      <c r="A266" s="13" t="s">
        <v>53</v>
      </c>
      <c r="B266" s="546" t="s">
        <v>337</v>
      </c>
      <c r="C266" s="50">
        <v>176</v>
      </c>
      <c r="D266" s="335" t="s">
        <v>494</v>
      </c>
      <c r="E266" s="335" t="s">
        <v>495</v>
      </c>
      <c r="F266" s="50">
        <v>6100302810</v>
      </c>
      <c r="G266" s="50">
        <v>243</v>
      </c>
      <c r="H266" s="37" t="e">
        <f t="shared" si="49"/>
        <v>#REF!</v>
      </c>
      <c r="I266" s="23" t="e">
        <f>#REF!</f>
        <v>#REF!</v>
      </c>
      <c r="J266" s="23" t="e">
        <f>#REF!</f>
        <v>#REF!</v>
      </c>
      <c r="K266" s="23" t="e">
        <f>#REF!</f>
        <v>#REF!</v>
      </c>
      <c r="L266" s="23" t="e">
        <f>#REF!</f>
        <v>#REF!</v>
      </c>
      <c r="M266" s="65"/>
      <c r="N266" s="65"/>
      <c r="O266" s="65"/>
      <c r="P266" s="65"/>
      <c r="Q266" s="65"/>
      <c r="R266" s="86">
        <f t="shared" si="50"/>
        <v>11420.7</v>
      </c>
      <c r="S266" s="86">
        <f>'Подробный перечень(БКАД)'!$H$579</f>
        <v>0</v>
      </c>
      <c r="T266" s="86">
        <f>'Подробный перечень(БКАД)'!$I$579</f>
        <v>0</v>
      </c>
      <c r="U266" s="86"/>
      <c r="V266" s="86">
        <f>'Подробный перечень (ОБ)'!$K$657</f>
        <v>11420.7</v>
      </c>
      <c r="W266" s="65"/>
      <c r="X266" s="66"/>
      <c r="Y266" s="969"/>
      <c r="Z266" s="969"/>
      <c r="AA266" s="313"/>
    </row>
    <row r="267" spans="1:31" ht="24.75" customHeight="1">
      <c r="A267" s="13" t="s">
        <v>54</v>
      </c>
      <c r="B267" s="546" t="s">
        <v>337</v>
      </c>
      <c r="C267" s="50">
        <v>176</v>
      </c>
      <c r="D267" s="335" t="s">
        <v>494</v>
      </c>
      <c r="E267" s="335" t="s">
        <v>495</v>
      </c>
      <c r="F267" s="50">
        <v>6100302810</v>
      </c>
      <c r="G267" s="50">
        <v>243</v>
      </c>
      <c r="H267" s="37" t="e">
        <f t="shared" si="49"/>
        <v>#REF!</v>
      </c>
      <c r="I267" s="23" t="e">
        <f>#REF!</f>
        <v>#REF!</v>
      </c>
      <c r="J267" s="23" t="e">
        <f>#REF!</f>
        <v>#REF!</v>
      </c>
      <c r="K267" s="23" t="e">
        <f>#REF!</f>
        <v>#REF!</v>
      </c>
      <c r="L267" s="23" t="e">
        <f>#REF!</f>
        <v>#REF!</v>
      </c>
      <c r="M267" s="65" t="e">
        <f>'Подробный перечень(БКАД)'!#REF!</f>
        <v>#REF!</v>
      </c>
      <c r="N267" s="65"/>
      <c r="O267" s="65"/>
      <c r="P267" s="65"/>
      <c r="Q267" s="65" t="e">
        <f>'Подробный перечень(БКАД)'!#REF!</f>
        <v>#REF!</v>
      </c>
      <c r="R267" s="86">
        <f t="shared" si="50"/>
        <v>0</v>
      </c>
      <c r="S267" s="86"/>
      <c r="T267" s="86"/>
      <c r="U267" s="86"/>
      <c r="V267" s="86"/>
      <c r="W267" s="65"/>
      <c r="X267" s="66"/>
      <c r="Y267" s="969"/>
      <c r="Z267" s="969"/>
    </row>
    <row r="268" spans="1:31" ht="24.75" customHeight="1">
      <c r="A268" s="13" t="s">
        <v>55</v>
      </c>
      <c r="B268" s="546" t="s">
        <v>337</v>
      </c>
      <c r="C268" s="50">
        <v>176</v>
      </c>
      <c r="D268" s="335" t="s">
        <v>494</v>
      </c>
      <c r="E268" s="335" t="s">
        <v>495</v>
      </c>
      <c r="F268" s="50">
        <v>6100302810</v>
      </c>
      <c r="G268" s="50">
        <v>243</v>
      </c>
      <c r="H268" s="37" t="e">
        <f t="shared" si="49"/>
        <v>#REF!</v>
      </c>
      <c r="I268" s="23" t="e">
        <f>#REF!</f>
        <v>#REF!</v>
      </c>
      <c r="J268" s="23" t="e">
        <f>#REF!</f>
        <v>#REF!</v>
      </c>
      <c r="K268" s="23" t="e">
        <f>#REF!</f>
        <v>#REF!</v>
      </c>
      <c r="L268" s="23" t="e">
        <f>#REF!</f>
        <v>#REF!</v>
      </c>
      <c r="M268" s="65" t="e">
        <f>'Подробный перечень(БКАД)'!#REF!</f>
        <v>#REF!</v>
      </c>
      <c r="N268" s="65" t="e">
        <f>'Подробный перечень(БКАД)'!#REF!</f>
        <v>#REF!</v>
      </c>
      <c r="O268" s="65"/>
      <c r="P268" s="65"/>
      <c r="Q268" s="65"/>
      <c r="R268" s="86">
        <f t="shared" si="50"/>
        <v>0</v>
      </c>
      <c r="S268" s="86"/>
      <c r="T268" s="86"/>
      <c r="U268" s="86"/>
      <c r="V268" s="86"/>
      <c r="W268" s="65"/>
      <c r="X268" s="66"/>
      <c r="Y268" s="969"/>
      <c r="Z268" s="969"/>
    </row>
    <row r="269" spans="1:31" ht="24.75" customHeight="1">
      <c r="A269" s="13" t="s">
        <v>56</v>
      </c>
      <c r="B269" s="546" t="s">
        <v>337</v>
      </c>
      <c r="C269" s="50">
        <v>176</v>
      </c>
      <c r="D269" s="335" t="s">
        <v>494</v>
      </c>
      <c r="E269" s="335" t="s">
        <v>495</v>
      </c>
      <c r="F269" s="50">
        <v>6100302810</v>
      </c>
      <c r="G269" s="50">
        <v>243</v>
      </c>
      <c r="H269" s="37" t="e">
        <f t="shared" si="49"/>
        <v>#REF!</v>
      </c>
      <c r="I269" s="23" t="e">
        <f>#REF!</f>
        <v>#REF!</v>
      </c>
      <c r="J269" s="23" t="e">
        <f>#REF!</f>
        <v>#REF!</v>
      </c>
      <c r="K269" s="23" t="e">
        <f>#REF!</f>
        <v>#REF!</v>
      </c>
      <c r="L269" s="23" t="e">
        <f>#REF!</f>
        <v>#REF!</v>
      </c>
      <c r="M269" s="65" t="e">
        <f>'Подробный перечень(БКАД)'!#REF!</f>
        <v>#REF!</v>
      </c>
      <c r="N269" s="65" t="e">
        <f>'Подробный перечень(БКАД)'!#REF!</f>
        <v>#REF!</v>
      </c>
      <c r="O269" s="65"/>
      <c r="P269" s="65"/>
      <c r="Q269" s="65"/>
      <c r="R269" s="86">
        <f t="shared" si="50"/>
        <v>0</v>
      </c>
      <c r="S269" s="86"/>
      <c r="T269" s="86"/>
      <c r="U269" s="86"/>
      <c r="V269" s="86"/>
      <c r="W269" s="65"/>
      <c r="X269" s="66"/>
      <c r="Y269" s="969"/>
      <c r="Z269" s="969"/>
    </row>
    <row r="270" spans="1:31" ht="24.75" customHeight="1">
      <c r="A270" s="13" t="s">
        <v>57</v>
      </c>
      <c r="B270" s="546" t="s">
        <v>10</v>
      </c>
      <c r="C270" s="50">
        <v>176</v>
      </c>
      <c r="D270" s="335" t="s">
        <v>494</v>
      </c>
      <c r="E270" s="335" t="s">
        <v>495</v>
      </c>
      <c r="F270" s="50">
        <v>6100302810</v>
      </c>
      <c r="G270" s="50">
        <v>243</v>
      </c>
      <c r="H270" s="37" t="e">
        <f t="shared" si="49"/>
        <v>#REF!</v>
      </c>
      <c r="I270" s="23" t="e">
        <f>#REF!</f>
        <v>#REF!</v>
      </c>
      <c r="J270" s="23" t="e">
        <f>#REF!</f>
        <v>#REF!</v>
      </c>
      <c r="K270" s="23" t="e">
        <f>#REF!</f>
        <v>#REF!</v>
      </c>
      <c r="L270" s="23" t="e">
        <f>#REF!</f>
        <v>#REF!</v>
      </c>
      <c r="M270" s="65" t="e">
        <f>'Подробный перечень(БКАД)'!#REF!</f>
        <v>#REF!</v>
      </c>
      <c r="N270" s="65" t="e">
        <f>'Подробный перечень(БКАД)'!#REF!</f>
        <v>#REF!</v>
      </c>
      <c r="O270" s="65"/>
      <c r="P270" s="65"/>
      <c r="Q270" s="65" t="e">
        <f>'Подробный перечень(БКАД)'!#REF!</f>
        <v>#REF!</v>
      </c>
      <c r="R270" s="86">
        <f t="shared" si="50"/>
        <v>3418.3</v>
      </c>
      <c r="S270" s="86"/>
      <c r="T270" s="86"/>
      <c r="U270" s="86"/>
      <c r="V270" s="86">
        <f>'Подробный перечень (ОБ)'!$K$686</f>
        <v>3418.3</v>
      </c>
      <c r="W270" s="65">
        <f>'Подробный перечень (ОБ)'!$L$686</f>
        <v>0</v>
      </c>
      <c r="X270" s="66"/>
      <c r="Y270" s="969"/>
      <c r="Z270" s="969"/>
    </row>
    <row r="271" spans="1:31" ht="24.75" customHeight="1">
      <c r="A271" s="13" t="s">
        <v>58</v>
      </c>
      <c r="B271" s="546" t="s">
        <v>10</v>
      </c>
      <c r="C271" s="50">
        <v>176</v>
      </c>
      <c r="D271" s="335" t="s">
        <v>494</v>
      </c>
      <c r="E271" s="335" t="s">
        <v>495</v>
      </c>
      <c r="F271" s="50">
        <v>6100302810</v>
      </c>
      <c r="G271" s="50">
        <v>243</v>
      </c>
      <c r="H271" s="37" t="e">
        <f t="shared" si="49"/>
        <v>#REF!</v>
      </c>
      <c r="I271" s="23" t="e">
        <f>#REF!</f>
        <v>#REF!</v>
      </c>
      <c r="J271" s="23" t="e">
        <f>#REF!</f>
        <v>#REF!</v>
      </c>
      <c r="K271" s="23" t="e">
        <f>#REF!</f>
        <v>#REF!</v>
      </c>
      <c r="L271" s="23" t="e">
        <f>#REF!</f>
        <v>#REF!</v>
      </c>
      <c r="M271" s="65"/>
      <c r="N271" s="65"/>
      <c r="O271" s="65"/>
      <c r="P271" s="65"/>
      <c r="Q271" s="65"/>
      <c r="R271" s="86">
        <f t="shared" si="50"/>
        <v>0</v>
      </c>
      <c r="S271" s="86"/>
      <c r="T271" s="86"/>
      <c r="U271" s="86"/>
      <c r="V271" s="86">
        <f>'Подробный перечень (ОБ)'!$K$698</f>
        <v>0</v>
      </c>
      <c r="W271" s="65"/>
      <c r="X271" s="66"/>
      <c r="Y271" s="969"/>
      <c r="Z271" s="969"/>
    </row>
    <row r="272" spans="1:31" ht="24.75" customHeight="1">
      <c r="A272" s="13" t="s">
        <v>59</v>
      </c>
      <c r="B272" s="546" t="s">
        <v>10</v>
      </c>
      <c r="C272" s="50">
        <v>176</v>
      </c>
      <c r="D272" s="335" t="s">
        <v>494</v>
      </c>
      <c r="E272" s="335" t="s">
        <v>495</v>
      </c>
      <c r="F272" s="50">
        <v>6100302810</v>
      </c>
      <c r="G272" s="50">
        <v>243</v>
      </c>
      <c r="H272" s="37" t="e">
        <f t="shared" si="49"/>
        <v>#REF!</v>
      </c>
      <c r="I272" s="23" t="e">
        <f>#REF!</f>
        <v>#REF!</v>
      </c>
      <c r="J272" s="23" t="e">
        <f>#REF!</f>
        <v>#REF!</v>
      </c>
      <c r="K272" s="23" t="e">
        <f>#REF!</f>
        <v>#REF!</v>
      </c>
      <c r="L272" s="23" t="e">
        <f>#REF!</f>
        <v>#REF!</v>
      </c>
      <c r="M272" s="65" t="e">
        <f>'Подробный перечень(БКАД)'!#REF!</f>
        <v>#REF!</v>
      </c>
      <c r="N272" s="65" t="e">
        <f>'Подробный перечень(БКАД)'!#REF!</f>
        <v>#REF!</v>
      </c>
      <c r="O272" s="65"/>
      <c r="P272" s="65"/>
      <c r="Q272" s="65"/>
      <c r="R272" s="86">
        <f t="shared" si="50"/>
        <v>5663.8</v>
      </c>
      <c r="S272" s="86"/>
      <c r="T272" s="86"/>
      <c r="U272" s="86"/>
      <c r="V272" s="86">
        <f>'Подробный перечень (ОБ)'!$K$714</f>
        <v>5663.8</v>
      </c>
      <c r="W272" s="65">
        <f>'Подробный перечень (ОБ)'!$L$714</f>
        <v>20000</v>
      </c>
      <c r="X272" s="66">
        <f>'Подробный перечень (ОБ)'!$M$714</f>
        <v>155000</v>
      </c>
      <c r="Y272" s="969"/>
      <c r="Z272" s="969"/>
    </row>
    <row r="273" spans="1:31" ht="24.75" customHeight="1">
      <c r="A273" s="992" t="s">
        <v>60</v>
      </c>
      <c r="B273" s="546" t="s">
        <v>25</v>
      </c>
      <c r="C273" s="50">
        <v>176</v>
      </c>
      <c r="D273" s="335" t="s">
        <v>494</v>
      </c>
      <c r="E273" s="335" t="s">
        <v>495</v>
      </c>
      <c r="F273" s="50" t="s">
        <v>266</v>
      </c>
      <c r="G273" s="50">
        <v>243</v>
      </c>
      <c r="H273" s="37" t="e">
        <f t="shared" si="49"/>
        <v>#REF!</v>
      </c>
      <c r="I273" s="23" t="e">
        <f>#REF!</f>
        <v>#REF!</v>
      </c>
      <c r="J273" s="23" t="e">
        <f>#REF!</f>
        <v>#REF!</v>
      </c>
      <c r="K273" s="23" t="e">
        <f>#REF!</f>
        <v>#REF!</v>
      </c>
      <c r="L273" s="23" t="e">
        <f>#REF!</f>
        <v>#REF!</v>
      </c>
      <c r="M273" s="65"/>
      <c r="N273" s="65"/>
      <c r="O273" s="65"/>
      <c r="P273" s="65"/>
      <c r="Q273" s="65"/>
      <c r="R273" s="86">
        <f t="shared" si="50"/>
        <v>2270.4</v>
      </c>
      <c r="S273" s="86">
        <f t="shared" ref="S273:V273" si="51">S274+S275</f>
        <v>0</v>
      </c>
      <c r="T273" s="86">
        <f t="shared" si="51"/>
        <v>0</v>
      </c>
      <c r="U273" s="86">
        <f t="shared" si="51"/>
        <v>0</v>
      </c>
      <c r="V273" s="86">
        <f t="shared" si="51"/>
        <v>2270.4</v>
      </c>
      <c r="W273" s="65">
        <f>W274</f>
        <v>112000</v>
      </c>
      <c r="X273" s="66">
        <f>X274</f>
        <v>15000</v>
      </c>
      <c r="Y273" s="969"/>
      <c r="Z273" s="969"/>
    </row>
    <row r="274" spans="1:31" ht="24.75" customHeight="1">
      <c r="A274" s="994"/>
      <c r="B274" s="546" t="s">
        <v>10</v>
      </c>
      <c r="C274" s="126">
        <v>176</v>
      </c>
      <c r="D274" s="335" t="s">
        <v>494</v>
      </c>
      <c r="E274" s="335" t="s">
        <v>495</v>
      </c>
      <c r="F274" s="126">
        <v>6100302810</v>
      </c>
      <c r="G274" s="126">
        <v>243</v>
      </c>
      <c r="H274" s="37"/>
      <c r="I274" s="23"/>
      <c r="J274" s="23"/>
      <c r="K274" s="23"/>
      <c r="L274" s="23"/>
      <c r="M274" s="65"/>
      <c r="N274" s="65"/>
      <c r="O274" s="65"/>
      <c r="P274" s="65"/>
      <c r="Q274" s="65"/>
      <c r="R274" s="86">
        <f t="shared" si="50"/>
        <v>2270.4</v>
      </c>
      <c r="S274" s="86"/>
      <c r="T274" s="86"/>
      <c r="U274" s="86"/>
      <c r="V274" s="86">
        <f>'Подробный перечень (ОБ)'!$K$724</f>
        <v>2270.4</v>
      </c>
      <c r="W274" s="65">
        <f>'Подробный перечень (ОБ)'!$L$724</f>
        <v>112000</v>
      </c>
      <c r="X274" s="66">
        <f>'Подробный перечень (ОБ)'!$M$724</f>
        <v>15000</v>
      </c>
      <c r="Y274" s="969"/>
      <c r="Z274" s="969"/>
      <c r="AA274" s="313"/>
    </row>
    <row r="275" spans="1:31" ht="24.75" hidden="1" customHeight="1">
      <c r="A275" s="993"/>
      <c r="B275" s="546" t="s">
        <v>443</v>
      </c>
      <c r="C275" s="126">
        <v>176</v>
      </c>
      <c r="D275" s="335" t="s">
        <v>494</v>
      </c>
      <c r="E275" s="335" t="s">
        <v>495</v>
      </c>
      <c r="F275" s="126">
        <v>6100353902</v>
      </c>
      <c r="G275" s="126">
        <v>243</v>
      </c>
      <c r="H275" s="37"/>
      <c r="I275" s="23"/>
      <c r="J275" s="23"/>
      <c r="K275" s="23"/>
      <c r="L275" s="23"/>
      <c r="M275" s="65"/>
      <c r="N275" s="65"/>
      <c r="O275" s="65"/>
      <c r="P275" s="65"/>
      <c r="Q275" s="65"/>
      <c r="R275" s="86">
        <f t="shared" si="50"/>
        <v>0</v>
      </c>
      <c r="S275" s="86"/>
      <c r="T275" s="86"/>
      <c r="U275" s="86"/>
      <c r="V275" s="86">
        <f>'Подробный перечень (ОБ)'!K524</f>
        <v>0</v>
      </c>
      <c r="W275" s="65"/>
      <c r="X275" s="66"/>
      <c r="Y275" s="969"/>
      <c r="Z275" s="969"/>
    </row>
    <row r="276" spans="1:31" ht="24.75" customHeight="1">
      <c r="A276" s="13" t="s">
        <v>61</v>
      </c>
      <c r="B276" s="546" t="s">
        <v>10</v>
      </c>
      <c r="C276" s="50">
        <v>176</v>
      </c>
      <c r="D276" s="335" t="s">
        <v>494</v>
      </c>
      <c r="E276" s="335" t="s">
        <v>495</v>
      </c>
      <c r="F276" s="50">
        <v>6100302810</v>
      </c>
      <c r="G276" s="50">
        <v>243</v>
      </c>
      <c r="H276" s="37" t="e">
        <f t="shared" si="49"/>
        <v>#REF!</v>
      </c>
      <c r="I276" s="23" t="e">
        <f>#REF!</f>
        <v>#REF!</v>
      </c>
      <c r="J276" s="23" t="e">
        <f>#REF!</f>
        <v>#REF!</v>
      </c>
      <c r="K276" s="23" t="e">
        <f>#REF!</f>
        <v>#REF!</v>
      </c>
      <c r="L276" s="23" t="e">
        <f>#REF!</f>
        <v>#REF!</v>
      </c>
      <c r="M276" s="65"/>
      <c r="N276" s="65"/>
      <c r="O276" s="65"/>
      <c r="P276" s="65"/>
      <c r="Q276" s="65"/>
      <c r="R276" s="86">
        <f t="shared" si="50"/>
        <v>108920.6</v>
      </c>
      <c r="S276" s="86"/>
      <c r="T276" s="86"/>
      <c r="U276" s="86"/>
      <c r="V276" s="86">
        <f>'Подробный перечень (ОБ)'!$K$746</f>
        <v>108920.6</v>
      </c>
      <c r="W276" s="65">
        <f>'Подробный перечень (ОБ)'!$L$746</f>
        <v>35000</v>
      </c>
      <c r="X276" s="66"/>
      <c r="Y276" s="969"/>
      <c r="Z276" s="969"/>
    </row>
    <row r="277" spans="1:31" ht="24.75" customHeight="1">
      <c r="A277" s="13" t="s">
        <v>62</v>
      </c>
      <c r="B277" s="546" t="s">
        <v>10</v>
      </c>
      <c r="C277" s="50">
        <v>176</v>
      </c>
      <c r="D277" s="335" t="s">
        <v>494</v>
      </c>
      <c r="E277" s="335" t="s">
        <v>495</v>
      </c>
      <c r="F277" s="50">
        <v>6100302810</v>
      </c>
      <c r="G277" s="50">
        <v>243</v>
      </c>
      <c r="H277" s="37" t="e">
        <f t="shared" si="49"/>
        <v>#REF!</v>
      </c>
      <c r="I277" s="23" t="e">
        <f>#REF!</f>
        <v>#REF!</v>
      </c>
      <c r="J277" s="23" t="e">
        <f>#REF!</f>
        <v>#REF!</v>
      </c>
      <c r="K277" s="23" t="e">
        <f>#REF!</f>
        <v>#REF!</v>
      </c>
      <c r="L277" s="23" t="e">
        <f>#REF!</f>
        <v>#REF!</v>
      </c>
      <c r="M277" s="65" t="e">
        <f>'Подробный перечень(БКАД)'!#REF!</f>
        <v>#REF!</v>
      </c>
      <c r="N277" s="65"/>
      <c r="O277" s="65"/>
      <c r="P277" s="65" t="e">
        <f>'Подробный перечень(БКАД)'!#REF!</f>
        <v>#REF!</v>
      </c>
      <c r="Q277" s="65"/>
      <c r="R277" s="86">
        <f t="shared" si="50"/>
        <v>0</v>
      </c>
      <c r="S277" s="86"/>
      <c r="T277" s="86"/>
      <c r="U277" s="86"/>
      <c r="V277" s="86"/>
      <c r="W277" s="65"/>
      <c r="X277" s="66"/>
      <c r="Y277" s="969"/>
      <c r="Z277" s="969"/>
      <c r="AA277" s="313"/>
    </row>
    <row r="278" spans="1:31" ht="24.75" customHeight="1">
      <c r="A278" s="13" t="s">
        <v>63</v>
      </c>
      <c r="B278" s="546" t="s">
        <v>10</v>
      </c>
      <c r="C278" s="50">
        <v>176</v>
      </c>
      <c r="D278" s="335" t="s">
        <v>494</v>
      </c>
      <c r="E278" s="335" t="s">
        <v>495</v>
      </c>
      <c r="F278" s="50">
        <v>6100302810</v>
      </c>
      <c r="G278" s="50">
        <v>243</v>
      </c>
      <c r="H278" s="37" t="e">
        <f t="shared" si="49"/>
        <v>#REF!</v>
      </c>
      <c r="I278" s="23" t="e">
        <f>#REF!</f>
        <v>#REF!</v>
      </c>
      <c r="J278" s="23" t="e">
        <f>#REF!</f>
        <v>#REF!</v>
      </c>
      <c r="K278" s="23" t="e">
        <f>#REF!</f>
        <v>#REF!</v>
      </c>
      <c r="L278" s="23" t="e">
        <f>#REF!</f>
        <v>#REF!</v>
      </c>
      <c r="M278" s="65" t="e">
        <f>'Подробный перечень(БКАД)'!#REF!</f>
        <v>#REF!</v>
      </c>
      <c r="N278" s="65" t="e">
        <f>'Подробный перечень(БКАД)'!#REF!</f>
        <v>#REF!</v>
      </c>
      <c r="O278" s="65"/>
      <c r="P278" s="65"/>
      <c r="Q278" s="65" t="e">
        <f>'Подробный перечень(БКАД)'!#REF!</f>
        <v>#REF!</v>
      </c>
      <c r="R278" s="86">
        <f t="shared" si="50"/>
        <v>0</v>
      </c>
      <c r="S278" s="86"/>
      <c r="T278" s="86"/>
      <c r="U278" s="86"/>
      <c r="V278" s="86">
        <f>'Подробный перечень (ОБ)'!$K$777</f>
        <v>0</v>
      </c>
      <c r="W278" s="65"/>
      <c r="X278" s="66"/>
      <c r="Y278" s="969"/>
      <c r="Z278" s="969"/>
      <c r="AE278" s="76"/>
    </row>
    <row r="279" spans="1:31" ht="24.75" customHeight="1">
      <c r="A279" s="13" t="s">
        <v>64</v>
      </c>
      <c r="B279" s="546" t="s">
        <v>10</v>
      </c>
      <c r="C279" s="50">
        <v>176</v>
      </c>
      <c r="D279" s="335" t="s">
        <v>494</v>
      </c>
      <c r="E279" s="335" t="s">
        <v>495</v>
      </c>
      <c r="F279" s="50">
        <v>6100302810</v>
      </c>
      <c r="G279" s="50">
        <v>243</v>
      </c>
      <c r="H279" s="37" t="e">
        <f t="shared" si="49"/>
        <v>#REF!</v>
      </c>
      <c r="I279" s="23" t="e">
        <f>#REF!</f>
        <v>#REF!</v>
      </c>
      <c r="J279" s="23" t="e">
        <f>#REF!</f>
        <v>#REF!</v>
      </c>
      <c r="K279" s="23" t="e">
        <f>#REF!</f>
        <v>#REF!</v>
      </c>
      <c r="L279" s="23" t="e">
        <f>#REF!</f>
        <v>#REF!</v>
      </c>
      <c r="M279" s="65" t="e">
        <f>'Подробный перечень(БКАД)'!#REF!</f>
        <v>#REF!</v>
      </c>
      <c r="N279" s="65"/>
      <c r="O279" s="65"/>
      <c r="P279" s="65" t="e">
        <f>'Подробный перечень(БКАД)'!#REF!</f>
        <v>#REF!</v>
      </c>
      <c r="Q279" s="65"/>
      <c r="R279" s="86">
        <f t="shared" si="50"/>
        <v>0</v>
      </c>
      <c r="S279" s="86"/>
      <c r="T279" s="86"/>
      <c r="U279" s="86"/>
      <c r="V279" s="86"/>
      <c r="W279" s="65"/>
      <c r="X279" s="66"/>
      <c r="Y279" s="969"/>
      <c r="Z279" s="969"/>
    </row>
    <row r="280" spans="1:31" ht="24.75" customHeight="1">
      <c r="A280" s="16" t="s">
        <v>65</v>
      </c>
      <c r="B280" s="546" t="s">
        <v>10</v>
      </c>
      <c r="C280" s="126">
        <v>176</v>
      </c>
      <c r="D280" s="335" t="s">
        <v>494</v>
      </c>
      <c r="E280" s="335" t="s">
        <v>495</v>
      </c>
      <c r="F280" s="126">
        <v>6100302810</v>
      </c>
      <c r="G280" s="126">
        <v>243</v>
      </c>
      <c r="H280" s="37"/>
      <c r="I280" s="23"/>
      <c r="J280" s="23"/>
      <c r="K280" s="23"/>
      <c r="L280" s="23"/>
      <c r="M280" s="65"/>
      <c r="N280" s="65"/>
      <c r="O280" s="65"/>
      <c r="P280" s="65"/>
      <c r="Q280" s="65"/>
      <c r="R280" s="86">
        <f t="shared" si="50"/>
        <v>6291.9</v>
      </c>
      <c r="S280" s="86"/>
      <c r="T280" s="86"/>
      <c r="U280" s="86"/>
      <c r="V280" s="86">
        <f>'Подробный перечень (ОБ)'!$K$799</f>
        <v>6291.9</v>
      </c>
      <c r="W280" s="65"/>
      <c r="X280" s="66"/>
      <c r="Y280" s="969"/>
      <c r="Z280" s="969"/>
    </row>
    <row r="281" spans="1:31" ht="24.75" hidden="1" customHeight="1">
      <c r="A281" s="461"/>
      <c r="B281" s="546" t="s">
        <v>10</v>
      </c>
      <c r="C281" s="126">
        <v>176</v>
      </c>
      <c r="D281" s="335" t="s">
        <v>15</v>
      </c>
      <c r="E281" s="335" t="s">
        <v>15</v>
      </c>
      <c r="F281" s="126">
        <v>6100053902</v>
      </c>
      <c r="G281" s="126">
        <v>243</v>
      </c>
      <c r="H281" s="37"/>
      <c r="I281" s="23"/>
      <c r="J281" s="23"/>
      <c r="K281" s="23"/>
      <c r="L281" s="23"/>
      <c r="M281" s="65"/>
      <c r="N281" s="65"/>
      <c r="O281" s="65"/>
      <c r="P281" s="65"/>
      <c r="Q281" s="65"/>
      <c r="R281" s="86">
        <f t="shared" si="50"/>
        <v>0</v>
      </c>
      <c r="S281" s="86"/>
      <c r="T281" s="86"/>
      <c r="U281" s="86"/>
      <c r="V281" s="86"/>
      <c r="W281" s="65"/>
      <c r="X281" s="66"/>
      <c r="Y281" s="969"/>
      <c r="Z281" s="969"/>
      <c r="AA281" s="313"/>
    </row>
    <row r="282" spans="1:31" ht="24.75" customHeight="1">
      <c r="A282" s="462" t="s">
        <v>66</v>
      </c>
      <c r="B282" s="546" t="s">
        <v>10</v>
      </c>
      <c r="C282" s="50">
        <v>176</v>
      </c>
      <c r="D282" s="335" t="s">
        <v>494</v>
      </c>
      <c r="E282" s="335" t="s">
        <v>495</v>
      </c>
      <c r="F282" s="50">
        <v>6100302810</v>
      </c>
      <c r="G282" s="50">
        <v>243</v>
      </c>
      <c r="H282" s="37" t="e">
        <f t="shared" si="49"/>
        <v>#REF!</v>
      </c>
      <c r="I282" s="23" t="e">
        <f>#REF!</f>
        <v>#REF!</v>
      </c>
      <c r="J282" s="23" t="e">
        <f>#REF!</f>
        <v>#REF!</v>
      </c>
      <c r="K282" s="23" t="e">
        <f>#REF!</f>
        <v>#REF!</v>
      </c>
      <c r="L282" s="23" t="e">
        <f>#REF!</f>
        <v>#REF!</v>
      </c>
      <c r="M282" s="65" t="e">
        <f>'Подробный перечень(БКАД)'!#REF!</f>
        <v>#REF!</v>
      </c>
      <c r="N282" s="65" t="e">
        <f>'Подробный перечень(БКАД)'!#REF!</f>
        <v>#REF!</v>
      </c>
      <c r="O282" s="65"/>
      <c r="P282" s="65"/>
      <c r="Q282" s="65"/>
      <c r="R282" s="86">
        <f t="shared" si="50"/>
        <v>21823.8</v>
      </c>
      <c r="S282" s="86"/>
      <c r="T282" s="86"/>
      <c r="U282" s="86"/>
      <c r="V282" s="86">
        <f>'Подробный перечень (ОБ)'!$K$815</f>
        <v>21823.8</v>
      </c>
      <c r="W282" s="65"/>
      <c r="X282" s="66"/>
      <c r="Y282" s="969"/>
      <c r="Z282" s="969"/>
      <c r="AA282" s="313"/>
    </row>
    <row r="283" spans="1:31" ht="24.75" customHeight="1">
      <c r="A283" s="13" t="s">
        <v>67</v>
      </c>
      <c r="B283" s="546" t="s">
        <v>10</v>
      </c>
      <c r="C283" s="50">
        <v>176</v>
      </c>
      <c r="D283" s="335" t="s">
        <v>494</v>
      </c>
      <c r="E283" s="335" t="s">
        <v>495</v>
      </c>
      <c r="F283" s="50">
        <v>6100302810</v>
      </c>
      <c r="G283" s="50">
        <v>243</v>
      </c>
      <c r="H283" s="37" t="e">
        <f t="shared" si="49"/>
        <v>#REF!</v>
      </c>
      <c r="I283" s="23" t="e">
        <f>#REF!</f>
        <v>#REF!</v>
      </c>
      <c r="J283" s="23" t="e">
        <f>#REF!</f>
        <v>#REF!</v>
      </c>
      <c r="K283" s="23" t="e">
        <f>#REF!</f>
        <v>#REF!</v>
      </c>
      <c r="L283" s="23" t="e">
        <f>#REF!</f>
        <v>#REF!</v>
      </c>
      <c r="M283" s="65" t="e">
        <f>'Подробный перечень(БКАД)'!#REF!</f>
        <v>#REF!</v>
      </c>
      <c r="N283" s="65"/>
      <c r="O283" s="65"/>
      <c r="P283" s="65" t="e">
        <f>'Подробный перечень(БКАД)'!#REF!</f>
        <v>#REF!</v>
      </c>
      <c r="Q283" s="65"/>
      <c r="R283" s="86">
        <f t="shared" si="50"/>
        <v>0</v>
      </c>
      <c r="S283" s="86"/>
      <c r="T283" s="86"/>
      <c r="U283" s="86"/>
      <c r="V283" s="86"/>
      <c r="W283" s="65"/>
      <c r="X283" s="66"/>
      <c r="Y283" s="969"/>
      <c r="Z283" s="969"/>
      <c r="AA283" s="313"/>
    </row>
    <row r="284" spans="1:31" ht="24.75" customHeight="1">
      <c r="A284" s="13" t="s">
        <v>68</v>
      </c>
      <c r="B284" s="546" t="s">
        <v>10</v>
      </c>
      <c r="C284" s="50">
        <v>176</v>
      </c>
      <c r="D284" s="335" t="s">
        <v>494</v>
      </c>
      <c r="E284" s="335" t="s">
        <v>495</v>
      </c>
      <c r="F284" s="50">
        <v>6100302810</v>
      </c>
      <c r="G284" s="50">
        <v>243</v>
      </c>
      <c r="H284" s="37" t="e">
        <f t="shared" si="49"/>
        <v>#REF!</v>
      </c>
      <c r="I284" s="23" t="e">
        <f>#REF!</f>
        <v>#REF!</v>
      </c>
      <c r="J284" s="23" t="e">
        <f>#REF!</f>
        <v>#REF!</v>
      </c>
      <c r="K284" s="23" t="e">
        <f>#REF!</f>
        <v>#REF!</v>
      </c>
      <c r="L284" s="23" t="e">
        <f>#REF!</f>
        <v>#REF!</v>
      </c>
      <c r="M284" s="65" t="e">
        <f>'Подробный перечень(БКАД)'!#REF!</f>
        <v>#REF!</v>
      </c>
      <c r="N284" s="65" t="e">
        <f>'Подробный перечень(БКАД)'!#REF!</f>
        <v>#REF!</v>
      </c>
      <c r="O284" s="65"/>
      <c r="P284" s="65"/>
      <c r="Q284" s="65"/>
      <c r="R284" s="86">
        <f t="shared" si="50"/>
        <v>17000</v>
      </c>
      <c r="S284" s="86"/>
      <c r="T284" s="86"/>
      <c r="U284" s="86"/>
      <c r="V284" s="86">
        <f>'Подробный перечень (ОБ)'!$K$838</f>
        <v>17000</v>
      </c>
      <c r="W284" s="65"/>
      <c r="X284" s="66"/>
      <c r="Y284" s="969"/>
      <c r="Z284" s="969"/>
    </row>
    <row r="285" spans="1:31" ht="24.75" customHeight="1">
      <c r="A285" s="13" t="s">
        <v>69</v>
      </c>
      <c r="B285" s="546" t="s">
        <v>10</v>
      </c>
      <c r="C285" s="50">
        <v>176</v>
      </c>
      <c r="D285" s="335" t="s">
        <v>494</v>
      </c>
      <c r="E285" s="335" t="s">
        <v>495</v>
      </c>
      <c r="F285" s="50">
        <v>6100302810</v>
      </c>
      <c r="G285" s="50">
        <v>243</v>
      </c>
      <c r="H285" s="37" t="e">
        <f t="shared" si="49"/>
        <v>#REF!</v>
      </c>
      <c r="I285" s="23" t="e">
        <f>#REF!</f>
        <v>#REF!</v>
      </c>
      <c r="J285" s="23" t="e">
        <f>#REF!</f>
        <v>#REF!</v>
      </c>
      <c r="K285" s="23" t="e">
        <f>#REF!</f>
        <v>#REF!</v>
      </c>
      <c r="L285" s="23" t="e">
        <f>#REF!</f>
        <v>#REF!</v>
      </c>
      <c r="M285" s="65" t="e">
        <f>'Подробный перечень(БКАД)'!#REF!</f>
        <v>#REF!</v>
      </c>
      <c r="N285" s="65" t="e">
        <f>'Подробный перечень(БКАД)'!#REF!</f>
        <v>#REF!</v>
      </c>
      <c r="O285" s="65"/>
      <c r="P285" s="65"/>
      <c r="Q285" s="65"/>
      <c r="R285" s="86">
        <f t="shared" si="50"/>
        <v>115898.7</v>
      </c>
      <c r="S285" s="86"/>
      <c r="T285" s="86"/>
      <c r="U285" s="86"/>
      <c r="V285" s="86">
        <f>'Подробный перечень (ОБ)'!$K$846</f>
        <v>115898.7</v>
      </c>
      <c r="W285" s="65"/>
      <c r="X285" s="66">
        <f>'Подробный перечень (ОБ)'!$M$846</f>
        <v>220000</v>
      </c>
      <c r="Y285" s="969"/>
      <c r="Z285" s="969"/>
      <c r="AA285" s="313"/>
    </row>
    <row r="286" spans="1:31" ht="24.75" customHeight="1">
      <c r="A286" s="13" t="s">
        <v>70</v>
      </c>
      <c r="B286" s="546" t="s">
        <v>10</v>
      </c>
      <c r="C286" s="50">
        <v>176</v>
      </c>
      <c r="D286" s="335" t="s">
        <v>494</v>
      </c>
      <c r="E286" s="335" t="s">
        <v>495</v>
      </c>
      <c r="F286" s="50">
        <v>6100302810</v>
      </c>
      <c r="G286" s="50">
        <v>243</v>
      </c>
      <c r="H286" s="37" t="e">
        <f t="shared" si="49"/>
        <v>#REF!</v>
      </c>
      <c r="I286" s="23" t="e">
        <f>#REF!</f>
        <v>#REF!</v>
      </c>
      <c r="J286" s="23" t="e">
        <f>#REF!</f>
        <v>#REF!</v>
      </c>
      <c r="K286" s="23" t="e">
        <f>#REF!</f>
        <v>#REF!</v>
      </c>
      <c r="L286" s="23" t="e">
        <f>#REF!</f>
        <v>#REF!</v>
      </c>
      <c r="M286" s="65" t="e">
        <f>'Подробный перечень(БКАД)'!#REF!</f>
        <v>#REF!</v>
      </c>
      <c r="N286" s="65"/>
      <c r="O286" s="65"/>
      <c r="P286" s="65" t="e">
        <f>'Подробный перечень(БКАД)'!#REF!</f>
        <v>#REF!</v>
      </c>
      <c r="Q286" s="65"/>
      <c r="R286" s="86">
        <f t="shared" si="50"/>
        <v>0</v>
      </c>
      <c r="S286" s="86"/>
      <c r="T286" s="86"/>
      <c r="U286" s="86"/>
      <c r="V286" s="86"/>
      <c r="W286" s="65"/>
      <c r="X286" s="66"/>
      <c r="Y286" s="969"/>
      <c r="Z286" s="969"/>
    </row>
    <row r="287" spans="1:31" ht="24.75" customHeight="1">
      <c r="A287" s="13" t="s">
        <v>71</v>
      </c>
      <c r="B287" s="546" t="s">
        <v>10</v>
      </c>
      <c r="C287" s="50">
        <v>176</v>
      </c>
      <c r="D287" s="335" t="s">
        <v>494</v>
      </c>
      <c r="E287" s="335" t="s">
        <v>495</v>
      </c>
      <c r="F287" s="50">
        <v>6100302810</v>
      </c>
      <c r="G287" s="50">
        <v>243</v>
      </c>
      <c r="H287" s="37" t="e">
        <f t="shared" si="49"/>
        <v>#REF!</v>
      </c>
      <c r="I287" s="23" t="e">
        <f>#REF!</f>
        <v>#REF!</v>
      </c>
      <c r="J287" s="23" t="e">
        <f>#REF!</f>
        <v>#REF!</v>
      </c>
      <c r="K287" s="23" t="e">
        <f>#REF!</f>
        <v>#REF!</v>
      </c>
      <c r="L287" s="23" t="e">
        <f>#REF!</f>
        <v>#REF!</v>
      </c>
      <c r="M287" s="65" t="e">
        <f>'Подробный перечень(БКАД)'!#REF!</f>
        <v>#REF!</v>
      </c>
      <c r="N287" s="65" t="e">
        <f>'Подробный перечень(БКАД)'!#REF!</f>
        <v>#REF!</v>
      </c>
      <c r="O287" s="65"/>
      <c r="P287" s="65"/>
      <c r="Q287" s="65" t="e">
        <f>'Подробный перечень(БКАД)'!#REF!</f>
        <v>#REF!</v>
      </c>
      <c r="R287" s="86">
        <f t="shared" si="50"/>
        <v>0</v>
      </c>
      <c r="S287" s="86"/>
      <c r="T287" s="86"/>
      <c r="U287" s="86"/>
      <c r="V287" s="86"/>
      <c r="W287" s="65"/>
      <c r="X287" s="66"/>
      <c r="Y287" s="969"/>
      <c r="Z287" s="969"/>
      <c r="AA287" s="313"/>
    </row>
    <row r="288" spans="1:31" ht="24.75" customHeight="1">
      <c r="A288" s="583" t="s">
        <v>734</v>
      </c>
      <c r="B288" s="583" t="s">
        <v>10</v>
      </c>
      <c r="C288" s="582">
        <v>176</v>
      </c>
      <c r="D288" s="335" t="s">
        <v>494</v>
      </c>
      <c r="E288" s="335" t="s">
        <v>495</v>
      </c>
      <c r="F288" s="582">
        <v>6100302810</v>
      </c>
      <c r="G288" s="582">
        <v>243</v>
      </c>
      <c r="H288" s="37" t="e">
        <f t="shared" si="49"/>
        <v>#REF!</v>
      </c>
      <c r="I288" s="23" t="e">
        <f>#REF!</f>
        <v>#REF!</v>
      </c>
      <c r="J288" s="23" t="e">
        <f>#REF!</f>
        <v>#REF!</v>
      </c>
      <c r="K288" s="23" t="e">
        <f>#REF!</f>
        <v>#REF!</v>
      </c>
      <c r="L288" s="23" t="e">
        <f>#REF!</f>
        <v>#REF!</v>
      </c>
      <c r="M288" s="65" t="e">
        <f>'Подробный перечень(БКАД)'!#REF!</f>
        <v>#REF!</v>
      </c>
      <c r="N288" s="65"/>
      <c r="O288" s="65"/>
      <c r="P288" s="65"/>
      <c r="Q288" s="65" t="e">
        <f>'Подробный перечень(БКАД)'!#REF!</f>
        <v>#REF!</v>
      </c>
      <c r="R288" s="86">
        <f t="shared" si="50"/>
        <v>10000</v>
      </c>
      <c r="S288" s="86"/>
      <c r="T288" s="86">
        <f>'Подробный перечень(БКАД)'!$I$767</f>
        <v>0</v>
      </c>
      <c r="U288" s="86"/>
      <c r="V288" s="86">
        <f>'Подробный перечень (ОБ)'!$K$867</f>
        <v>10000</v>
      </c>
      <c r="W288" s="65">
        <f>'Подробный перечень (ОБ)'!$L$867</f>
        <v>0</v>
      </c>
      <c r="X288" s="66">
        <f>'Подробный перечень (ОБ)'!$M$867</f>
        <v>9000</v>
      </c>
      <c r="Y288" s="970"/>
      <c r="Z288" s="970"/>
    </row>
    <row r="289" spans="1:27" ht="24.75" customHeight="1">
      <c r="A289" s="982" t="s">
        <v>1007</v>
      </c>
      <c r="B289" s="778" t="s">
        <v>237</v>
      </c>
      <c r="C289" s="777">
        <v>176</v>
      </c>
      <c r="D289" s="127" t="s">
        <v>494</v>
      </c>
      <c r="E289" s="127" t="s">
        <v>495</v>
      </c>
      <c r="F289" s="777" t="s">
        <v>266</v>
      </c>
      <c r="G289" s="775">
        <v>243</v>
      </c>
      <c r="H289" s="37"/>
      <c r="I289" s="23"/>
      <c r="J289" s="23"/>
      <c r="K289" s="23"/>
      <c r="L289" s="23"/>
      <c r="M289" s="65"/>
      <c r="N289" s="65"/>
      <c r="O289" s="65"/>
      <c r="P289" s="65"/>
      <c r="Q289" s="65"/>
      <c r="R289" s="86">
        <f>'Подробный перечень (ОБ)'!$G$869</f>
        <v>4513.3</v>
      </c>
      <c r="S289" s="86">
        <f>'Подробный перечень (ОБ)'!$H$869</f>
        <v>4513.3</v>
      </c>
      <c r="T289" s="86"/>
      <c r="U289" s="86"/>
      <c r="V289" s="86"/>
      <c r="W289" s="65"/>
      <c r="X289" s="66"/>
      <c r="Y289" s="971" t="s">
        <v>26</v>
      </c>
      <c r="Z289" s="939" t="s">
        <v>926</v>
      </c>
    </row>
    <row r="290" spans="1:27" ht="24.75" customHeight="1">
      <c r="A290" s="983"/>
      <c r="B290" s="778" t="s">
        <v>10</v>
      </c>
      <c r="C290" s="775">
        <v>176</v>
      </c>
      <c r="D290" s="335" t="s">
        <v>494</v>
      </c>
      <c r="E290" s="335" t="s">
        <v>495</v>
      </c>
      <c r="F290" s="775">
        <v>6100302810</v>
      </c>
      <c r="G290" s="775">
        <v>243</v>
      </c>
      <c r="H290" s="37"/>
      <c r="I290" s="23"/>
      <c r="J290" s="23"/>
      <c r="K290" s="23"/>
      <c r="L290" s="23"/>
      <c r="M290" s="65"/>
      <c r="N290" s="65"/>
      <c r="O290" s="65"/>
      <c r="P290" s="65"/>
      <c r="Q290" s="65"/>
      <c r="R290" s="86">
        <f>'Подробный перечень (ОБ)'!$G$870</f>
        <v>4513.3</v>
      </c>
      <c r="S290" s="86">
        <f>'Подробный перечень (ОБ)'!$H$870</f>
        <v>4513.3</v>
      </c>
      <c r="T290" s="86"/>
      <c r="U290" s="86"/>
      <c r="V290" s="86"/>
      <c r="W290" s="793"/>
      <c r="X290" s="794"/>
      <c r="Y290" s="972"/>
      <c r="Z290" s="974"/>
    </row>
    <row r="291" spans="1:27" ht="24.75" customHeight="1">
      <c r="A291" s="776"/>
      <c r="B291" s="778" t="s">
        <v>443</v>
      </c>
      <c r="C291" s="775">
        <v>176</v>
      </c>
      <c r="D291" s="335" t="s">
        <v>494</v>
      </c>
      <c r="E291" s="335" t="s">
        <v>495</v>
      </c>
      <c r="F291" s="775"/>
      <c r="G291" s="775"/>
      <c r="H291" s="37"/>
      <c r="I291" s="23"/>
      <c r="J291" s="23"/>
      <c r="K291" s="23"/>
      <c r="L291" s="23"/>
      <c r="M291" s="65"/>
      <c r="N291" s="65"/>
      <c r="O291" s="65"/>
      <c r="P291" s="65"/>
      <c r="Q291" s="65"/>
      <c r="R291" s="86"/>
      <c r="S291" s="86"/>
      <c r="T291" s="86"/>
      <c r="U291" s="86"/>
      <c r="V291" s="86"/>
      <c r="W291" s="65"/>
      <c r="X291" s="65"/>
      <c r="Y291" s="973"/>
      <c r="Z291" s="940"/>
    </row>
    <row r="292" spans="1:27" ht="28.5" customHeight="1">
      <c r="A292" s="985" t="s">
        <v>845</v>
      </c>
      <c r="B292" s="764" t="s">
        <v>89</v>
      </c>
      <c r="C292" s="765"/>
      <c r="D292" s="127"/>
      <c r="E292" s="127"/>
      <c r="F292" s="765"/>
      <c r="G292" s="765"/>
      <c r="H292" s="27" t="e">
        <f>L292</f>
        <v>#REF!</v>
      </c>
      <c r="I292" s="27"/>
      <c r="J292" s="27"/>
      <c r="K292" s="27"/>
      <c r="L292" s="27" t="e">
        <f>#REF!</f>
        <v>#REF!</v>
      </c>
      <c r="M292" s="49" t="e">
        <f>'Подробный перечень(БКАД)'!#REF!</f>
        <v>#REF!</v>
      </c>
      <c r="N292" s="49"/>
      <c r="O292" s="49"/>
      <c r="P292" s="49"/>
      <c r="Q292" s="49"/>
      <c r="R292" s="49">
        <f>'Подробный перечень (ОБ)'!$G$879</f>
        <v>59.100000000000009</v>
      </c>
      <c r="S292" s="49"/>
      <c r="T292" s="49"/>
      <c r="U292" s="49"/>
      <c r="V292" s="49">
        <f>'Подробный перечень (ОБ)'!$K$879</f>
        <v>59.100000000000009</v>
      </c>
      <c r="W292" s="64">
        <f>'Подробный перечень (ОБ)'!$L$879</f>
        <v>0</v>
      </c>
      <c r="X292" s="64">
        <f>'Подробный перечень (ОБ)'!$M$879</f>
        <v>74.300000000000011</v>
      </c>
      <c r="Y292" s="971" t="s">
        <v>26</v>
      </c>
      <c r="Z292" s="971" t="s">
        <v>1125</v>
      </c>
    </row>
    <row r="293" spans="1:27" ht="34.5" customHeight="1">
      <c r="A293" s="986"/>
      <c r="B293" s="764" t="s">
        <v>668</v>
      </c>
      <c r="C293" s="765">
        <f>C294</f>
        <v>176</v>
      </c>
      <c r="D293" s="765" t="str">
        <f t="shared" ref="D293:Q293" si="52">D294</f>
        <v>04</v>
      </c>
      <c r="E293" s="765" t="str">
        <f t="shared" si="52"/>
        <v>09</v>
      </c>
      <c r="F293" s="765" t="str">
        <f t="shared" si="52"/>
        <v>61ХХХХХХ</v>
      </c>
      <c r="G293" s="765">
        <f t="shared" si="52"/>
        <v>244</v>
      </c>
      <c r="H293" s="765" t="e">
        <f t="shared" si="52"/>
        <v>#REF!</v>
      </c>
      <c r="I293" s="765" t="e">
        <f t="shared" si="52"/>
        <v>#REF!</v>
      </c>
      <c r="J293" s="765" t="e">
        <f t="shared" si="52"/>
        <v>#REF!</v>
      </c>
      <c r="K293" s="765" t="e">
        <f t="shared" si="52"/>
        <v>#REF!</v>
      </c>
      <c r="L293" s="765" t="e">
        <f t="shared" si="52"/>
        <v>#REF!</v>
      </c>
      <c r="M293" s="765" t="e">
        <f t="shared" si="52"/>
        <v>#REF!</v>
      </c>
      <c r="N293" s="765" t="e">
        <f t="shared" si="52"/>
        <v>#REF!</v>
      </c>
      <c r="O293" s="765" t="e">
        <f t="shared" si="52"/>
        <v>#REF!</v>
      </c>
      <c r="P293" s="765" t="e">
        <f t="shared" si="52"/>
        <v>#REF!</v>
      </c>
      <c r="Q293" s="765" t="e">
        <f t="shared" si="52"/>
        <v>#REF!</v>
      </c>
      <c r="R293" s="63">
        <f>R294/R292</f>
        <v>18488.609137055835</v>
      </c>
      <c r="S293" s="63" t="s">
        <v>496</v>
      </c>
      <c r="T293" s="63" t="s">
        <v>496</v>
      </c>
      <c r="U293" s="63" t="s">
        <v>496</v>
      </c>
      <c r="V293" s="63" t="s">
        <v>496</v>
      </c>
      <c r="W293" s="63"/>
      <c r="X293" s="63">
        <f>X294/X292</f>
        <v>28447.481830417215</v>
      </c>
      <c r="Y293" s="972"/>
      <c r="Z293" s="972"/>
    </row>
    <row r="294" spans="1:27" ht="23.25" customHeight="1">
      <c r="A294" s="986"/>
      <c r="B294" s="764" t="s">
        <v>25</v>
      </c>
      <c r="C294" s="765">
        <v>176</v>
      </c>
      <c r="D294" s="127" t="s">
        <v>494</v>
      </c>
      <c r="E294" s="127" t="s">
        <v>495</v>
      </c>
      <c r="F294" s="765" t="s">
        <v>266</v>
      </c>
      <c r="G294" s="765">
        <v>244</v>
      </c>
      <c r="H294" s="12" t="e">
        <f t="shared" ref="H294:M294" si="53">H295</f>
        <v>#REF!</v>
      </c>
      <c r="I294" s="12" t="e">
        <f t="shared" si="53"/>
        <v>#REF!</v>
      </c>
      <c r="J294" s="12" t="e">
        <f t="shared" si="53"/>
        <v>#REF!</v>
      </c>
      <c r="K294" s="12" t="e">
        <f t="shared" si="53"/>
        <v>#REF!</v>
      </c>
      <c r="L294" s="12" t="e">
        <f t="shared" si="53"/>
        <v>#REF!</v>
      </c>
      <c r="M294" s="49" t="e">
        <f t="shared" si="53"/>
        <v>#REF!</v>
      </c>
      <c r="N294" s="49" t="e">
        <f>N295</f>
        <v>#REF!</v>
      </c>
      <c r="O294" s="49" t="e">
        <f t="shared" ref="O294:Q294" si="54">O295</f>
        <v>#REF!</v>
      </c>
      <c r="P294" s="49" t="e">
        <f t="shared" si="54"/>
        <v>#REF!</v>
      </c>
      <c r="Q294" s="49" t="e">
        <f t="shared" si="54"/>
        <v>#REF!</v>
      </c>
      <c r="R294" s="49">
        <f>R295+R296</f>
        <v>1092676.8</v>
      </c>
      <c r="S294" s="49">
        <f>S295+S296</f>
        <v>6854.1</v>
      </c>
      <c r="T294" s="49">
        <f t="shared" ref="T294:X294" si="55">T295+T296</f>
        <v>0</v>
      </c>
      <c r="U294" s="49">
        <f t="shared" si="55"/>
        <v>0</v>
      </c>
      <c r="V294" s="49">
        <f t="shared" si="55"/>
        <v>1085822.7</v>
      </c>
      <c r="W294" s="49">
        <f t="shared" si="55"/>
        <v>101800</v>
      </c>
      <c r="X294" s="49">
        <f t="shared" si="55"/>
        <v>2113647.8999999994</v>
      </c>
      <c r="Y294" s="972"/>
      <c r="Z294" s="972"/>
    </row>
    <row r="295" spans="1:27" ht="22.5" customHeight="1">
      <c r="A295" s="986"/>
      <c r="B295" s="630" t="s">
        <v>337</v>
      </c>
      <c r="C295" s="762">
        <v>176</v>
      </c>
      <c r="D295" s="335" t="s">
        <v>494</v>
      </c>
      <c r="E295" s="335" t="s">
        <v>495</v>
      </c>
      <c r="F295" s="762">
        <v>6100302810</v>
      </c>
      <c r="G295" s="762">
        <v>244</v>
      </c>
      <c r="H295" s="23" t="e">
        <f t="shared" ref="H295:Q295" si="56">SUM(H301:H342)</f>
        <v>#REF!</v>
      </c>
      <c r="I295" s="23" t="e">
        <f t="shared" si="56"/>
        <v>#REF!</v>
      </c>
      <c r="J295" s="23" t="e">
        <f t="shared" si="56"/>
        <v>#REF!</v>
      </c>
      <c r="K295" s="23" t="e">
        <f t="shared" si="56"/>
        <v>#REF!</v>
      </c>
      <c r="L295" s="23" t="e">
        <f t="shared" si="56"/>
        <v>#REF!</v>
      </c>
      <c r="M295" s="65" t="e">
        <f t="shared" si="56"/>
        <v>#REF!</v>
      </c>
      <c r="N295" s="65" t="e">
        <f t="shared" si="56"/>
        <v>#REF!</v>
      </c>
      <c r="O295" s="65" t="e">
        <f t="shared" si="56"/>
        <v>#REF!</v>
      </c>
      <c r="P295" s="65" t="e">
        <f t="shared" si="56"/>
        <v>#REF!</v>
      </c>
      <c r="Q295" s="65" t="e">
        <f t="shared" si="56"/>
        <v>#REF!</v>
      </c>
      <c r="R295" s="65">
        <f>R303+R348</f>
        <v>1092676.8</v>
      </c>
      <c r="S295" s="65">
        <f t="shared" ref="S295:X295" si="57">S303+S348</f>
        <v>6854.1</v>
      </c>
      <c r="T295" s="65">
        <f t="shared" si="57"/>
        <v>0</v>
      </c>
      <c r="U295" s="65">
        <f t="shared" si="57"/>
        <v>0</v>
      </c>
      <c r="V295" s="65">
        <f t="shared" si="57"/>
        <v>1085822.7</v>
      </c>
      <c r="W295" s="65">
        <f t="shared" si="57"/>
        <v>101800</v>
      </c>
      <c r="X295" s="65">
        <f t="shared" si="57"/>
        <v>2113647.8999999994</v>
      </c>
      <c r="Y295" s="972"/>
      <c r="Z295" s="972"/>
    </row>
    <row r="296" spans="1:27" ht="22.5" customHeight="1">
      <c r="A296" s="986"/>
      <c r="B296" s="630" t="s">
        <v>443</v>
      </c>
      <c r="C296" s="762">
        <v>176</v>
      </c>
      <c r="D296" s="335" t="s">
        <v>494</v>
      </c>
      <c r="E296" s="335" t="s">
        <v>495</v>
      </c>
      <c r="F296" s="762"/>
      <c r="G296" s="762"/>
      <c r="H296" s="23"/>
      <c r="I296" s="23"/>
      <c r="J296" s="23"/>
      <c r="K296" s="23"/>
      <c r="L296" s="23"/>
      <c r="M296" s="65"/>
      <c r="N296" s="65"/>
      <c r="O296" s="65"/>
      <c r="P296" s="65"/>
      <c r="Q296" s="65"/>
      <c r="R296" s="65"/>
      <c r="S296" s="65"/>
      <c r="T296" s="65"/>
      <c r="U296" s="65"/>
      <c r="V296" s="65"/>
      <c r="W296" s="65"/>
      <c r="X296" s="65"/>
      <c r="Y296" s="972"/>
      <c r="Z296" s="972"/>
    </row>
    <row r="297" spans="1:27" ht="22.5" customHeight="1">
      <c r="A297" s="986"/>
      <c r="B297" s="630" t="s">
        <v>11</v>
      </c>
      <c r="C297" s="762"/>
      <c r="D297" s="335"/>
      <c r="E297" s="335"/>
      <c r="F297" s="762"/>
      <c r="G297" s="762"/>
      <c r="H297" s="23">
        <v>0</v>
      </c>
      <c r="I297" s="23">
        <v>0</v>
      </c>
      <c r="J297" s="23">
        <v>0</v>
      </c>
      <c r="K297" s="23">
        <v>0</v>
      </c>
      <c r="L297" s="23">
        <v>0</v>
      </c>
      <c r="M297" s="65"/>
      <c r="N297" s="65"/>
      <c r="O297" s="65"/>
      <c r="P297" s="65"/>
      <c r="Q297" s="65"/>
      <c r="R297" s="65"/>
      <c r="S297" s="65"/>
      <c r="T297" s="65"/>
      <c r="U297" s="65"/>
      <c r="V297" s="65"/>
      <c r="W297" s="65"/>
      <c r="X297" s="65"/>
      <c r="Y297" s="972"/>
      <c r="Z297" s="972"/>
      <c r="AA297" s="313"/>
    </row>
    <row r="298" spans="1:27" ht="22.5" customHeight="1">
      <c r="A298" s="986"/>
      <c r="B298" s="630" t="s">
        <v>454</v>
      </c>
      <c r="C298" s="762"/>
      <c r="D298" s="335"/>
      <c r="E298" s="335"/>
      <c r="F298" s="762"/>
      <c r="G298" s="762"/>
      <c r="H298" s="23">
        <v>0</v>
      </c>
      <c r="I298" s="23">
        <v>0</v>
      </c>
      <c r="J298" s="23">
        <v>0</v>
      </c>
      <c r="K298" s="23">
        <v>0</v>
      </c>
      <c r="L298" s="23">
        <v>0</v>
      </c>
      <c r="M298" s="65"/>
      <c r="N298" s="65"/>
      <c r="O298" s="65"/>
      <c r="P298" s="65"/>
      <c r="Q298" s="65"/>
      <c r="R298" s="65"/>
      <c r="S298" s="65"/>
      <c r="T298" s="65"/>
      <c r="U298" s="65"/>
      <c r="V298" s="65"/>
      <c r="W298" s="65"/>
      <c r="X298" s="65"/>
      <c r="Y298" s="972"/>
      <c r="Z298" s="972"/>
      <c r="AA298" s="313"/>
    </row>
    <row r="299" spans="1:27" ht="22.5" customHeight="1">
      <c r="A299" s="987"/>
      <c r="B299" s="630" t="s">
        <v>1061</v>
      </c>
      <c r="C299" s="805"/>
      <c r="D299" s="335"/>
      <c r="E299" s="335"/>
      <c r="F299" s="805"/>
      <c r="G299" s="805"/>
      <c r="H299" s="23"/>
      <c r="I299" s="23"/>
      <c r="J299" s="23"/>
      <c r="K299" s="23"/>
      <c r="L299" s="23"/>
      <c r="M299" s="65"/>
      <c r="N299" s="65"/>
      <c r="O299" s="65"/>
      <c r="P299" s="65"/>
      <c r="Q299" s="65"/>
      <c r="R299" s="65"/>
      <c r="S299" s="65"/>
      <c r="T299" s="65"/>
      <c r="U299" s="65"/>
      <c r="V299" s="65"/>
      <c r="W299" s="65"/>
      <c r="X299" s="65"/>
      <c r="Y299" s="972"/>
      <c r="Z299" s="972"/>
      <c r="AA299" s="313"/>
    </row>
    <row r="300" spans="1:27" ht="28.5" customHeight="1">
      <c r="A300" s="985" t="s">
        <v>984</v>
      </c>
      <c r="B300" s="764" t="s">
        <v>89</v>
      </c>
      <c r="C300" s="765"/>
      <c r="D300" s="127"/>
      <c r="E300" s="127"/>
      <c r="F300" s="765"/>
      <c r="G300" s="765"/>
      <c r="H300" s="27" t="e">
        <f>L300</f>
        <v>#REF!</v>
      </c>
      <c r="I300" s="27"/>
      <c r="J300" s="27"/>
      <c r="K300" s="27"/>
      <c r="L300" s="27" t="e">
        <f>#REF!</f>
        <v>#REF!</v>
      </c>
      <c r="M300" s="49" t="e">
        <f>'Подробный перечень(БКАД)'!#REF!</f>
        <v>#REF!</v>
      </c>
      <c r="N300" s="49"/>
      <c r="O300" s="49"/>
      <c r="P300" s="49"/>
      <c r="Q300" s="49"/>
      <c r="R300" s="49">
        <f>'Подробный перечень (ОБ)'!$G$879</f>
        <v>59.100000000000009</v>
      </c>
      <c r="S300" s="49"/>
      <c r="T300" s="49"/>
      <c r="U300" s="49"/>
      <c r="V300" s="49">
        <f>'Подробный перечень (ОБ)'!$K$879</f>
        <v>59.100000000000009</v>
      </c>
      <c r="W300" s="49">
        <f>'Подробный перечень (ОБ)'!$L$879</f>
        <v>0</v>
      </c>
      <c r="X300" s="49">
        <f>'Подробный перечень (ОБ)'!$M$879</f>
        <v>74.300000000000011</v>
      </c>
      <c r="Y300" s="972"/>
      <c r="Z300" s="972"/>
    </row>
    <row r="301" spans="1:27" ht="34.5" customHeight="1">
      <c r="A301" s="986"/>
      <c r="B301" s="764" t="s">
        <v>668</v>
      </c>
      <c r="C301" s="765">
        <f>C302</f>
        <v>176</v>
      </c>
      <c r="D301" s="765" t="str">
        <f t="shared" ref="D301:Q302" si="58">D302</f>
        <v>04</v>
      </c>
      <c r="E301" s="765" t="str">
        <f t="shared" si="58"/>
        <v>09</v>
      </c>
      <c r="F301" s="765" t="str">
        <f t="shared" si="58"/>
        <v>61ХХХХХХ</v>
      </c>
      <c r="G301" s="765">
        <f t="shared" si="58"/>
        <v>244</v>
      </c>
      <c r="H301" s="765" t="e">
        <f t="shared" si="58"/>
        <v>#REF!</v>
      </c>
      <c r="I301" s="765" t="e">
        <f t="shared" si="58"/>
        <v>#REF!</v>
      </c>
      <c r="J301" s="765" t="e">
        <f t="shared" si="58"/>
        <v>#REF!</v>
      </c>
      <c r="K301" s="765" t="e">
        <f t="shared" si="58"/>
        <v>#REF!</v>
      </c>
      <c r="L301" s="765" t="e">
        <f t="shared" si="58"/>
        <v>#REF!</v>
      </c>
      <c r="M301" s="765" t="e">
        <f t="shared" si="58"/>
        <v>#REF!</v>
      </c>
      <c r="N301" s="765" t="e">
        <f t="shared" si="58"/>
        <v>#REF!</v>
      </c>
      <c r="O301" s="765" t="e">
        <f t="shared" si="58"/>
        <v>#REF!</v>
      </c>
      <c r="P301" s="765" t="e">
        <f t="shared" si="58"/>
        <v>#REF!</v>
      </c>
      <c r="Q301" s="765" t="e">
        <f t="shared" si="58"/>
        <v>#REF!</v>
      </c>
      <c r="R301" s="63">
        <f>R302/R300</f>
        <v>18372.634517766495</v>
      </c>
      <c r="S301" s="63" t="s">
        <v>496</v>
      </c>
      <c r="T301" s="63" t="s">
        <v>496</v>
      </c>
      <c r="U301" s="63" t="s">
        <v>496</v>
      </c>
      <c r="V301" s="63" t="s">
        <v>496</v>
      </c>
      <c r="W301" s="63"/>
      <c r="X301" s="63">
        <f>X302/X300</f>
        <v>28447.481830417215</v>
      </c>
      <c r="Y301" s="972"/>
      <c r="Z301" s="972"/>
    </row>
    <row r="302" spans="1:27" ht="23.25" customHeight="1">
      <c r="A302" s="986"/>
      <c r="B302" s="764" t="s">
        <v>25</v>
      </c>
      <c r="C302" s="765">
        <v>176</v>
      </c>
      <c r="D302" s="127" t="s">
        <v>494</v>
      </c>
      <c r="E302" s="127" t="s">
        <v>495</v>
      </c>
      <c r="F302" s="765" t="s">
        <v>266</v>
      </c>
      <c r="G302" s="765">
        <v>244</v>
      </c>
      <c r="H302" s="12" t="e">
        <f t="shared" si="58"/>
        <v>#REF!</v>
      </c>
      <c r="I302" s="12" t="e">
        <f t="shared" si="58"/>
        <v>#REF!</v>
      </c>
      <c r="J302" s="12" t="e">
        <f t="shared" si="58"/>
        <v>#REF!</v>
      </c>
      <c r="K302" s="12" t="e">
        <f t="shared" si="58"/>
        <v>#REF!</v>
      </c>
      <c r="L302" s="12" t="e">
        <f t="shared" si="58"/>
        <v>#REF!</v>
      </c>
      <c r="M302" s="49" t="e">
        <f t="shared" si="58"/>
        <v>#REF!</v>
      </c>
      <c r="N302" s="49" t="e">
        <f>N303</f>
        <v>#REF!</v>
      </c>
      <c r="O302" s="49" t="e">
        <f t="shared" si="58"/>
        <v>#REF!</v>
      </c>
      <c r="P302" s="49" t="e">
        <f t="shared" si="58"/>
        <v>#REF!</v>
      </c>
      <c r="Q302" s="49" t="e">
        <f t="shared" si="58"/>
        <v>#REF!</v>
      </c>
      <c r="R302" s="49">
        <f>R303+R304</f>
        <v>1085822.7</v>
      </c>
      <c r="S302" s="49">
        <f>S303+S304</f>
        <v>0</v>
      </c>
      <c r="T302" s="49">
        <f t="shared" ref="T302:X302" si="59">T303+T304</f>
        <v>0</v>
      </c>
      <c r="U302" s="49">
        <f t="shared" si="59"/>
        <v>0</v>
      </c>
      <c r="V302" s="49">
        <f t="shared" si="59"/>
        <v>1085822.7</v>
      </c>
      <c r="W302" s="49">
        <f t="shared" si="59"/>
        <v>101800</v>
      </c>
      <c r="X302" s="49">
        <f t="shared" si="59"/>
        <v>2113647.8999999994</v>
      </c>
      <c r="Y302" s="972"/>
      <c r="Z302" s="972"/>
    </row>
    <row r="303" spans="1:27" ht="22.5" customHeight="1">
      <c r="A303" s="986"/>
      <c r="B303" s="630" t="s">
        <v>337</v>
      </c>
      <c r="C303" s="762">
        <v>176</v>
      </c>
      <c r="D303" s="335" t="s">
        <v>494</v>
      </c>
      <c r="E303" s="335" t="s">
        <v>495</v>
      </c>
      <c r="F303" s="762">
        <v>6100302810</v>
      </c>
      <c r="G303" s="762">
        <v>244</v>
      </c>
      <c r="H303" s="23" t="e">
        <f t="shared" ref="H303:Q303" si="60">SUM(H314:H351)</f>
        <v>#REF!</v>
      </c>
      <c r="I303" s="23" t="e">
        <f t="shared" si="60"/>
        <v>#REF!</v>
      </c>
      <c r="J303" s="23" t="e">
        <f t="shared" si="60"/>
        <v>#REF!</v>
      </c>
      <c r="K303" s="23" t="e">
        <f t="shared" si="60"/>
        <v>#REF!</v>
      </c>
      <c r="L303" s="23" t="e">
        <f t="shared" si="60"/>
        <v>#REF!</v>
      </c>
      <c r="M303" s="65" t="e">
        <f t="shared" si="60"/>
        <v>#REF!</v>
      </c>
      <c r="N303" s="65" t="e">
        <f t="shared" si="60"/>
        <v>#REF!</v>
      </c>
      <c r="O303" s="65" t="e">
        <f t="shared" si="60"/>
        <v>#REF!</v>
      </c>
      <c r="P303" s="65" t="e">
        <f t="shared" si="60"/>
        <v>#REF!</v>
      </c>
      <c r="Q303" s="65" t="e">
        <f t="shared" si="60"/>
        <v>#REF!</v>
      </c>
      <c r="R303" s="65">
        <f>SUM(R307:R343)</f>
        <v>1085822.7</v>
      </c>
      <c r="S303" s="65">
        <f t="shared" ref="S303:X303" si="61">SUM(S307:S343)</f>
        <v>0</v>
      </c>
      <c r="T303" s="65">
        <f t="shared" si="61"/>
        <v>0</v>
      </c>
      <c r="U303" s="65">
        <f t="shared" si="61"/>
        <v>0</v>
      </c>
      <c r="V303" s="65">
        <f t="shared" si="61"/>
        <v>1085822.7</v>
      </c>
      <c r="W303" s="65">
        <f t="shared" si="61"/>
        <v>101800</v>
      </c>
      <c r="X303" s="65">
        <f t="shared" si="61"/>
        <v>2113647.8999999994</v>
      </c>
      <c r="Y303" s="972"/>
      <c r="Z303" s="972"/>
    </row>
    <row r="304" spans="1:27" ht="22.5" customHeight="1">
      <c r="A304" s="986"/>
      <c r="B304" s="630" t="s">
        <v>443</v>
      </c>
      <c r="C304" s="762">
        <v>176</v>
      </c>
      <c r="D304" s="335" t="s">
        <v>494</v>
      </c>
      <c r="E304" s="335" t="s">
        <v>495</v>
      </c>
      <c r="F304" s="762"/>
      <c r="G304" s="762"/>
      <c r="H304" s="23"/>
      <c r="I304" s="23"/>
      <c r="J304" s="23"/>
      <c r="K304" s="23"/>
      <c r="L304" s="23"/>
      <c r="M304" s="65"/>
      <c r="N304" s="65"/>
      <c r="O304" s="65"/>
      <c r="P304" s="65"/>
      <c r="Q304" s="65"/>
      <c r="R304" s="65"/>
      <c r="S304" s="65"/>
      <c r="T304" s="65"/>
      <c r="U304" s="65"/>
      <c r="V304" s="65"/>
      <c r="W304" s="65"/>
      <c r="X304" s="65"/>
      <c r="Y304" s="972"/>
      <c r="Z304" s="972"/>
    </row>
    <row r="305" spans="1:27" ht="22.5" customHeight="1">
      <c r="A305" s="986"/>
      <c r="B305" s="630" t="s">
        <v>11</v>
      </c>
      <c r="C305" s="762"/>
      <c r="D305" s="335"/>
      <c r="E305" s="335"/>
      <c r="F305" s="762"/>
      <c r="G305" s="762"/>
      <c r="H305" s="23">
        <v>0</v>
      </c>
      <c r="I305" s="23">
        <v>0</v>
      </c>
      <c r="J305" s="23">
        <v>0</v>
      </c>
      <c r="K305" s="23">
        <v>0</v>
      </c>
      <c r="L305" s="23">
        <v>0</v>
      </c>
      <c r="M305" s="65"/>
      <c r="N305" s="65"/>
      <c r="O305" s="65"/>
      <c r="P305" s="65"/>
      <c r="Q305" s="65"/>
      <c r="R305" s="65"/>
      <c r="S305" s="65"/>
      <c r="T305" s="65"/>
      <c r="U305" s="65"/>
      <c r="V305" s="65"/>
      <c r="W305" s="65"/>
      <c r="X305" s="65"/>
      <c r="Y305" s="972"/>
      <c r="Z305" s="972"/>
      <c r="AA305" s="313"/>
    </row>
    <row r="306" spans="1:27" ht="22.5" customHeight="1">
      <c r="A306" s="987"/>
      <c r="B306" s="630" t="s">
        <v>454</v>
      </c>
      <c r="C306" s="762"/>
      <c r="D306" s="335"/>
      <c r="E306" s="335"/>
      <c r="F306" s="762"/>
      <c r="G306" s="762"/>
      <c r="H306" s="23">
        <v>0</v>
      </c>
      <c r="I306" s="23">
        <v>0</v>
      </c>
      <c r="J306" s="23">
        <v>0</v>
      </c>
      <c r="K306" s="23">
        <v>0</v>
      </c>
      <c r="L306" s="23">
        <v>0</v>
      </c>
      <c r="M306" s="65"/>
      <c r="N306" s="65"/>
      <c r="O306" s="65"/>
      <c r="P306" s="65"/>
      <c r="Q306" s="65"/>
      <c r="R306" s="65"/>
      <c r="S306" s="65"/>
      <c r="T306" s="65"/>
      <c r="U306" s="65"/>
      <c r="V306" s="65"/>
      <c r="W306" s="65"/>
      <c r="X306" s="65"/>
      <c r="Y306" s="972"/>
      <c r="Z306" s="972"/>
      <c r="AA306" s="313"/>
    </row>
    <row r="307" spans="1:27" ht="22.5" customHeight="1">
      <c r="A307" s="784" t="s">
        <v>96</v>
      </c>
      <c r="B307" s="630" t="s">
        <v>10</v>
      </c>
      <c r="C307" s="782">
        <v>176</v>
      </c>
      <c r="D307" s="335" t="s">
        <v>494</v>
      </c>
      <c r="E307" s="335" t="s">
        <v>495</v>
      </c>
      <c r="F307" s="782">
        <v>6100302810</v>
      </c>
      <c r="G307" s="782">
        <v>244</v>
      </c>
      <c r="H307" s="23"/>
      <c r="I307" s="23"/>
      <c r="J307" s="23"/>
      <c r="K307" s="23"/>
      <c r="L307" s="23"/>
      <c r="M307" s="65"/>
      <c r="N307" s="65"/>
      <c r="O307" s="65"/>
      <c r="P307" s="65"/>
      <c r="Q307" s="65"/>
      <c r="R307" s="65">
        <f>'Подробный перечень (ОБ)'!$G$888</f>
        <v>36554.1</v>
      </c>
      <c r="S307" s="65"/>
      <c r="T307" s="65"/>
      <c r="U307" s="65"/>
      <c r="V307" s="65">
        <f>'Подробный перечень (ОБ)'!$K$888</f>
        <v>36554.1</v>
      </c>
      <c r="W307" s="65">
        <f>'Подробный перечень (ОБ)'!$L$888</f>
        <v>0</v>
      </c>
      <c r="X307" s="66">
        <f>'Подробный перечень (ОБ)'!$M$888</f>
        <v>31798.400000000001</v>
      </c>
      <c r="Y307" s="972"/>
      <c r="Z307" s="972"/>
      <c r="AA307" s="313"/>
    </row>
    <row r="308" spans="1:27" ht="22.5" customHeight="1">
      <c r="A308" s="786" t="s">
        <v>116</v>
      </c>
      <c r="B308" s="630" t="s">
        <v>10</v>
      </c>
      <c r="C308" s="782">
        <v>176</v>
      </c>
      <c r="D308" s="335" t="s">
        <v>494</v>
      </c>
      <c r="E308" s="335" t="s">
        <v>495</v>
      </c>
      <c r="F308" s="782">
        <v>6100302810</v>
      </c>
      <c r="G308" s="782">
        <v>244</v>
      </c>
      <c r="H308" s="23"/>
      <c r="I308" s="23"/>
      <c r="J308" s="23"/>
      <c r="K308" s="23"/>
      <c r="L308" s="23"/>
      <c r="M308" s="65"/>
      <c r="N308" s="65"/>
      <c r="O308" s="65"/>
      <c r="P308" s="65"/>
      <c r="Q308" s="65"/>
      <c r="R308" s="65">
        <f>'Подробный перечень (ОБ)'!$G$898</f>
        <v>16574.099999999999</v>
      </c>
      <c r="S308" s="65"/>
      <c r="T308" s="65"/>
      <c r="U308" s="65"/>
      <c r="V308" s="65">
        <f>'Подробный перечень (ОБ)'!$K$898</f>
        <v>16574.099999999999</v>
      </c>
      <c r="W308" s="65">
        <f>'Подробный перечень (ОБ)'!$L$898</f>
        <v>0</v>
      </c>
      <c r="X308" s="66">
        <f>'Подробный перечень (ОБ)'!$M$898</f>
        <v>152657.79999999999</v>
      </c>
      <c r="Y308" s="972"/>
      <c r="Z308" s="972"/>
      <c r="AA308" s="313"/>
    </row>
    <row r="309" spans="1:27" ht="22.5" customHeight="1">
      <c r="A309" s="786" t="s">
        <v>97</v>
      </c>
      <c r="B309" s="630" t="s">
        <v>10</v>
      </c>
      <c r="C309" s="782">
        <v>176</v>
      </c>
      <c r="D309" s="335" t="s">
        <v>494</v>
      </c>
      <c r="E309" s="335" t="s">
        <v>495</v>
      </c>
      <c r="F309" s="782">
        <v>6100302810</v>
      </c>
      <c r="G309" s="782">
        <v>244</v>
      </c>
      <c r="H309" s="23"/>
      <c r="I309" s="23"/>
      <c r="J309" s="23"/>
      <c r="K309" s="23"/>
      <c r="L309" s="23"/>
      <c r="M309" s="65"/>
      <c r="N309" s="65"/>
      <c r="O309" s="65"/>
      <c r="P309" s="65"/>
      <c r="Q309" s="65"/>
      <c r="R309" s="65">
        <f>'Подробный перечень (ОБ)'!$G$909</f>
        <v>15076.8</v>
      </c>
      <c r="S309" s="65"/>
      <c r="T309" s="65"/>
      <c r="U309" s="65"/>
      <c r="V309" s="65">
        <f>'Подробный перечень (ОБ)'!$K$909</f>
        <v>15076.8</v>
      </c>
      <c r="W309" s="65">
        <f>'Подробный перечень (ОБ)'!$L$909</f>
        <v>7000</v>
      </c>
      <c r="X309" s="66">
        <f>'Подробный перечень (ОБ)'!$M$909</f>
        <v>20553.8</v>
      </c>
      <c r="Y309" s="972"/>
      <c r="Z309" s="972"/>
      <c r="AA309" s="313"/>
    </row>
    <row r="310" spans="1:27" ht="22.5" customHeight="1">
      <c r="A310" s="786" t="s">
        <v>98</v>
      </c>
      <c r="B310" s="630" t="s">
        <v>10</v>
      </c>
      <c r="C310" s="782">
        <v>176</v>
      </c>
      <c r="D310" s="335" t="s">
        <v>494</v>
      </c>
      <c r="E310" s="335" t="s">
        <v>495</v>
      </c>
      <c r="F310" s="782">
        <v>6100302810</v>
      </c>
      <c r="G310" s="782">
        <v>244</v>
      </c>
      <c r="H310" s="23"/>
      <c r="I310" s="23"/>
      <c r="J310" s="23"/>
      <c r="K310" s="23"/>
      <c r="L310" s="23"/>
      <c r="M310" s="65"/>
      <c r="N310" s="65"/>
      <c r="O310" s="65"/>
      <c r="P310" s="65"/>
      <c r="Q310" s="65"/>
      <c r="R310" s="65">
        <f>'Подробный перечень (ОБ)'!$G$921</f>
        <v>16032</v>
      </c>
      <c r="S310" s="65"/>
      <c r="T310" s="65"/>
      <c r="U310" s="65"/>
      <c r="V310" s="65">
        <f>'Подробный перечень (ОБ)'!$K$921</f>
        <v>16032</v>
      </c>
      <c r="W310" s="65">
        <f>'Подробный перечень (ОБ)'!$L$921</f>
        <v>0</v>
      </c>
      <c r="X310" s="66">
        <f>'Подробный перечень (ОБ)'!$M$921</f>
        <v>10094.799999999999</v>
      </c>
      <c r="Y310" s="972"/>
      <c r="Z310" s="972"/>
      <c r="AA310" s="313"/>
    </row>
    <row r="311" spans="1:27" ht="22.5" customHeight="1">
      <c r="A311" s="786" t="s">
        <v>99</v>
      </c>
      <c r="B311" s="630" t="s">
        <v>10</v>
      </c>
      <c r="C311" s="782">
        <v>176</v>
      </c>
      <c r="D311" s="335" t="s">
        <v>494</v>
      </c>
      <c r="E311" s="335" t="s">
        <v>495</v>
      </c>
      <c r="F311" s="782">
        <v>6100302810</v>
      </c>
      <c r="G311" s="782">
        <v>244</v>
      </c>
      <c r="H311" s="23"/>
      <c r="I311" s="23"/>
      <c r="J311" s="23"/>
      <c r="K311" s="23"/>
      <c r="L311" s="23"/>
      <c r="M311" s="65"/>
      <c r="N311" s="65"/>
      <c r="O311" s="65"/>
      <c r="P311" s="65"/>
      <c r="Q311" s="65"/>
      <c r="R311" s="65">
        <f>'Подробный перечень (ОБ)'!$G$933</f>
        <v>15365.2</v>
      </c>
      <c r="S311" s="65"/>
      <c r="T311" s="65"/>
      <c r="U311" s="65"/>
      <c r="V311" s="65">
        <f>'Подробный перечень (ОБ)'!$K$933</f>
        <v>15365.2</v>
      </c>
      <c r="W311" s="65">
        <f>'Подробный перечень (ОБ)'!$L$933</f>
        <v>0</v>
      </c>
      <c r="X311" s="66">
        <f>'Подробный перечень (ОБ)'!$M$933</f>
        <v>39474.199999999997</v>
      </c>
      <c r="Y311" s="972"/>
      <c r="Z311" s="972"/>
      <c r="AA311" s="313"/>
    </row>
    <row r="312" spans="1:27" ht="22.5" customHeight="1">
      <c r="A312" s="786" t="s">
        <v>117</v>
      </c>
      <c r="B312" s="630" t="s">
        <v>10</v>
      </c>
      <c r="C312" s="782">
        <v>176</v>
      </c>
      <c r="D312" s="335" t="s">
        <v>494</v>
      </c>
      <c r="E312" s="335" t="s">
        <v>495</v>
      </c>
      <c r="F312" s="782">
        <v>6100302810</v>
      </c>
      <c r="G312" s="782">
        <v>244</v>
      </c>
      <c r="H312" s="23"/>
      <c r="I312" s="23"/>
      <c r="J312" s="23"/>
      <c r="K312" s="23"/>
      <c r="L312" s="23"/>
      <c r="M312" s="65"/>
      <c r="N312" s="65"/>
      <c r="O312" s="65"/>
      <c r="P312" s="65"/>
      <c r="Q312" s="65"/>
      <c r="R312" s="65">
        <f>'Подробный перечень (ОБ)'!$G$949</f>
        <v>45332.5</v>
      </c>
      <c r="S312" s="65"/>
      <c r="T312" s="65"/>
      <c r="U312" s="65"/>
      <c r="V312" s="65">
        <f>'Подробный перечень (ОБ)'!$K$949</f>
        <v>45332.5</v>
      </c>
      <c r="W312" s="65">
        <f>'Подробный перечень (ОБ)'!$L$949</f>
        <v>18000</v>
      </c>
      <c r="X312" s="66">
        <f>'Подробный перечень (ОБ)'!$M$949</f>
        <v>162454.20000000001</v>
      </c>
      <c r="Y312" s="972"/>
      <c r="Z312" s="972"/>
      <c r="AA312" s="313"/>
    </row>
    <row r="313" spans="1:27" ht="22.5" customHeight="1">
      <c r="A313" s="13" t="s">
        <v>48</v>
      </c>
      <c r="B313" s="630" t="s">
        <v>10</v>
      </c>
      <c r="C313" s="762">
        <v>176</v>
      </c>
      <c r="D313" s="335" t="s">
        <v>494</v>
      </c>
      <c r="E313" s="335" t="s">
        <v>495</v>
      </c>
      <c r="F313" s="762">
        <v>6100302810</v>
      </c>
      <c r="G313" s="762">
        <v>244</v>
      </c>
      <c r="H313" s="23" t="e">
        <f t="shared" ref="H313:H342" si="62">SUM(I313:L313)</f>
        <v>#REF!</v>
      </c>
      <c r="I313" s="23" t="e">
        <f>#REF!</f>
        <v>#REF!</v>
      </c>
      <c r="J313" s="23" t="e">
        <f>#REF!</f>
        <v>#REF!</v>
      </c>
      <c r="K313" s="23" t="e">
        <f>#REF!</f>
        <v>#REF!</v>
      </c>
      <c r="L313" s="23" t="e">
        <f>#REF!</f>
        <v>#REF!</v>
      </c>
      <c r="M313" s="65" t="e">
        <f>'Подробный перечень(БКАД)'!#REF!</f>
        <v>#REF!</v>
      </c>
      <c r="N313" s="65" t="e">
        <f>'Подробный перечень(БКАД)'!#REF!</f>
        <v>#REF!</v>
      </c>
      <c r="O313" s="65"/>
      <c r="P313" s="65"/>
      <c r="Q313" s="65"/>
      <c r="R313" s="65">
        <f>'Подробный перечень (ОБ)'!$G$972</f>
        <v>20301.900000000001</v>
      </c>
      <c r="S313" s="65"/>
      <c r="T313" s="65"/>
      <c r="U313" s="65"/>
      <c r="V313" s="65">
        <f>'Подробный перечень (ОБ)'!$K$972</f>
        <v>20301.900000000001</v>
      </c>
      <c r="W313" s="65">
        <f>'Подробный перечень (ОБ)'!$L$972</f>
        <v>0</v>
      </c>
      <c r="X313" s="66">
        <f>'Подробный перечень (ОБ)'!$M$972</f>
        <v>16250.8</v>
      </c>
      <c r="Y313" s="972"/>
      <c r="Z313" s="972"/>
      <c r="AA313" s="313"/>
    </row>
    <row r="314" spans="1:27" ht="22.5" customHeight="1">
      <c r="A314" s="13" t="s">
        <v>49</v>
      </c>
      <c r="B314" s="630" t="s">
        <v>10</v>
      </c>
      <c r="C314" s="762">
        <v>176</v>
      </c>
      <c r="D314" s="335" t="s">
        <v>494</v>
      </c>
      <c r="E314" s="335" t="s">
        <v>495</v>
      </c>
      <c r="F314" s="762">
        <v>6100302810</v>
      </c>
      <c r="G314" s="762">
        <v>244</v>
      </c>
      <c r="H314" s="23" t="e">
        <f t="shared" si="62"/>
        <v>#REF!</v>
      </c>
      <c r="I314" s="23" t="e">
        <f>#REF!</f>
        <v>#REF!</v>
      </c>
      <c r="J314" s="23" t="e">
        <f>#REF!</f>
        <v>#REF!</v>
      </c>
      <c r="K314" s="23" t="e">
        <f>#REF!</f>
        <v>#REF!</v>
      </c>
      <c r="L314" s="23" t="e">
        <f>#REF!</f>
        <v>#REF!</v>
      </c>
      <c r="M314" s="65" t="e">
        <f>'Подробный перечень(БКАД)'!#REF!</f>
        <v>#REF!</v>
      </c>
      <c r="N314" s="65" t="e">
        <f>'Подробный перечень(БКАД)'!#REF!</f>
        <v>#REF!</v>
      </c>
      <c r="O314" s="65"/>
      <c r="P314" s="65"/>
      <c r="Q314" s="65"/>
      <c r="R314" s="65">
        <f>V314</f>
        <v>13262.4</v>
      </c>
      <c r="S314" s="65"/>
      <c r="T314" s="65"/>
      <c r="U314" s="65"/>
      <c r="V314" s="65">
        <f>'Подробный перечень (ОБ)'!$K$984</f>
        <v>13262.4</v>
      </c>
      <c r="W314" s="65">
        <f>'Подробный перечень (ОБ)'!$L$984</f>
        <v>8000</v>
      </c>
      <c r="X314" s="66">
        <f>'Подробный перечень (ОБ)'!M984</f>
        <v>10219.5</v>
      </c>
      <c r="Y314" s="972"/>
      <c r="Z314" s="972"/>
    </row>
    <row r="315" spans="1:27" ht="22.5" customHeight="1">
      <c r="A315" s="13" t="s">
        <v>50</v>
      </c>
      <c r="B315" s="630" t="s">
        <v>10</v>
      </c>
      <c r="C315" s="762">
        <v>176</v>
      </c>
      <c r="D315" s="335" t="s">
        <v>494</v>
      </c>
      <c r="E315" s="335" t="s">
        <v>495</v>
      </c>
      <c r="F315" s="762">
        <v>6100302810</v>
      </c>
      <c r="G315" s="762">
        <v>244</v>
      </c>
      <c r="H315" s="23" t="e">
        <f t="shared" si="62"/>
        <v>#REF!</v>
      </c>
      <c r="I315" s="23" t="e">
        <f>#REF!</f>
        <v>#REF!</v>
      </c>
      <c r="J315" s="23" t="e">
        <f>#REF!</f>
        <v>#REF!</v>
      </c>
      <c r="K315" s="23" t="e">
        <f>#REF!</f>
        <v>#REF!</v>
      </c>
      <c r="L315" s="23" t="e">
        <f>#REF!</f>
        <v>#REF!</v>
      </c>
      <c r="M315" s="65"/>
      <c r="N315" s="65"/>
      <c r="O315" s="65"/>
      <c r="P315" s="65"/>
      <c r="Q315" s="65"/>
      <c r="R315" s="65">
        <f>'Подробный перечень (ОБ)'!$G$990</f>
        <v>25406.400000000001</v>
      </c>
      <c r="S315" s="65"/>
      <c r="T315" s="65"/>
      <c r="U315" s="65"/>
      <c r="V315" s="65">
        <f>'Подробный перечень (ОБ)'!$K$990</f>
        <v>25406.400000000001</v>
      </c>
      <c r="W315" s="65">
        <f>'Подробный перечень (ОБ)'!$L$990</f>
        <v>0</v>
      </c>
      <c r="X315" s="66">
        <f>'Подробный перечень (ОБ)'!$M$990</f>
        <v>37567.699999999997</v>
      </c>
      <c r="Y315" s="972"/>
      <c r="Z315" s="972"/>
      <c r="AA315" s="313"/>
    </row>
    <row r="316" spans="1:27" ht="22.5" hidden="1" customHeight="1">
      <c r="A316" s="1019" t="s">
        <v>51</v>
      </c>
      <c r="B316" s="630" t="s">
        <v>10</v>
      </c>
      <c r="C316" s="762">
        <v>176</v>
      </c>
      <c r="D316" s="335" t="s">
        <v>494</v>
      </c>
      <c r="E316" s="335" t="s">
        <v>495</v>
      </c>
      <c r="F316" s="762" t="s">
        <v>266</v>
      </c>
      <c r="G316" s="762">
        <v>244</v>
      </c>
      <c r="H316" s="23" t="e">
        <f t="shared" si="62"/>
        <v>#REF!</v>
      </c>
      <c r="I316" s="23" t="e">
        <f>#REF!</f>
        <v>#REF!</v>
      </c>
      <c r="J316" s="23" t="e">
        <f>#REF!</f>
        <v>#REF!</v>
      </c>
      <c r="K316" s="23" t="e">
        <f>#REF!</f>
        <v>#REF!</v>
      </c>
      <c r="L316" s="23" t="e">
        <f>#REF!</f>
        <v>#REF!</v>
      </c>
      <c r="M316" s="65"/>
      <c r="N316" s="65"/>
      <c r="O316" s="65"/>
      <c r="P316" s="65"/>
      <c r="Q316" s="65"/>
      <c r="R316" s="65"/>
      <c r="S316" s="65"/>
      <c r="T316" s="65"/>
      <c r="U316" s="65"/>
      <c r="V316" s="65"/>
      <c r="W316" s="65"/>
      <c r="X316" s="66"/>
      <c r="Y316" s="972"/>
      <c r="Z316" s="972"/>
      <c r="AA316" s="313"/>
    </row>
    <row r="317" spans="1:27" ht="22.5" customHeight="1">
      <c r="A317" s="1019"/>
      <c r="B317" s="630" t="s">
        <v>10</v>
      </c>
      <c r="C317" s="762">
        <v>176</v>
      </c>
      <c r="D317" s="335" t="s">
        <v>494</v>
      </c>
      <c r="E317" s="335" t="s">
        <v>495</v>
      </c>
      <c r="F317" s="762">
        <v>6100302810</v>
      </c>
      <c r="G317" s="762">
        <v>244</v>
      </c>
      <c r="H317" s="23"/>
      <c r="I317" s="23"/>
      <c r="J317" s="23"/>
      <c r="K317" s="23"/>
      <c r="L317" s="23"/>
      <c r="M317" s="65"/>
      <c r="N317" s="65"/>
      <c r="O317" s="65"/>
      <c r="P317" s="65"/>
      <c r="Q317" s="65"/>
      <c r="R317" s="65">
        <f>V317</f>
        <v>48305.9</v>
      </c>
      <c r="S317" s="65"/>
      <c r="T317" s="65"/>
      <c r="U317" s="65"/>
      <c r="V317" s="65">
        <f>'Подробный перечень (ОБ)'!K$1003</f>
        <v>48305.9</v>
      </c>
      <c r="W317" s="65">
        <f>'Подробный перечень (ОБ)'!$L$1003</f>
        <v>0</v>
      </c>
      <c r="X317" s="66">
        <f>'Подробный перечень (ОБ)'!$M$1003</f>
        <v>43132.1</v>
      </c>
      <c r="Y317" s="972"/>
      <c r="Z317" s="972"/>
      <c r="AA317" s="313"/>
    </row>
    <row r="318" spans="1:27" ht="22.5" customHeight="1">
      <c r="A318" s="763" t="s">
        <v>52</v>
      </c>
      <c r="B318" s="630" t="s">
        <v>10</v>
      </c>
      <c r="C318" s="762">
        <v>176</v>
      </c>
      <c r="D318" s="335" t="s">
        <v>494</v>
      </c>
      <c r="E318" s="335" t="s">
        <v>495</v>
      </c>
      <c r="F318" s="762">
        <v>6100302810</v>
      </c>
      <c r="G318" s="762">
        <v>244</v>
      </c>
      <c r="H318" s="23"/>
      <c r="I318" s="23"/>
      <c r="J318" s="23"/>
      <c r="K318" s="23"/>
      <c r="L318" s="23"/>
      <c r="M318" s="65"/>
      <c r="N318" s="65"/>
      <c r="O318" s="65"/>
      <c r="P318" s="65"/>
      <c r="Q318" s="65"/>
      <c r="R318" s="65">
        <f>'Подробный перечень (ОБ)'!$G$1023</f>
        <v>35903.1</v>
      </c>
      <c r="S318" s="65"/>
      <c r="T318" s="65"/>
      <c r="U318" s="65"/>
      <c r="V318" s="65">
        <f>'Подробный перечень (ОБ)'!$K$1023</f>
        <v>35903.1</v>
      </c>
      <c r="W318" s="65">
        <f>'Подробный перечень (ОБ)'!$L$1023</f>
        <v>6840</v>
      </c>
      <c r="X318" s="66">
        <f>'Подробный перечень (ОБ)'!$M$1023</f>
        <v>47370.5</v>
      </c>
      <c r="Y318" s="972"/>
      <c r="Z318" s="972"/>
    </row>
    <row r="319" spans="1:27" ht="22.5" customHeight="1">
      <c r="A319" s="13" t="s">
        <v>53</v>
      </c>
      <c r="B319" s="630" t="s">
        <v>10</v>
      </c>
      <c r="C319" s="762">
        <v>176</v>
      </c>
      <c r="D319" s="335" t="s">
        <v>494</v>
      </c>
      <c r="E319" s="335" t="s">
        <v>495</v>
      </c>
      <c r="F319" s="762">
        <v>6100302810</v>
      </c>
      <c r="G319" s="762">
        <v>244</v>
      </c>
      <c r="H319" s="23" t="e">
        <f t="shared" si="62"/>
        <v>#REF!</v>
      </c>
      <c r="I319" s="23" t="e">
        <f>#REF!</f>
        <v>#REF!</v>
      </c>
      <c r="J319" s="23" t="e">
        <f>#REF!</f>
        <v>#REF!</v>
      </c>
      <c r="K319" s="23" t="e">
        <f>#REF!</f>
        <v>#REF!</v>
      </c>
      <c r="L319" s="23" t="e">
        <f>#REF!</f>
        <v>#REF!</v>
      </c>
      <c r="M319" s="65" t="e">
        <f>'Подробный перечень(БКАД)'!#REF!</f>
        <v>#REF!</v>
      </c>
      <c r="N319" s="65" t="e">
        <f>'Подробный перечень(БКАД)'!#REF!</f>
        <v>#REF!</v>
      </c>
      <c r="O319" s="65"/>
      <c r="P319" s="65"/>
      <c r="Q319" s="65"/>
      <c r="R319" s="65">
        <f>'Подробный перечень (ОБ)'!$G$1042</f>
        <v>12797.800000000001</v>
      </c>
      <c r="S319" s="65"/>
      <c r="T319" s="65"/>
      <c r="U319" s="65"/>
      <c r="V319" s="65">
        <f>'Подробный перечень (ОБ)'!$K$1042</f>
        <v>12797.800000000001</v>
      </c>
      <c r="W319" s="65">
        <f>'Подробный перечень (ОБ)'!$L$1042</f>
        <v>0</v>
      </c>
      <c r="X319" s="66">
        <f>'Подробный перечень (ОБ)'!$M$1042</f>
        <v>63737.4</v>
      </c>
      <c r="Y319" s="972"/>
      <c r="Z319" s="972"/>
    </row>
    <row r="320" spans="1:27" ht="22.5" customHeight="1">
      <c r="A320" s="13" t="s">
        <v>54</v>
      </c>
      <c r="B320" s="630" t="s">
        <v>10</v>
      </c>
      <c r="C320" s="762">
        <v>176</v>
      </c>
      <c r="D320" s="335" t="s">
        <v>494</v>
      </c>
      <c r="E320" s="335" t="s">
        <v>495</v>
      </c>
      <c r="F320" s="762">
        <v>6100302810</v>
      </c>
      <c r="G320" s="762">
        <v>244</v>
      </c>
      <c r="H320" s="23" t="e">
        <f t="shared" si="62"/>
        <v>#REF!</v>
      </c>
      <c r="I320" s="23" t="e">
        <f>#REF!</f>
        <v>#REF!</v>
      </c>
      <c r="J320" s="23" t="e">
        <f>#REF!</f>
        <v>#REF!</v>
      </c>
      <c r="K320" s="23" t="e">
        <f>#REF!</f>
        <v>#REF!</v>
      </c>
      <c r="L320" s="23" t="e">
        <f>#REF!</f>
        <v>#REF!</v>
      </c>
      <c r="M320" s="65" t="e">
        <f>'Подробный перечень(БКАД)'!#REF!</f>
        <v>#REF!</v>
      </c>
      <c r="N320" s="65" t="e">
        <f>'Подробный перечень(БКАД)'!#REF!</f>
        <v>#REF!</v>
      </c>
      <c r="O320" s="65"/>
      <c r="P320" s="65"/>
      <c r="Q320" s="65"/>
      <c r="R320" s="65">
        <f>'Подробный перечень (ОБ)'!$G$1056</f>
        <v>72574.7</v>
      </c>
      <c r="S320" s="65"/>
      <c r="T320" s="65"/>
      <c r="U320" s="65"/>
      <c r="V320" s="65">
        <f>'Подробный перечень (ОБ)'!$K$1056</f>
        <v>72574.7</v>
      </c>
      <c r="W320" s="65">
        <f>'Подробный перечень (ОБ)'!$L$1056</f>
        <v>10649</v>
      </c>
      <c r="X320" s="66">
        <f>'Подробный перечень (ОБ)'!$M$1056</f>
        <v>97405.3</v>
      </c>
      <c r="Y320" s="972"/>
      <c r="Z320" s="972"/>
    </row>
    <row r="321" spans="1:27" ht="22.5" customHeight="1">
      <c r="A321" s="13" t="s">
        <v>55</v>
      </c>
      <c r="B321" s="630" t="s">
        <v>10</v>
      </c>
      <c r="C321" s="762">
        <v>176</v>
      </c>
      <c r="D321" s="335" t="s">
        <v>494</v>
      </c>
      <c r="E321" s="335" t="s">
        <v>495</v>
      </c>
      <c r="F321" s="762">
        <v>6100302810</v>
      </c>
      <c r="G321" s="762">
        <v>244</v>
      </c>
      <c r="H321" s="23" t="e">
        <f t="shared" si="62"/>
        <v>#REF!</v>
      </c>
      <c r="I321" s="23" t="e">
        <f>#REF!</f>
        <v>#REF!</v>
      </c>
      <c r="J321" s="23" t="e">
        <f>#REF!</f>
        <v>#REF!</v>
      </c>
      <c r="K321" s="23" t="e">
        <f>#REF!</f>
        <v>#REF!</v>
      </c>
      <c r="L321" s="23" t="e">
        <f>#REF!</f>
        <v>#REF!</v>
      </c>
      <c r="M321" s="65"/>
      <c r="N321" s="65"/>
      <c r="O321" s="65"/>
      <c r="P321" s="65"/>
      <c r="Q321" s="65"/>
      <c r="R321" s="65">
        <f>'Подробный перечень (ОБ)'!$G$1073</f>
        <v>34160.300000000003</v>
      </c>
      <c r="S321" s="65"/>
      <c r="T321" s="65"/>
      <c r="U321" s="65"/>
      <c r="V321" s="65">
        <f>'Подробный перечень (ОБ)'!$K$1073</f>
        <v>34160.300000000003</v>
      </c>
      <c r="W321" s="65">
        <f>'Подробный перечень (ОБ)'!$L$1073</f>
        <v>8000</v>
      </c>
      <c r="X321" s="66">
        <f>'Подробный перечень (ОБ)'!$M$1073</f>
        <v>163309.1</v>
      </c>
      <c r="Y321" s="972"/>
      <c r="Z321" s="972"/>
      <c r="AA321" s="313"/>
    </row>
    <row r="322" spans="1:27" ht="22.5" customHeight="1">
      <c r="A322" s="13" t="s">
        <v>56</v>
      </c>
      <c r="B322" s="630" t="s">
        <v>10</v>
      </c>
      <c r="C322" s="762">
        <v>176</v>
      </c>
      <c r="D322" s="335" t="s">
        <v>494</v>
      </c>
      <c r="E322" s="335" t="s">
        <v>495</v>
      </c>
      <c r="F322" s="762">
        <v>6100302810</v>
      </c>
      <c r="G322" s="762">
        <v>244</v>
      </c>
      <c r="H322" s="23" t="e">
        <f t="shared" si="62"/>
        <v>#REF!</v>
      </c>
      <c r="I322" s="23" t="e">
        <f>#REF!</f>
        <v>#REF!</v>
      </c>
      <c r="J322" s="23" t="e">
        <f>#REF!</f>
        <v>#REF!</v>
      </c>
      <c r="K322" s="23" t="e">
        <f>#REF!</f>
        <v>#REF!</v>
      </c>
      <c r="L322" s="23" t="e">
        <f>#REF!</f>
        <v>#REF!</v>
      </c>
      <c r="M322" s="65"/>
      <c r="N322" s="65"/>
      <c r="O322" s="65"/>
      <c r="P322" s="65"/>
      <c r="Q322" s="65"/>
      <c r="R322" s="65">
        <f>'Подробный перечень (ОБ)'!$G$1092</f>
        <v>76570.2</v>
      </c>
      <c r="S322" s="65"/>
      <c r="T322" s="65"/>
      <c r="U322" s="65"/>
      <c r="V322" s="65">
        <f>'Подробный перечень (ОБ)'!$K$1092</f>
        <v>76570.2</v>
      </c>
      <c r="W322" s="65">
        <f>'Подробный перечень (ОБ)'!$L$1092</f>
        <v>0</v>
      </c>
      <c r="X322" s="66">
        <f>'Подробный перечень (ОБ)'!$M$1092</f>
        <v>234560.59999999998</v>
      </c>
      <c r="Y322" s="972"/>
      <c r="Z322" s="972"/>
    </row>
    <row r="323" spans="1:27" ht="22.5" customHeight="1">
      <c r="A323" s="13" t="s">
        <v>57</v>
      </c>
      <c r="B323" s="630" t="s">
        <v>10</v>
      </c>
      <c r="C323" s="762">
        <v>176</v>
      </c>
      <c r="D323" s="335" t="s">
        <v>494</v>
      </c>
      <c r="E323" s="335" t="s">
        <v>495</v>
      </c>
      <c r="F323" s="762">
        <v>6100302810</v>
      </c>
      <c r="G323" s="762">
        <v>244</v>
      </c>
      <c r="H323" s="23" t="e">
        <f t="shared" si="62"/>
        <v>#REF!</v>
      </c>
      <c r="I323" s="23" t="e">
        <f>#REF!</f>
        <v>#REF!</v>
      </c>
      <c r="J323" s="23" t="e">
        <f>#REF!</f>
        <v>#REF!</v>
      </c>
      <c r="K323" s="23" t="e">
        <f>#REF!</f>
        <v>#REF!</v>
      </c>
      <c r="L323" s="23" t="e">
        <f>#REF!</f>
        <v>#REF!</v>
      </c>
      <c r="M323" s="65"/>
      <c r="N323" s="65"/>
      <c r="O323" s="65"/>
      <c r="P323" s="65"/>
      <c r="Q323" s="65"/>
      <c r="R323" s="65">
        <f>'Подробный перечень (ОБ)'!$G$1105</f>
        <v>17111.900000000001</v>
      </c>
      <c r="S323" s="65"/>
      <c r="T323" s="65"/>
      <c r="U323" s="65"/>
      <c r="V323" s="65">
        <f>'Подробный перечень (ОБ)'!$K$1105</f>
        <v>17111.900000000001</v>
      </c>
      <c r="W323" s="65">
        <f>'Подробный перечень (ОБ)'!$L$1105</f>
        <v>0</v>
      </c>
      <c r="X323" s="66">
        <f>'Подробный перечень (ОБ)'!$M$1105</f>
        <v>113953.4</v>
      </c>
      <c r="Y323" s="972"/>
      <c r="Z323" s="972"/>
    </row>
    <row r="324" spans="1:27" ht="22.5" customHeight="1">
      <c r="A324" s="13" t="s">
        <v>58</v>
      </c>
      <c r="B324" s="630" t="s">
        <v>10</v>
      </c>
      <c r="C324" s="762">
        <v>176</v>
      </c>
      <c r="D324" s="335" t="s">
        <v>494</v>
      </c>
      <c r="E324" s="335" t="s">
        <v>495</v>
      </c>
      <c r="F324" s="762">
        <v>6100302810</v>
      </c>
      <c r="G324" s="762">
        <v>244</v>
      </c>
      <c r="H324" s="23" t="e">
        <f t="shared" si="62"/>
        <v>#REF!</v>
      </c>
      <c r="I324" s="23" t="e">
        <f>#REF!</f>
        <v>#REF!</v>
      </c>
      <c r="J324" s="23" t="e">
        <f>#REF!</f>
        <v>#REF!</v>
      </c>
      <c r="K324" s="23" t="e">
        <f>#REF!</f>
        <v>#REF!</v>
      </c>
      <c r="L324" s="23" t="e">
        <f>#REF!</f>
        <v>#REF!</v>
      </c>
      <c r="M324" s="65"/>
      <c r="N324" s="65"/>
      <c r="O324" s="65"/>
      <c r="P324" s="65"/>
      <c r="Q324" s="65"/>
      <c r="R324" s="65">
        <f>'Подробный перечень (ОБ)'!$G$1114</f>
        <v>12155.4</v>
      </c>
      <c r="S324" s="65"/>
      <c r="T324" s="65"/>
      <c r="U324" s="65"/>
      <c r="V324" s="65">
        <f>'Подробный перечень (ОБ)'!$K$1114</f>
        <v>12155.4</v>
      </c>
      <c r="W324" s="65">
        <f>'Подробный перечень (ОБ)'!$L$1114</f>
        <v>4000</v>
      </c>
      <c r="X324" s="66">
        <f>'Подробный перечень (ОБ)'!$M$1114</f>
        <v>66620.100000000006</v>
      </c>
      <c r="Y324" s="972"/>
      <c r="Z324" s="972"/>
    </row>
    <row r="325" spans="1:27" ht="22.5" customHeight="1">
      <c r="A325" s="13" t="s">
        <v>59</v>
      </c>
      <c r="B325" s="630" t="s">
        <v>10</v>
      </c>
      <c r="C325" s="762">
        <v>176</v>
      </c>
      <c r="D325" s="335" t="s">
        <v>494</v>
      </c>
      <c r="E325" s="335" t="s">
        <v>495</v>
      </c>
      <c r="F325" s="762">
        <v>6100302810</v>
      </c>
      <c r="G325" s="762">
        <v>244</v>
      </c>
      <c r="H325" s="23" t="e">
        <f t="shared" si="62"/>
        <v>#REF!</v>
      </c>
      <c r="I325" s="23" t="e">
        <f>#REF!</f>
        <v>#REF!</v>
      </c>
      <c r="J325" s="23" t="e">
        <f>#REF!</f>
        <v>#REF!</v>
      </c>
      <c r="K325" s="23" t="e">
        <f>#REF!</f>
        <v>#REF!</v>
      </c>
      <c r="L325" s="23" t="e">
        <f>#REF!</f>
        <v>#REF!</v>
      </c>
      <c r="M325" s="65"/>
      <c r="N325" s="65"/>
      <c r="O325" s="65"/>
      <c r="P325" s="65"/>
      <c r="Q325" s="65"/>
      <c r="R325" s="65">
        <f>'Подробный перечень (ОБ)'!$G$1128</f>
        <v>27082.7</v>
      </c>
      <c r="S325" s="65"/>
      <c r="T325" s="65"/>
      <c r="U325" s="65"/>
      <c r="V325" s="65">
        <f>'Подробный перечень (ОБ)'!$K$1128</f>
        <v>27082.7</v>
      </c>
      <c r="W325" s="65">
        <f>'Подробный перечень (ОБ)'!$L$1128</f>
        <v>0</v>
      </c>
      <c r="X325" s="66">
        <f>'Подробный перечень (ОБ)'!$M$1128</f>
        <v>39053.9</v>
      </c>
      <c r="Y325" s="972"/>
      <c r="Z325" s="972"/>
    </row>
    <row r="326" spans="1:27" ht="22.5" hidden="1" customHeight="1">
      <c r="A326" s="992" t="s">
        <v>60</v>
      </c>
      <c r="B326" s="630" t="s">
        <v>10</v>
      </c>
      <c r="C326" s="762">
        <v>176</v>
      </c>
      <c r="D326" s="335" t="s">
        <v>494</v>
      </c>
      <c r="E326" s="335" t="s">
        <v>495</v>
      </c>
      <c r="F326" s="762" t="s">
        <v>266</v>
      </c>
      <c r="G326" s="762">
        <v>244</v>
      </c>
      <c r="H326" s="23" t="e">
        <f t="shared" si="62"/>
        <v>#REF!</v>
      </c>
      <c r="I326" s="23" t="e">
        <f>#REF!</f>
        <v>#REF!</v>
      </c>
      <c r="J326" s="23" t="e">
        <f>#REF!</f>
        <v>#REF!</v>
      </c>
      <c r="K326" s="23" t="e">
        <f>#REF!</f>
        <v>#REF!</v>
      </c>
      <c r="L326" s="23" t="e">
        <f>#REF!</f>
        <v>#REF!</v>
      </c>
      <c r="M326" s="65" t="e">
        <f>'Подробный перечень(БКАД)'!#REF!</f>
        <v>#REF!</v>
      </c>
      <c r="N326" s="65" t="e">
        <f>'Подробный перечень(БКАД)'!#REF!</f>
        <v>#REF!</v>
      </c>
      <c r="O326" s="65" t="e">
        <f>'Подробный перечень(БКАД)'!#REF!</f>
        <v>#REF!</v>
      </c>
      <c r="P326" s="65" t="e">
        <f>'Подробный перечень(БКАД)'!#REF!</f>
        <v>#REF!</v>
      </c>
      <c r="Q326" s="65" t="e">
        <f>'Подробный перечень(БКАД)'!#REF!</f>
        <v>#REF!</v>
      </c>
      <c r="R326" s="65"/>
      <c r="S326" s="65"/>
      <c r="T326" s="65"/>
      <c r="U326" s="65"/>
      <c r="V326" s="65"/>
      <c r="W326" s="65"/>
      <c r="X326" s="66"/>
      <c r="Y326" s="972"/>
      <c r="Z326" s="972"/>
      <c r="AA326" s="313"/>
    </row>
    <row r="327" spans="1:27" ht="22.5" customHeight="1">
      <c r="A327" s="994"/>
      <c r="B327" s="630" t="s">
        <v>10</v>
      </c>
      <c r="C327" s="762">
        <v>176</v>
      </c>
      <c r="D327" s="335" t="s">
        <v>494</v>
      </c>
      <c r="E327" s="335" t="s">
        <v>495</v>
      </c>
      <c r="F327" s="762">
        <v>6100302810</v>
      </c>
      <c r="G327" s="762">
        <v>244</v>
      </c>
      <c r="H327" s="23"/>
      <c r="I327" s="23"/>
      <c r="J327" s="23"/>
      <c r="K327" s="23"/>
      <c r="L327" s="23"/>
      <c r="M327" s="65"/>
      <c r="N327" s="65"/>
      <c r="O327" s="65"/>
      <c r="P327" s="65"/>
      <c r="Q327" s="65"/>
      <c r="R327" s="65">
        <f>V327</f>
        <v>111623.8</v>
      </c>
      <c r="S327" s="65"/>
      <c r="T327" s="65"/>
      <c r="U327" s="65"/>
      <c r="V327" s="65">
        <f>'Подробный перечень (ОБ)'!$K$1148</f>
        <v>111623.8</v>
      </c>
      <c r="W327" s="65">
        <f>'Подробный перечень (ОБ)'!$L$1148</f>
        <v>10000</v>
      </c>
      <c r="X327" s="66">
        <f>'Подробный перечень (ОБ)'!$M$1148</f>
        <v>74851.100000000006</v>
      </c>
      <c r="Y327" s="972"/>
      <c r="Z327" s="972"/>
    </row>
    <row r="328" spans="1:27" ht="22.5" hidden="1" customHeight="1">
      <c r="A328" s="993"/>
      <c r="B328" s="630" t="s">
        <v>10</v>
      </c>
      <c r="C328" s="762">
        <v>176</v>
      </c>
      <c r="D328" s="335" t="s">
        <v>494</v>
      </c>
      <c r="E328" s="335" t="s">
        <v>495</v>
      </c>
      <c r="F328" s="762">
        <v>6100053902</v>
      </c>
      <c r="G328" s="762">
        <v>244</v>
      </c>
      <c r="H328" s="23"/>
      <c r="I328" s="23"/>
      <c r="J328" s="23"/>
      <c r="K328" s="23"/>
      <c r="L328" s="23"/>
      <c r="M328" s="65"/>
      <c r="N328" s="65"/>
      <c r="O328" s="65"/>
      <c r="P328" s="65"/>
      <c r="Q328" s="65"/>
      <c r="R328" s="65"/>
      <c r="S328" s="65"/>
      <c r="T328" s="65"/>
      <c r="U328" s="65"/>
      <c r="V328" s="65"/>
      <c r="W328" s="65"/>
      <c r="X328" s="66"/>
      <c r="Y328" s="972"/>
      <c r="Z328" s="972"/>
      <c r="AA328" s="313"/>
    </row>
    <row r="329" spans="1:27" ht="22.5" customHeight="1">
      <c r="A329" s="13" t="s">
        <v>61</v>
      </c>
      <c r="B329" s="630" t="s">
        <v>10</v>
      </c>
      <c r="C329" s="762">
        <v>176</v>
      </c>
      <c r="D329" s="335" t="s">
        <v>494</v>
      </c>
      <c r="E329" s="335" t="s">
        <v>495</v>
      </c>
      <c r="F329" s="762">
        <v>6100302810</v>
      </c>
      <c r="G329" s="762">
        <v>244</v>
      </c>
      <c r="H329" s="23" t="e">
        <f t="shared" si="62"/>
        <v>#REF!</v>
      </c>
      <c r="I329" s="23" t="e">
        <f>#REF!</f>
        <v>#REF!</v>
      </c>
      <c r="J329" s="23" t="e">
        <f>#REF!</f>
        <v>#REF!</v>
      </c>
      <c r="K329" s="23" t="e">
        <f>#REF!</f>
        <v>#REF!</v>
      </c>
      <c r="L329" s="23" t="e">
        <f>#REF!</f>
        <v>#REF!</v>
      </c>
      <c r="M329" s="65" t="e">
        <f>'Подробный перечень(БКАД)'!#REF!</f>
        <v>#REF!</v>
      </c>
      <c r="N329" s="65"/>
      <c r="O329" s="65" t="e">
        <f>'Подробный перечень(БКАД)'!#REF!</f>
        <v>#REF!</v>
      </c>
      <c r="P329" s="65"/>
      <c r="Q329" s="65"/>
      <c r="R329" s="65">
        <f>V329</f>
        <v>18294.2</v>
      </c>
      <c r="S329" s="65"/>
      <c r="T329" s="65"/>
      <c r="U329" s="65"/>
      <c r="V329" s="65">
        <f>'Подробный перечень (ОБ)'!$K$1188</f>
        <v>18294.2</v>
      </c>
      <c r="W329" s="65">
        <f>'Подробный перечень (ОБ)'!$L$1188</f>
        <v>0</v>
      </c>
      <c r="X329" s="66">
        <f>'Подробный перечень (ОБ)'!$M$1188</f>
        <v>30780.9</v>
      </c>
      <c r="Y329" s="972"/>
      <c r="Z329" s="972"/>
    </row>
    <row r="330" spans="1:27" ht="22.5" customHeight="1">
      <c r="A330" s="13" t="s">
        <v>62</v>
      </c>
      <c r="B330" s="630" t="s">
        <v>10</v>
      </c>
      <c r="C330" s="762">
        <v>176</v>
      </c>
      <c r="D330" s="335" t="s">
        <v>494</v>
      </c>
      <c r="E330" s="335" t="s">
        <v>495</v>
      </c>
      <c r="F330" s="762">
        <v>6100302810</v>
      </c>
      <c r="G330" s="762">
        <v>244</v>
      </c>
      <c r="H330" s="23" t="e">
        <f t="shared" si="62"/>
        <v>#REF!</v>
      </c>
      <c r="I330" s="23" t="e">
        <f>#REF!</f>
        <v>#REF!</v>
      </c>
      <c r="J330" s="23" t="e">
        <f>#REF!</f>
        <v>#REF!</v>
      </c>
      <c r="K330" s="23" t="e">
        <f>#REF!</f>
        <v>#REF!</v>
      </c>
      <c r="L330" s="23" t="e">
        <f>#REF!</f>
        <v>#REF!</v>
      </c>
      <c r="M330" s="65" t="e">
        <f>'Подробный перечень(БКАД)'!#REF!</f>
        <v>#REF!</v>
      </c>
      <c r="N330" s="65"/>
      <c r="O330" s="65"/>
      <c r="P330" s="65" t="e">
        <f>'Подробный перечень(БКАД)'!#REF!</f>
        <v>#REF!</v>
      </c>
      <c r="Q330" s="65"/>
      <c r="R330" s="65">
        <f>'Подробный перечень (ОБ)'!$G$1202</f>
        <v>13685.5</v>
      </c>
      <c r="S330" s="65"/>
      <c r="T330" s="65"/>
      <c r="U330" s="65"/>
      <c r="V330" s="65">
        <f>'Подробный перечень (ОБ)'!$K$1202</f>
        <v>13685.5</v>
      </c>
      <c r="W330" s="65">
        <f>'Подробный перечень (ОБ)'!$L$1202</f>
        <v>0</v>
      </c>
      <c r="X330" s="66">
        <f>'Подробный перечень (ОБ)'!$M$1202</f>
        <v>111909.2</v>
      </c>
      <c r="Y330" s="972"/>
      <c r="Z330" s="972"/>
      <c r="AA330" s="313"/>
    </row>
    <row r="331" spans="1:27" ht="22.5" customHeight="1">
      <c r="A331" s="13" t="s">
        <v>63</v>
      </c>
      <c r="B331" s="630" t="s">
        <v>10</v>
      </c>
      <c r="C331" s="762">
        <v>176</v>
      </c>
      <c r="D331" s="335" t="s">
        <v>494</v>
      </c>
      <c r="E331" s="335" t="s">
        <v>495</v>
      </c>
      <c r="F331" s="762">
        <v>6100302810</v>
      </c>
      <c r="G331" s="762">
        <v>244</v>
      </c>
      <c r="H331" s="23" t="e">
        <f t="shared" si="62"/>
        <v>#REF!</v>
      </c>
      <c r="I331" s="23" t="e">
        <f>#REF!</f>
        <v>#REF!</v>
      </c>
      <c r="J331" s="23" t="e">
        <f>#REF!</f>
        <v>#REF!</v>
      </c>
      <c r="K331" s="23" t="e">
        <f>#REF!</f>
        <v>#REF!</v>
      </c>
      <c r="L331" s="23" t="e">
        <f>#REF!</f>
        <v>#REF!</v>
      </c>
      <c r="M331" s="65"/>
      <c r="N331" s="65"/>
      <c r="O331" s="65"/>
      <c r="P331" s="65"/>
      <c r="Q331" s="65"/>
      <c r="R331" s="65">
        <f>'Подробный перечень (ОБ)'!$G$1213</f>
        <v>34182.699999999997</v>
      </c>
      <c r="S331" s="65"/>
      <c r="T331" s="65"/>
      <c r="U331" s="65"/>
      <c r="V331" s="65">
        <f>'Подробный перечень (ОБ)'!$K$1213</f>
        <v>34182.699999999997</v>
      </c>
      <c r="W331" s="65">
        <f>'Подробный перечень (ОБ)'!$L$1213</f>
        <v>0</v>
      </c>
      <c r="X331" s="66">
        <f>'Подробный перечень (ОБ)'!$M$1213</f>
        <v>52328</v>
      </c>
      <c r="Y331" s="972"/>
      <c r="Z331" s="972"/>
    </row>
    <row r="332" spans="1:27" ht="22.5" customHeight="1">
      <c r="A332" s="13" t="s">
        <v>64</v>
      </c>
      <c r="B332" s="630" t="s">
        <v>10</v>
      </c>
      <c r="C332" s="762">
        <v>176</v>
      </c>
      <c r="D332" s="335" t="s">
        <v>494</v>
      </c>
      <c r="E332" s="335" t="s">
        <v>495</v>
      </c>
      <c r="F332" s="762">
        <v>6100302810</v>
      </c>
      <c r="G332" s="762">
        <v>244</v>
      </c>
      <c r="H332" s="23">
        <f t="shared" si="62"/>
        <v>0</v>
      </c>
      <c r="I332" s="23">
        <v>0</v>
      </c>
      <c r="J332" s="23"/>
      <c r="K332" s="23"/>
      <c r="L332" s="23"/>
      <c r="M332" s="65"/>
      <c r="N332" s="65"/>
      <c r="O332" s="65"/>
      <c r="P332" s="65"/>
      <c r="Q332" s="65"/>
      <c r="R332" s="65">
        <f>'Подробный перечень (ОБ)'!$G$1220</f>
        <v>18917.099999999999</v>
      </c>
      <c r="S332" s="65"/>
      <c r="T332" s="65"/>
      <c r="U332" s="65"/>
      <c r="V332" s="65">
        <f>'Подробный перечень (ОБ)'!$K$1220</f>
        <v>18917.099999999999</v>
      </c>
      <c r="W332" s="65">
        <f>'Подробный перечень (ОБ)'!$L$1220</f>
        <v>0</v>
      </c>
      <c r="X332" s="66">
        <f>'Подробный перечень (ОБ)'!$M$1220</f>
        <v>42104.2</v>
      </c>
      <c r="Y332" s="972"/>
      <c r="Z332" s="972"/>
      <c r="AA332" s="313"/>
    </row>
    <row r="333" spans="1:27" ht="22.5" hidden="1" customHeight="1">
      <c r="A333" s="992" t="s">
        <v>65</v>
      </c>
      <c r="B333" s="630" t="s">
        <v>10</v>
      </c>
      <c r="C333" s="762">
        <v>176</v>
      </c>
      <c r="D333" s="335" t="s">
        <v>494</v>
      </c>
      <c r="E333" s="335" t="s">
        <v>495</v>
      </c>
      <c r="F333" s="762" t="s">
        <v>266</v>
      </c>
      <c r="G333" s="762">
        <v>244</v>
      </c>
      <c r="H333" s="23" t="e">
        <f t="shared" si="62"/>
        <v>#REF!</v>
      </c>
      <c r="I333" s="23" t="e">
        <f>#REF!</f>
        <v>#REF!</v>
      </c>
      <c r="J333" s="23" t="e">
        <f>#REF!</f>
        <v>#REF!</v>
      </c>
      <c r="K333" s="23" t="e">
        <f>#REF!</f>
        <v>#REF!</v>
      </c>
      <c r="L333" s="23" t="e">
        <f>#REF!</f>
        <v>#REF!</v>
      </c>
      <c r="M333" s="65" t="e">
        <f>'Подробный перечень(БКАД)'!#REF!</f>
        <v>#REF!</v>
      </c>
      <c r="N333" s="65" t="e">
        <f>'Подробный перечень(БКАД)'!#REF!</f>
        <v>#REF!</v>
      </c>
      <c r="O333" s="65"/>
      <c r="P333" s="65" t="e">
        <f>'Подробный перечень(БКАД)'!#REF!</f>
        <v>#REF!</v>
      </c>
      <c r="Q333" s="65"/>
      <c r="R333" s="65"/>
      <c r="S333" s="65"/>
      <c r="T333" s="65"/>
      <c r="U333" s="65"/>
      <c r="V333" s="65"/>
      <c r="W333" s="65"/>
      <c r="X333" s="66"/>
      <c r="Y333" s="972"/>
      <c r="Z333" s="972"/>
      <c r="AA333" s="313"/>
    </row>
    <row r="334" spans="1:27" ht="22.5" customHeight="1">
      <c r="A334" s="994"/>
      <c r="B334" s="630" t="s">
        <v>10</v>
      </c>
      <c r="C334" s="762">
        <v>176</v>
      </c>
      <c r="D334" s="335" t="s">
        <v>494</v>
      </c>
      <c r="E334" s="335" t="s">
        <v>495</v>
      </c>
      <c r="F334" s="762">
        <v>6100302810</v>
      </c>
      <c r="G334" s="762">
        <v>244</v>
      </c>
      <c r="H334" s="23"/>
      <c r="I334" s="23"/>
      <c r="J334" s="23"/>
      <c r="K334" s="23"/>
      <c r="L334" s="23"/>
      <c r="M334" s="65"/>
      <c r="N334" s="65"/>
      <c r="O334" s="65"/>
      <c r="P334" s="65"/>
      <c r="Q334" s="65"/>
      <c r="R334" s="65">
        <f>'Подробный перечень (ОБ)'!$G$1232</f>
        <v>61807.4</v>
      </c>
      <c r="S334" s="65"/>
      <c r="T334" s="65"/>
      <c r="U334" s="65"/>
      <c r="V334" s="65">
        <f>'Подробный перечень (ОБ)'!$K$1232</f>
        <v>61807.4</v>
      </c>
      <c r="W334" s="65">
        <f>'Подробный перечень (ОБ)'!$L$1232</f>
        <v>0</v>
      </c>
      <c r="X334" s="66">
        <f>'Подробный перечень (ОБ)'!$M$1232</f>
        <v>59310.2</v>
      </c>
      <c r="Y334" s="972"/>
      <c r="Z334" s="972"/>
      <c r="AA334" s="313"/>
    </row>
    <row r="335" spans="1:27" ht="22.5" hidden="1" customHeight="1">
      <c r="A335" s="993"/>
      <c r="B335" s="630" t="s">
        <v>10</v>
      </c>
      <c r="C335" s="762">
        <v>176</v>
      </c>
      <c r="D335" s="335" t="s">
        <v>494</v>
      </c>
      <c r="E335" s="335" t="s">
        <v>495</v>
      </c>
      <c r="F335" s="762">
        <v>6100053902</v>
      </c>
      <c r="G335" s="762">
        <v>244</v>
      </c>
      <c r="H335" s="23"/>
      <c r="I335" s="23"/>
      <c r="J335" s="23"/>
      <c r="K335" s="23"/>
      <c r="L335" s="23"/>
      <c r="M335" s="65"/>
      <c r="N335" s="65"/>
      <c r="O335" s="65"/>
      <c r="P335" s="65"/>
      <c r="Q335" s="65"/>
      <c r="R335" s="65"/>
      <c r="S335" s="65"/>
      <c r="T335" s="65"/>
      <c r="U335" s="65"/>
      <c r="V335" s="65"/>
      <c r="W335" s="65"/>
      <c r="X335" s="66"/>
      <c r="Y335" s="972"/>
      <c r="Z335" s="972"/>
    </row>
    <row r="336" spans="1:27" ht="22.5" customHeight="1">
      <c r="A336" s="13" t="s">
        <v>66</v>
      </c>
      <c r="B336" s="630" t="s">
        <v>10</v>
      </c>
      <c r="C336" s="762">
        <v>176</v>
      </c>
      <c r="D336" s="335" t="s">
        <v>494</v>
      </c>
      <c r="E336" s="335" t="s">
        <v>495</v>
      </c>
      <c r="F336" s="762">
        <v>6100302810</v>
      </c>
      <c r="G336" s="762">
        <v>244</v>
      </c>
      <c r="H336" s="23">
        <f t="shared" si="62"/>
        <v>0</v>
      </c>
      <c r="I336" s="23"/>
      <c r="J336" s="23"/>
      <c r="K336" s="23"/>
      <c r="L336" s="23"/>
      <c r="M336" s="65"/>
      <c r="N336" s="65"/>
      <c r="O336" s="65"/>
      <c r="P336" s="65"/>
      <c r="Q336" s="65"/>
      <c r="R336" s="65">
        <f>'Подробный перечень (ОБ)'!$G$1247</f>
        <v>25192.899999999998</v>
      </c>
      <c r="S336" s="65"/>
      <c r="T336" s="65"/>
      <c r="U336" s="65"/>
      <c r="V336" s="65">
        <f>'Подробный перечень (ОБ)'!$K$1247</f>
        <v>25192.899999999998</v>
      </c>
      <c r="W336" s="65">
        <f>'Подробный перечень (ОБ)'!$L$1247</f>
        <v>5027</v>
      </c>
      <c r="X336" s="66">
        <f>'Подробный перечень (ОБ)'!$M$1247</f>
        <v>107435.3</v>
      </c>
      <c r="Y336" s="972"/>
      <c r="Z336" s="972"/>
    </row>
    <row r="337" spans="1:27" ht="22.5" customHeight="1">
      <c r="A337" s="13" t="s">
        <v>67</v>
      </c>
      <c r="B337" s="630" t="s">
        <v>10</v>
      </c>
      <c r="C337" s="762">
        <v>176</v>
      </c>
      <c r="D337" s="335" t="s">
        <v>494</v>
      </c>
      <c r="E337" s="335" t="s">
        <v>495</v>
      </c>
      <c r="F337" s="762">
        <v>6100302810</v>
      </c>
      <c r="G337" s="762">
        <v>244</v>
      </c>
      <c r="H337" s="23">
        <f t="shared" si="62"/>
        <v>0</v>
      </c>
      <c r="I337" s="23">
        <v>0</v>
      </c>
      <c r="J337" s="23">
        <v>0</v>
      </c>
      <c r="K337" s="23">
        <v>0</v>
      </c>
      <c r="L337" s="23">
        <v>0</v>
      </c>
      <c r="M337" s="65"/>
      <c r="N337" s="65"/>
      <c r="O337" s="65"/>
      <c r="P337" s="65"/>
      <c r="Q337" s="65"/>
      <c r="R337" s="65">
        <f>'Подробный перечень (ОБ)'!$G$1256</f>
        <v>15681</v>
      </c>
      <c r="S337" s="65"/>
      <c r="T337" s="65"/>
      <c r="U337" s="65"/>
      <c r="V337" s="65">
        <f>'Подробный перечень (ОБ)'!$K$1256</f>
        <v>15681</v>
      </c>
      <c r="W337" s="65">
        <f>'Подробный перечень (ОБ)'!$L$1256</f>
        <v>0</v>
      </c>
      <c r="X337" s="66">
        <f>'Подробный перечень (ОБ)'!$M$1256</f>
        <v>43588.3</v>
      </c>
      <c r="Y337" s="972"/>
      <c r="Z337" s="972"/>
      <c r="AA337" s="313"/>
    </row>
    <row r="338" spans="1:27" ht="22.5" customHeight="1">
      <c r="A338" s="13" t="s">
        <v>68</v>
      </c>
      <c r="B338" s="630" t="s">
        <v>10</v>
      </c>
      <c r="C338" s="762">
        <v>176</v>
      </c>
      <c r="D338" s="335" t="s">
        <v>494</v>
      </c>
      <c r="E338" s="335" t="s">
        <v>495</v>
      </c>
      <c r="F338" s="762">
        <v>6100302810</v>
      </c>
      <c r="G338" s="762">
        <v>244</v>
      </c>
      <c r="H338" s="23">
        <f t="shared" si="62"/>
        <v>0</v>
      </c>
      <c r="I338" s="23">
        <v>0</v>
      </c>
      <c r="J338" s="23">
        <v>0</v>
      </c>
      <c r="K338" s="23">
        <v>0</v>
      </c>
      <c r="L338" s="23">
        <v>0</v>
      </c>
      <c r="M338" s="65"/>
      <c r="N338" s="65"/>
      <c r="O338" s="65"/>
      <c r="P338" s="65"/>
      <c r="Q338" s="65"/>
      <c r="R338" s="65">
        <f>'Подробный перечень (ОБ)'!$G$1266</f>
        <v>14658.7</v>
      </c>
      <c r="S338" s="65"/>
      <c r="T338" s="65"/>
      <c r="U338" s="65"/>
      <c r="V338" s="65">
        <f>'Подробный перечень (ОБ)'!$K$1266</f>
        <v>14658.7</v>
      </c>
      <c r="W338" s="65">
        <f>'Подробный перечень (ОБ)'!$L$1266</f>
        <v>0</v>
      </c>
      <c r="X338" s="66">
        <f>'Подробный перечень (ОБ)'!$M$1266</f>
        <v>42729</v>
      </c>
      <c r="Y338" s="972"/>
      <c r="Z338" s="972"/>
      <c r="AA338" s="313"/>
    </row>
    <row r="339" spans="1:27" ht="22.5" customHeight="1">
      <c r="A339" s="13" t="s">
        <v>69</v>
      </c>
      <c r="B339" s="630" t="s">
        <v>10</v>
      </c>
      <c r="C339" s="762">
        <v>176</v>
      </c>
      <c r="D339" s="335" t="s">
        <v>494</v>
      </c>
      <c r="E339" s="335" t="s">
        <v>495</v>
      </c>
      <c r="F339" s="762">
        <v>6100302810</v>
      </c>
      <c r="G339" s="762">
        <v>244</v>
      </c>
      <c r="H339" s="23">
        <f t="shared" si="62"/>
        <v>0</v>
      </c>
      <c r="I339" s="23">
        <v>0</v>
      </c>
      <c r="J339" s="23">
        <v>0</v>
      </c>
      <c r="K339" s="23">
        <v>0</v>
      </c>
      <c r="L339" s="23">
        <v>0</v>
      </c>
      <c r="M339" s="65"/>
      <c r="N339" s="65"/>
      <c r="O339" s="65"/>
      <c r="P339" s="65"/>
      <c r="Q339" s="65"/>
      <c r="R339" s="65">
        <f>'Подробный перечень (ОБ)'!$G$1277</f>
        <v>29885.8</v>
      </c>
      <c r="S339" s="65"/>
      <c r="T339" s="65"/>
      <c r="U339" s="65"/>
      <c r="V339" s="65">
        <f>'Подробный перечень (ОБ)'!$K$1277</f>
        <v>29885.8</v>
      </c>
      <c r="W339" s="65">
        <f>'Подробный перечень (ОБ)'!$L$1277</f>
        <v>0</v>
      </c>
      <c r="X339" s="66">
        <f>'Подробный перечень (ОБ)'!$M$1277</f>
        <v>51235.4</v>
      </c>
      <c r="Y339" s="972"/>
      <c r="Z339" s="972"/>
    </row>
    <row r="340" spans="1:27" ht="22.5" customHeight="1">
      <c r="A340" s="13" t="s">
        <v>70</v>
      </c>
      <c r="B340" s="630" t="s">
        <v>10</v>
      </c>
      <c r="C340" s="762">
        <v>176</v>
      </c>
      <c r="D340" s="335" t="s">
        <v>494</v>
      </c>
      <c r="E340" s="335" t="s">
        <v>495</v>
      </c>
      <c r="F340" s="762">
        <v>6100302810</v>
      </c>
      <c r="G340" s="762">
        <v>244</v>
      </c>
      <c r="H340" s="23" t="e">
        <f t="shared" si="62"/>
        <v>#REF!</v>
      </c>
      <c r="I340" s="23" t="e">
        <f>#REF!</f>
        <v>#REF!</v>
      </c>
      <c r="J340" s="23" t="e">
        <f>#REF!</f>
        <v>#REF!</v>
      </c>
      <c r="K340" s="23" t="e">
        <f>#REF!</f>
        <v>#REF!</v>
      </c>
      <c r="L340" s="23" t="e">
        <f>#REF!</f>
        <v>#REF!</v>
      </c>
      <c r="M340" s="65"/>
      <c r="N340" s="65"/>
      <c r="O340" s="65"/>
      <c r="P340" s="65"/>
      <c r="Q340" s="65"/>
      <c r="R340" s="65">
        <f>'Подробный перечень (ОБ)'!$G$1285</f>
        <v>100839.2</v>
      </c>
      <c r="S340" s="65"/>
      <c r="T340" s="65"/>
      <c r="U340" s="65"/>
      <c r="V340" s="65">
        <f>'Подробный перечень (ОБ)'!$K$1285</f>
        <v>100839.2</v>
      </c>
      <c r="W340" s="65">
        <f>'Подробный перечень (ОБ)'!$L$1285</f>
        <v>0</v>
      </c>
      <c r="X340" s="66">
        <f>'Подробный перечень (ОБ)'!$M$1285</f>
        <v>42277</v>
      </c>
      <c r="Y340" s="972"/>
      <c r="Z340" s="972"/>
    </row>
    <row r="341" spans="1:27" ht="22.5" customHeight="1">
      <c r="A341" s="13" t="s">
        <v>71</v>
      </c>
      <c r="B341" s="630" t="s">
        <v>10</v>
      </c>
      <c r="C341" s="762">
        <v>176</v>
      </c>
      <c r="D341" s="335" t="s">
        <v>494</v>
      </c>
      <c r="E341" s="335" t="s">
        <v>495</v>
      </c>
      <c r="F341" s="762">
        <v>6100302810</v>
      </c>
      <c r="G341" s="762">
        <v>244</v>
      </c>
      <c r="H341" s="23" t="e">
        <f t="shared" si="62"/>
        <v>#REF!</v>
      </c>
      <c r="I341" s="23" t="e">
        <f>#REF!</f>
        <v>#REF!</v>
      </c>
      <c r="J341" s="23" t="e">
        <f>#REF!</f>
        <v>#REF!</v>
      </c>
      <c r="K341" s="23" t="e">
        <f>#REF!</f>
        <v>#REF!</v>
      </c>
      <c r="L341" s="23" t="e">
        <f>#REF!</f>
        <v>#REF!</v>
      </c>
      <c r="M341" s="65"/>
      <c r="N341" s="65"/>
      <c r="O341" s="65"/>
      <c r="P341" s="65"/>
      <c r="Q341" s="65"/>
      <c r="R341" s="65">
        <f>'Подробный перечень (ОБ)'!$G$1296</f>
        <v>72987</v>
      </c>
      <c r="S341" s="65"/>
      <c r="T341" s="65"/>
      <c r="U341" s="65"/>
      <c r="V341" s="65">
        <f>'Подробный перечень (ОБ)'!$K$1296</f>
        <v>72987</v>
      </c>
      <c r="W341" s="65">
        <f>'Подробный перечень (ОБ)'!$L$1296</f>
        <v>8284</v>
      </c>
      <c r="X341" s="66">
        <f>'Подробный перечень (ОБ)'!$M$1296</f>
        <v>67760.7</v>
      </c>
      <c r="Y341" s="972"/>
      <c r="Z341" s="972"/>
      <c r="AA341" s="313"/>
    </row>
    <row r="342" spans="1:27" ht="27.75" customHeight="1">
      <c r="A342" s="630" t="s">
        <v>735</v>
      </c>
      <c r="B342" s="630" t="s">
        <v>10</v>
      </c>
      <c r="C342" s="762">
        <v>176</v>
      </c>
      <c r="D342" s="335" t="s">
        <v>494</v>
      </c>
      <c r="E342" s="335" t="s">
        <v>495</v>
      </c>
      <c r="F342" s="762">
        <v>6100302810</v>
      </c>
      <c r="G342" s="762">
        <v>244</v>
      </c>
      <c r="H342" s="23" t="e">
        <f t="shared" si="62"/>
        <v>#REF!</v>
      </c>
      <c r="I342" s="23" t="e">
        <f>#REF!</f>
        <v>#REF!</v>
      </c>
      <c r="J342" s="23" t="e">
        <f>#REF!</f>
        <v>#REF!</v>
      </c>
      <c r="K342" s="23" t="e">
        <f>#REF!</f>
        <v>#REF!</v>
      </c>
      <c r="L342" s="23" t="e">
        <f>#REF!</f>
        <v>#REF!</v>
      </c>
      <c r="M342" s="65" t="e">
        <f>'Подробный перечень(БКАД)'!#REF!</f>
        <v>#REF!</v>
      </c>
      <c r="N342" s="65"/>
      <c r="O342" s="65"/>
      <c r="P342" s="65"/>
      <c r="Q342" s="65" t="e">
        <f>'Подробный перечень(БКАД)'!#REF!</f>
        <v>#REF!</v>
      </c>
      <c r="R342" s="65">
        <f>V342</f>
        <v>7500</v>
      </c>
      <c r="S342" s="65"/>
      <c r="T342" s="65"/>
      <c r="U342" s="65"/>
      <c r="V342" s="65">
        <f>'Подробный перечень (ОБ)'!$K$1308</f>
        <v>7500</v>
      </c>
      <c r="W342" s="65">
        <f>'Подробный перечень (ОБ)'!$L$1308</f>
        <v>4000</v>
      </c>
      <c r="X342" s="66">
        <f>'Подробный перечень (ОБ)'!$M$1308</f>
        <v>17125</v>
      </c>
      <c r="Y342" s="972"/>
      <c r="Z342" s="972"/>
      <c r="AA342" s="313"/>
    </row>
    <row r="343" spans="1:27" ht="42.75" customHeight="1">
      <c r="A343" s="785" t="s">
        <v>1048</v>
      </c>
      <c r="B343" s="630" t="s">
        <v>10</v>
      </c>
      <c r="C343" s="782">
        <v>176</v>
      </c>
      <c r="D343" s="335" t="s">
        <v>494</v>
      </c>
      <c r="E343" s="335" t="s">
        <v>495</v>
      </c>
      <c r="F343" s="782">
        <v>6100302810</v>
      </c>
      <c r="G343" s="782">
        <v>244</v>
      </c>
      <c r="H343" s="23"/>
      <c r="I343" s="23"/>
      <c r="J343" s="23"/>
      <c r="K343" s="23"/>
      <c r="L343" s="23"/>
      <c r="M343" s="65"/>
      <c r="N343" s="65"/>
      <c r="O343" s="65"/>
      <c r="P343" s="65"/>
      <c r="Q343" s="65"/>
      <c r="R343" s="65">
        <f>'Подробный перечень (ОБ)'!$G$1309</f>
        <v>20000</v>
      </c>
      <c r="S343" s="65"/>
      <c r="T343" s="65"/>
      <c r="U343" s="65"/>
      <c r="V343" s="65">
        <f>'Подробный перечень (ОБ)'!$K$1309</f>
        <v>20000</v>
      </c>
      <c r="W343" s="65">
        <f>'Подробный перечень (ОБ)'!$L$1309</f>
        <v>12000</v>
      </c>
      <c r="X343" s="66">
        <f>'Подробный перечень (ОБ)'!$M$1309</f>
        <v>20000</v>
      </c>
      <c r="Y343" s="973"/>
      <c r="Z343" s="973"/>
      <c r="AA343" s="313"/>
    </row>
    <row r="344" spans="1:27" s="82" customFormat="1" ht="26.45" customHeight="1">
      <c r="A344" s="982" t="s">
        <v>983</v>
      </c>
      <c r="B344" s="764" t="s">
        <v>89</v>
      </c>
      <c r="C344" s="765"/>
      <c r="D344" s="765"/>
      <c r="E344" s="765"/>
      <c r="F344" s="765"/>
      <c r="G344" s="765"/>
      <c r="H344" s="28"/>
      <c r="I344" s="765"/>
      <c r="J344" s="765"/>
      <c r="K344" s="765"/>
      <c r="L344" s="28"/>
      <c r="M344" s="63"/>
      <c r="N344" s="63"/>
      <c r="O344" s="63"/>
      <c r="P344" s="63"/>
      <c r="Q344" s="63"/>
      <c r="R344" s="63"/>
      <c r="S344" s="63"/>
      <c r="T344" s="63"/>
      <c r="U344" s="63"/>
      <c r="V344" s="63"/>
      <c r="W344" s="63"/>
      <c r="X344" s="63"/>
      <c r="Y344" s="971" t="s">
        <v>26</v>
      </c>
      <c r="Z344" s="971" t="s">
        <v>982</v>
      </c>
      <c r="AA344" s="540"/>
    </row>
    <row r="345" spans="1:27" s="82" customFormat="1" ht="22.5" customHeight="1">
      <c r="A345" s="983"/>
      <c r="B345" s="764" t="s">
        <v>500</v>
      </c>
      <c r="C345" s="765"/>
      <c r="D345" s="765"/>
      <c r="E345" s="765"/>
      <c r="F345" s="765"/>
      <c r="G345" s="765"/>
      <c r="H345" s="12"/>
      <c r="I345" s="12"/>
      <c r="J345" s="12"/>
      <c r="K345" s="12"/>
      <c r="L345" s="12"/>
      <c r="M345" s="49"/>
      <c r="N345" s="49"/>
      <c r="O345" s="49"/>
      <c r="P345" s="49"/>
      <c r="Q345" s="49"/>
      <c r="R345" s="49"/>
      <c r="S345" s="49"/>
      <c r="T345" s="49"/>
      <c r="U345" s="49"/>
      <c r="V345" s="49"/>
      <c r="W345" s="49"/>
      <c r="X345" s="49"/>
      <c r="Y345" s="972"/>
      <c r="Z345" s="972"/>
      <c r="AA345" s="540"/>
    </row>
    <row r="346" spans="1:27" s="82" customFormat="1" ht="30.75" customHeight="1">
      <c r="A346" s="983"/>
      <c r="B346" s="764" t="s">
        <v>501</v>
      </c>
      <c r="C346" s="765">
        <v>176</v>
      </c>
      <c r="D346" s="127" t="s">
        <v>494</v>
      </c>
      <c r="E346" s="127" t="s">
        <v>495</v>
      </c>
      <c r="F346" s="765">
        <v>6100302810</v>
      </c>
      <c r="G346" s="765">
        <v>244</v>
      </c>
      <c r="H346" s="12"/>
      <c r="I346" s="12"/>
      <c r="J346" s="12"/>
      <c r="K346" s="12"/>
      <c r="L346" s="12"/>
      <c r="M346" s="49"/>
      <c r="N346" s="49"/>
      <c r="O346" s="49"/>
      <c r="P346" s="49"/>
      <c r="Q346" s="49"/>
      <c r="R346" s="49">
        <f>'Подробный перечень (ОБ)'!G1314</f>
        <v>6854.1</v>
      </c>
      <c r="S346" s="49">
        <f>S348</f>
        <v>6854.1</v>
      </c>
      <c r="T346" s="49"/>
      <c r="U346" s="49"/>
      <c r="V346" s="49"/>
      <c r="W346" s="49"/>
      <c r="X346" s="49"/>
      <c r="Y346" s="972"/>
      <c r="Z346" s="972"/>
      <c r="AA346" s="540"/>
    </row>
    <row r="347" spans="1:27" s="82" customFormat="1" ht="25.5" customHeight="1">
      <c r="A347" s="983"/>
      <c r="B347" s="764" t="s">
        <v>502</v>
      </c>
      <c r="C347" s="765"/>
      <c r="D347" s="765"/>
      <c r="E347" s="127"/>
      <c r="F347" s="765"/>
      <c r="G347" s="765"/>
      <c r="H347" s="12"/>
      <c r="I347" s="12"/>
      <c r="J347" s="12"/>
      <c r="K347" s="12"/>
      <c r="L347" s="12"/>
      <c r="M347" s="49"/>
      <c r="N347" s="49"/>
      <c r="O347" s="49"/>
      <c r="P347" s="49"/>
      <c r="Q347" s="49"/>
      <c r="R347" s="49"/>
      <c r="S347" s="49"/>
      <c r="T347" s="49"/>
      <c r="U347" s="49"/>
      <c r="V347" s="49"/>
      <c r="W347" s="49"/>
      <c r="X347" s="49"/>
      <c r="Y347" s="972"/>
      <c r="Z347" s="972"/>
      <c r="AA347" s="540"/>
    </row>
    <row r="348" spans="1:27" s="82" customFormat="1" ht="25.5" customHeight="1">
      <c r="A348" s="983"/>
      <c r="B348" s="787" t="s">
        <v>10</v>
      </c>
      <c r="C348" s="765">
        <v>176</v>
      </c>
      <c r="D348" s="127" t="s">
        <v>494</v>
      </c>
      <c r="E348" s="127" t="s">
        <v>495</v>
      </c>
      <c r="F348" s="765">
        <v>6100302810</v>
      </c>
      <c r="G348" s="765">
        <v>244</v>
      </c>
      <c r="H348" s="12"/>
      <c r="I348" s="12"/>
      <c r="J348" s="12"/>
      <c r="K348" s="12"/>
      <c r="L348" s="12"/>
      <c r="M348" s="49"/>
      <c r="N348" s="49"/>
      <c r="O348" s="49"/>
      <c r="P348" s="49"/>
      <c r="Q348" s="49"/>
      <c r="R348" s="49">
        <f>'Подробный перечень (ОБ)'!$G$1314</f>
        <v>6854.1</v>
      </c>
      <c r="S348" s="49">
        <f>'Подробный перечень (ОБ)'!$H$1314</f>
        <v>6854.1</v>
      </c>
      <c r="T348" s="49"/>
      <c r="U348" s="49"/>
      <c r="V348" s="49"/>
      <c r="W348" s="49"/>
      <c r="X348" s="49"/>
      <c r="Y348" s="972"/>
      <c r="Z348" s="972"/>
      <c r="AA348" s="540"/>
    </row>
    <row r="349" spans="1:27" s="82" customFormat="1" ht="24" customHeight="1">
      <c r="A349" s="983"/>
      <c r="B349" s="764" t="s">
        <v>442</v>
      </c>
      <c r="C349" s="765"/>
      <c r="D349" s="127"/>
      <c r="E349" s="127"/>
      <c r="F349" s="765"/>
      <c r="G349" s="765"/>
      <c r="H349" s="12"/>
      <c r="I349" s="12"/>
      <c r="J349" s="12"/>
      <c r="K349" s="12"/>
      <c r="L349" s="12"/>
      <c r="M349" s="49"/>
      <c r="N349" s="49"/>
      <c r="O349" s="49"/>
      <c r="P349" s="49"/>
      <c r="Q349" s="49"/>
      <c r="R349" s="49"/>
      <c r="S349" s="49"/>
      <c r="T349" s="49"/>
      <c r="U349" s="49"/>
      <c r="V349" s="49"/>
      <c r="W349" s="49"/>
      <c r="X349" s="49"/>
      <c r="Y349" s="972"/>
      <c r="Z349" s="972"/>
      <c r="AA349" s="540"/>
    </row>
    <row r="350" spans="1:27" s="82" customFormat="1" ht="24" customHeight="1">
      <c r="A350" s="983"/>
      <c r="B350" s="851" t="s">
        <v>454</v>
      </c>
      <c r="C350" s="777"/>
      <c r="D350" s="127"/>
      <c r="E350" s="127"/>
      <c r="F350" s="777"/>
      <c r="G350" s="777"/>
      <c r="H350" s="12"/>
      <c r="I350" s="12"/>
      <c r="J350" s="12"/>
      <c r="K350" s="12"/>
      <c r="L350" s="12"/>
      <c r="M350" s="49"/>
      <c r="N350" s="49"/>
      <c r="O350" s="49"/>
      <c r="P350" s="49"/>
      <c r="Q350" s="49"/>
      <c r="R350" s="49"/>
      <c r="S350" s="49"/>
      <c r="T350" s="49"/>
      <c r="U350" s="49"/>
      <c r="V350" s="49"/>
      <c r="W350" s="49"/>
      <c r="X350" s="49"/>
      <c r="Y350" s="972"/>
      <c r="Z350" s="972"/>
      <c r="AA350" s="540"/>
    </row>
    <row r="351" spans="1:27" s="82" customFormat="1" ht="30" customHeight="1">
      <c r="A351" s="983"/>
      <c r="B351" s="764" t="s">
        <v>1061</v>
      </c>
      <c r="C351" s="765"/>
      <c r="D351" s="127"/>
      <c r="E351" s="127"/>
      <c r="F351" s="765"/>
      <c r="G351" s="765"/>
      <c r="H351" s="12"/>
      <c r="I351" s="12"/>
      <c r="J351" s="12"/>
      <c r="K351" s="12"/>
      <c r="L351" s="12"/>
      <c r="M351" s="49"/>
      <c r="N351" s="49"/>
      <c r="O351" s="49"/>
      <c r="P351" s="49"/>
      <c r="Q351" s="49"/>
      <c r="R351" s="49"/>
      <c r="S351" s="49"/>
      <c r="T351" s="49"/>
      <c r="U351" s="49"/>
      <c r="V351" s="49"/>
      <c r="W351" s="49"/>
      <c r="X351" s="49"/>
      <c r="Y351" s="972"/>
      <c r="Z351" s="972"/>
      <c r="AA351" s="540"/>
    </row>
    <row r="352" spans="1:27" s="82" customFormat="1" ht="26.45" customHeight="1">
      <c r="A352" s="982" t="s">
        <v>985</v>
      </c>
      <c r="B352" s="764" t="s">
        <v>89</v>
      </c>
      <c r="C352" s="765"/>
      <c r="D352" s="765"/>
      <c r="E352" s="765"/>
      <c r="F352" s="765"/>
      <c r="G352" s="765"/>
      <c r="H352" s="28"/>
      <c r="I352" s="765"/>
      <c r="J352" s="765"/>
      <c r="K352" s="765"/>
      <c r="L352" s="28"/>
      <c r="M352" s="63"/>
      <c r="N352" s="63"/>
      <c r="O352" s="63"/>
      <c r="P352" s="63"/>
      <c r="Q352" s="63"/>
      <c r="R352" s="63"/>
      <c r="S352" s="63"/>
      <c r="T352" s="63"/>
      <c r="U352" s="63"/>
      <c r="V352" s="63"/>
      <c r="W352" s="63"/>
      <c r="X352" s="63"/>
      <c r="Y352" s="978" t="s">
        <v>26</v>
      </c>
      <c r="Z352" s="939" t="s">
        <v>986</v>
      </c>
      <c r="AA352" s="540"/>
    </row>
    <row r="353" spans="1:27" s="82" customFormat="1" ht="22.5" customHeight="1">
      <c r="A353" s="983"/>
      <c r="B353" s="764" t="s">
        <v>500</v>
      </c>
      <c r="C353" s="765"/>
      <c r="D353" s="765"/>
      <c r="E353" s="765"/>
      <c r="F353" s="765"/>
      <c r="G353" s="765"/>
      <c r="H353" s="12"/>
      <c r="I353" s="12"/>
      <c r="J353" s="12"/>
      <c r="K353" s="12"/>
      <c r="L353" s="12"/>
      <c r="M353" s="49"/>
      <c r="N353" s="49"/>
      <c r="O353" s="49"/>
      <c r="P353" s="49"/>
      <c r="Q353" s="49"/>
      <c r="R353" s="49"/>
      <c r="S353" s="49"/>
      <c r="T353" s="49"/>
      <c r="U353" s="49"/>
      <c r="V353" s="49"/>
      <c r="W353" s="49"/>
      <c r="X353" s="49"/>
      <c r="Y353" s="978"/>
      <c r="Z353" s="974"/>
      <c r="AA353" s="540"/>
    </row>
    <row r="354" spans="1:27" s="82" customFormat="1" ht="30.75" customHeight="1">
      <c r="A354" s="983"/>
      <c r="B354" s="764" t="s">
        <v>501</v>
      </c>
      <c r="C354" s="765">
        <v>176</v>
      </c>
      <c r="D354" s="127" t="s">
        <v>494</v>
      </c>
      <c r="E354" s="127" t="s">
        <v>495</v>
      </c>
      <c r="F354" s="765">
        <v>6100302810</v>
      </c>
      <c r="G354" s="765">
        <v>244</v>
      </c>
      <c r="H354" s="12"/>
      <c r="I354" s="12"/>
      <c r="J354" s="12"/>
      <c r="K354" s="12"/>
      <c r="L354" s="12"/>
      <c r="M354" s="49"/>
      <c r="N354" s="49"/>
      <c r="O354" s="49"/>
      <c r="P354" s="49"/>
      <c r="Q354" s="49"/>
      <c r="R354" s="49">
        <f>R356</f>
        <v>0</v>
      </c>
      <c r="S354" s="49">
        <f>S356</f>
        <v>0</v>
      </c>
      <c r="T354" s="49"/>
      <c r="U354" s="49"/>
      <c r="V354" s="49"/>
      <c r="W354" s="49"/>
      <c r="X354" s="49"/>
      <c r="Y354" s="978"/>
      <c r="Z354" s="974"/>
      <c r="AA354" s="540"/>
    </row>
    <row r="355" spans="1:27" s="82" customFormat="1" ht="25.5" customHeight="1">
      <c r="A355" s="983"/>
      <c r="B355" s="764" t="s">
        <v>502</v>
      </c>
      <c r="C355" s="765"/>
      <c r="D355" s="765"/>
      <c r="E355" s="127"/>
      <c r="F355" s="765"/>
      <c r="G355" s="765"/>
      <c r="H355" s="12"/>
      <c r="I355" s="12"/>
      <c r="J355" s="12"/>
      <c r="K355" s="12"/>
      <c r="L355" s="12"/>
      <c r="M355" s="49"/>
      <c r="N355" s="49"/>
      <c r="O355" s="49"/>
      <c r="P355" s="49"/>
      <c r="Q355" s="49"/>
      <c r="R355" s="49"/>
      <c r="S355" s="49"/>
      <c r="T355" s="49"/>
      <c r="U355" s="49"/>
      <c r="V355" s="49"/>
      <c r="W355" s="49"/>
      <c r="X355" s="49"/>
      <c r="Y355" s="978"/>
      <c r="Z355" s="974"/>
      <c r="AA355" s="540"/>
    </row>
    <row r="356" spans="1:27" s="82" customFormat="1" ht="25.5" customHeight="1">
      <c r="A356" s="983"/>
      <c r="B356" s="460" t="s">
        <v>249</v>
      </c>
      <c r="C356" s="765">
        <v>176</v>
      </c>
      <c r="D356" s="127" t="s">
        <v>494</v>
      </c>
      <c r="E356" s="127" t="s">
        <v>495</v>
      </c>
      <c r="F356" s="765">
        <v>6100302810</v>
      </c>
      <c r="G356" s="765">
        <v>244</v>
      </c>
      <c r="H356" s="12"/>
      <c r="I356" s="12"/>
      <c r="J356" s="12"/>
      <c r="K356" s="12"/>
      <c r="L356" s="12"/>
      <c r="M356" s="49"/>
      <c r="N356" s="49"/>
      <c r="O356" s="49"/>
      <c r="P356" s="49"/>
      <c r="Q356" s="49"/>
      <c r="R356" s="49">
        <f>S356</f>
        <v>0</v>
      </c>
      <c r="S356" s="49">
        <v>0</v>
      </c>
      <c r="T356" s="49"/>
      <c r="U356" s="49"/>
      <c r="V356" s="49"/>
      <c r="W356" s="49"/>
      <c r="X356" s="49"/>
      <c r="Y356" s="978"/>
      <c r="Z356" s="974"/>
      <c r="AA356" s="540"/>
    </row>
    <row r="357" spans="1:27" s="82" customFormat="1" ht="30" customHeight="1">
      <c r="A357" s="983"/>
      <c r="B357" s="764" t="s">
        <v>442</v>
      </c>
      <c r="C357" s="765"/>
      <c r="D357" s="127"/>
      <c r="E357" s="127"/>
      <c r="F357" s="765"/>
      <c r="G357" s="765"/>
      <c r="H357" s="12"/>
      <c r="I357" s="12"/>
      <c r="J357" s="12"/>
      <c r="K357" s="12"/>
      <c r="L357" s="12"/>
      <c r="M357" s="49"/>
      <c r="N357" s="49"/>
      <c r="O357" s="49"/>
      <c r="P357" s="49"/>
      <c r="Q357" s="49"/>
      <c r="R357" s="49"/>
      <c r="S357" s="49"/>
      <c r="T357" s="49"/>
      <c r="U357" s="49"/>
      <c r="V357" s="49"/>
      <c r="W357" s="49"/>
      <c r="X357" s="49"/>
      <c r="Y357" s="978"/>
      <c r="Z357" s="974"/>
      <c r="AA357" s="540"/>
    </row>
    <row r="358" spans="1:27" ht="27.75" customHeight="1">
      <c r="A358" s="33"/>
      <c r="B358" s="764" t="s">
        <v>454</v>
      </c>
      <c r="C358" s="765"/>
      <c r="D358" s="127"/>
      <c r="E358" s="127"/>
      <c r="F358" s="765"/>
      <c r="G358" s="765"/>
      <c r="H358" s="12">
        <v>0</v>
      </c>
      <c r="I358" s="12">
        <v>0</v>
      </c>
      <c r="J358" s="12"/>
      <c r="K358" s="12"/>
      <c r="L358" s="12"/>
      <c r="M358" s="49"/>
      <c r="N358" s="49"/>
      <c r="O358" s="49"/>
      <c r="P358" s="49"/>
      <c r="Q358" s="49"/>
      <c r="R358" s="49"/>
      <c r="S358" s="49"/>
      <c r="T358" s="49"/>
      <c r="U358" s="49"/>
      <c r="V358" s="49"/>
      <c r="W358" s="49"/>
      <c r="X358" s="49"/>
      <c r="Y358" s="978"/>
      <c r="Z358" s="974"/>
    </row>
    <row r="359" spans="1:27" ht="33" customHeight="1">
      <c r="A359" s="39"/>
      <c r="B359" s="764" t="s">
        <v>1061</v>
      </c>
      <c r="C359" s="765"/>
      <c r="D359" s="127"/>
      <c r="E359" s="127"/>
      <c r="F359" s="765"/>
      <c r="G359" s="765"/>
      <c r="H359" s="12">
        <v>0</v>
      </c>
      <c r="I359" s="12">
        <v>0</v>
      </c>
      <c r="J359" s="12">
        <v>0</v>
      </c>
      <c r="K359" s="12">
        <v>0</v>
      </c>
      <c r="L359" s="12">
        <v>0</v>
      </c>
      <c r="M359" s="49"/>
      <c r="N359" s="49"/>
      <c r="O359" s="49"/>
      <c r="P359" s="49"/>
      <c r="Q359" s="49"/>
      <c r="R359" s="49"/>
      <c r="S359" s="49"/>
      <c r="T359" s="49"/>
      <c r="U359" s="49"/>
      <c r="V359" s="49"/>
      <c r="W359" s="49"/>
      <c r="X359" s="49"/>
      <c r="Y359" s="978"/>
      <c r="Z359" s="940"/>
      <c r="AA359" s="313"/>
    </row>
    <row r="360" spans="1:27" ht="25.5" customHeight="1">
      <c r="A360" s="982" t="s">
        <v>1053</v>
      </c>
      <c r="B360" s="798" t="s">
        <v>91</v>
      </c>
      <c r="C360" s="777"/>
      <c r="D360" s="127"/>
      <c r="E360" s="127"/>
      <c r="F360" s="777"/>
      <c r="G360" s="777"/>
      <c r="H360" s="392"/>
      <c r="I360" s="392"/>
      <c r="J360" s="392"/>
      <c r="K360" s="392"/>
      <c r="L360" s="392"/>
      <c r="M360" s="49"/>
      <c r="N360" s="49"/>
      <c r="O360" s="49"/>
      <c r="P360" s="49"/>
      <c r="Q360" s="49"/>
      <c r="R360" s="85">
        <v>12729.9</v>
      </c>
      <c r="S360" s="85"/>
      <c r="T360" s="85"/>
      <c r="U360" s="85"/>
      <c r="V360" s="85"/>
      <c r="W360" s="49">
        <v>12731.4</v>
      </c>
      <c r="X360" s="49">
        <v>12731.4</v>
      </c>
      <c r="Y360" s="796"/>
      <c r="Z360" s="797"/>
      <c r="AA360" s="313">
        <f>T353-T398-T399</f>
        <v>-60504.336405252427</v>
      </c>
    </row>
    <row r="361" spans="1:27" ht="38.25" customHeight="1">
      <c r="A361" s="983"/>
      <c r="B361" s="798" t="s">
        <v>24</v>
      </c>
      <c r="C361" s="777">
        <v>176</v>
      </c>
      <c r="D361" s="127" t="s">
        <v>494</v>
      </c>
      <c r="E361" s="127" t="s">
        <v>495</v>
      </c>
      <c r="F361" s="777">
        <v>6100302810</v>
      </c>
      <c r="G361" s="777" t="s">
        <v>28</v>
      </c>
      <c r="H361" s="392"/>
      <c r="I361" s="392"/>
      <c r="J361" s="392"/>
      <c r="K361" s="392"/>
      <c r="L361" s="392"/>
      <c r="M361" s="49"/>
      <c r="N361" s="49"/>
      <c r="O361" s="49"/>
      <c r="P361" s="49"/>
      <c r="Q361" s="49"/>
      <c r="R361" s="49">
        <f>R362/R360</f>
        <v>299.41206136733211</v>
      </c>
      <c r="S361" s="49" t="s">
        <v>496</v>
      </c>
      <c r="T361" s="49" t="s">
        <v>496</v>
      </c>
      <c r="U361" s="49" t="s">
        <v>496</v>
      </c>
      <c r="V361" s="49" t="s">
        <v>496</v>
      </c>
      <c r="W361" s="49">
        <f>W362/W360</f>
        <v>309.66452236203401</v>
      </c>
      <c r="X361" s="49">
        <f>X362/X360</f>
        <v>332.61283912217044</v>
      </c>
      <c r="Y361" s="796"/>
      <c r="Z361" s="797"/>
      <c r="AA361" s="313">
        <f>AA360+T398+T399</f>
        <v>0</v>
      </c>
    </row>
    <row r="362" spans="1:27" ht="30.75" customHeight="1">
      <c r="A362" s="983"/>
      <c r="B362" s="798" t="s">
        <v>25</v>
      </c>
      <c r="C362" s="777">
        <f>C363</f>
        <v>176</v>
      </c>
      <c r="D362" s="777" t="str">
        <f t="shared" ref="D362:X362" si="63">D363</f>
        <v>04</v>
      </c>
      <c r="E362" s="777" t="str">
        <f t="shared" si="63"/>
        <v>09</v>
      </c>
      <c r="F362" s="777">
        <f t="shared" si="63"/>
        <v>6100302810</v>
      </c>
      <c r="G362" s="777" t="str">
        <f t="shared" si="63"/>
        <v>ХХХ</v>
      </c>
      <c r="H362" s="777">
        <f t="shared" si="63"/>
        <v>0</v>
      </c>
      <c r="I362" s="777">
        <f t="shared" si="63"/>
        <v>0</v>
      </c>
      <c r="J362" s="777">
        <f t="shared" si="63"/>
        <v>0</v>
      </c>
      <c r="K362" s="777">
        <f t="shared" si="63"/>
        <v>0</v>
      </c>
      <c r="L362" s="777">
        <f t="shared" si="63"/>
        <v>0</v>
      </c>
      <c r="M362" s="777">
        <f t="shared" si="63"/>
        <v>0</v>
      </c>
      <c r="N362" s="777">
        <f t="shared" si="63"/>
        <v>0</v>
      </c>
      <c r="O362" s="777">
        <f t="shared" si="63"/>
        <v>0</v>
      </c>
      <c r="P362" s="777">
        <f t="shared" si="63"/>
        <v>0</v>
      </c>
      <c r="Q362" s="777">
        <f t="shared" si="63"/>
        <v>0</v>
      </c>
      <c r="R362" s="63">
        <f>R363</f>
        <v>3811485.600000001</v>
      </c>
      <c r="S362" s="63">
        <f t="shared" si="63"/>
        <v>961384.5</v>
      </c>
      <c r="T362" s="63">
        <f t="shared" si="63"/>
        <v>973123.1</v>
      </c>
      <c r="U362" s="63">
        <f t="shared" si="63"/>
        <v>949793.2</v>
      </c>
      <c r="V362" s="63">
        <f t="shared" si="63"/>
        <v>927184.80000000144</v>
      </c>
      <c r="W362" s="63">
        <f t="shared" si="63"/>
        <v>3942462.9</v>
      </c>
      <c r="X362" s="63">
        <f t="shared" si="63"/>
        <v>4234627.1000000006</v>
      </c>
      <c r="Y362" s="796"/>
      <c r="Z362" s="797"/>
    </row>
    <row r="363" spans="1:27" ht="26.25" customHeight="1">
      <c r="A363" s="983"/>
      <c r="B363" s="630" t="s">
        <v>10</v>
      </c>
      <c r="C363" s="795">
        <v>176</v>
      </c>
      <c r="D363" s="335" t="s">
        <v>494</v>
      </c>
      <c r="E363" s="335" t="s">
        <v>495</v>
      </c>
      <c r="F363" s="795">
        <v>6100302810</v>
      </c>
      <c r="G363" s="795" t="s">
        <v>28</v>
      </c>
      <c r="H363" s="25"/>
      <c r="I363" s="25"/>
      <c r="J363" s="25"/>
      <c r="K363" s="25"/>
      <c r="L363" s="25"/>
      <c r="M363" s="65"/>
      <c r="N363" s="65"/>
      <c r="O363" s="65"/>
      <c r="P363" s="65"/>
      <c r="Q363" s="65"/>
      <c r="R363" s="86">
        <f>R371+R410</f>
        <v>3811485.600000001</v>
      </c>
      <c r="S363" s="86">
        <f t="shared" ref="S363:X363" si="64">S371+S410</f>
        <v>961384.5</v>
      </c>
      <c r="T363" s="86">
        <f t="shared" si="64"/>
        <v>973123.1</v>
      </c>
      <c r="U363" s="86">
        <f t="shared" si="64"/>
        <v>949793.2</v>
      </c>
      <c r="V363" s="86">
        <f t="shared" si="64"/>
        <v>927184.80000000144</v>
      </c>
      <c r="W363" s="86">
        <f t="shared" si="64"/>
        <v>3942462.9</v>
      </c>
      <c r="X363" s="86">
        <f t="shared" si="64"/>
        <v>4234627.1000000006</v>
      </c>
      <c r="Y363" s="796"/>
      <c r="Z363" s="797"/>
    </row>
    <row r="364" spans="1:27" ht="26.25" customHeight="1">
      <c r="A364" s="983"/>
      <c r="B364" s="630" t="s">
        <v>502</v>
      </c>
      <c r="C364" s="805"/>
      <c r="D364" s="335"/>
      <c r="E364" s="335"/>
      <c r="F364" s="805"/>
      <c r="G364" s="805"/>
      <c r="H364" s="25"/>
      <c r="I364" s="25"/>
      <c r="J364" s="25"/>
      <c r="K364" s="25"/>
      <c r="L364" s="25"/>
      <c r="M364" s="65"/>
      <c r="N364" s="65"/>
      <c r="O364" s="65"/>
      <c r="P364" s="65"/>
      <c r="Q364" s="65"/>
      <c r="R364" s="86"/>
      <c r="S364" s="86"/>
      <c r="T364" s="86"/>
      <c r="U364" s="86"/>
      <c r="V364" s="86"/>
      <c r="W364" s="86"/>
      <c r="X364" s="86"/>
      <c r="Y364" s="809"/>
      <c r="Z364" s="810"/>
    </row>
    <row r="365" spans="1:27" ht="26.25" customHeight="1">
      <c r="A365" s="983"/>
      <c r="B365" s="630" t="s">
        <v>442</v>
      </c>
      <c r="C365" s="805"/>
      <c r="D365" s="335"/>
      <c r="E365" s="335"/>
      <c r="F365" s="805"/>
      <c r="G365" s="805"/>
      <c r="H365" s="25"/>
      <c r="I365" s="25"/>
      <c r="J365" s="25"/>
      <c r="K365" s="25"/>
      <c r="L365" s="25"/>
      <c r="M365" s="65"/>
      <c r="N365" s="65"/>
      <c r="O365" s="65"/>
      <c r="P365" s="65"/>
      <c r="Q365" s="65"/>
      <c r="R365" s="86"/>
      <c r="S365" s="86"/>
      <c r="T365" s="86"/>
      <c r="U365" s="86"/>
      <c r="V365" s="86"/>
      <c r="W365" s="86"/>
      <c r="X365" s="86"/>
      <c r="Y365" s="809"/>
      <c r="Z365" s="810"/>
    </row>
    <row r="366" spans="1:27" ht="26.25" customHeight="1">
      <c r="A366" s="983"/>
      <c r="B366" s="630" t="s">
        <v>454</v>
      </c>
      <c r="C366" s="805"/>
      <c r="D366" s="335"/>
      <c r="E366" s="335"/>
      <c r="F366" s="805"/>
      <c r="G366" s="805"/>
      <c r="H366" s="25"/>
      <c r="I366" s="25"/>
      <c r="J366" s="25"/>
      <c r="K366" s="25"/>
      <c r="L366" s="25"/>
      <c r="M366" s="65"/>
      <c r="N366" s="65"/>
      <c r="O366" s="65"/>
      <c r="P366" s="65"/>
      <c r="Q366" s="65"/>
      <c r="R366" s="86"/>
      <c r="S366" s="86"/>
      <c r="T366" s="86"/>
      <c r="U366" s="86"/>
      <c r="V366" s="86"/>
      <c r="W366" s="86"/>
      <c r="X366" s="86"/>
      <c r="Y366" s="809"/>
      <c r="Z366" s="810"/>
    </row>
    <row r="367" spans="1:27" ht="26.25" customHeight="1">
      <c r="A367" s="984"/>
      <c r="B367" s="630" t="s">
        <v>1061</v>
      </c>
      <c r="C367" s="805"/>
      <c r="D367" s="335"/>
      <c r="E367" s="335"/>
      <c r="F367" s="805"/>
      <c r="G367" s="805"/>
      <c r="H367" s="25"/>
      <c r="I367" s="25"/>
      <c r="J367" s="25"/>
      <c r="K367" s="25"/>
      <c r="L367" s="25"/>
      <c r="M367" s="65"/>
      <c r="N367" s="65"/>
      <c r="O367" s="65"/>
      <c r="P367" s="65"/>
      <c r="Q367" s="65"/>
      <c r="R367" s="86"/>
      <c r="S367" s="86"/>
      <c r="T367" s="86"/>
      <c r="U367" s="86"/>
      <c r="V367" s="86"/>
      <c r="W367" s="86"/>
      <c r="X367" s="86"/>
      <c r="Y367" s="809"/>
      <c r="Z367" s="810"/>
    </row>
    <row r="368" spans="1:27" ht="25.5" customHeight="1">
      <c r="A368" s="982" t="s">
        <v>1052</v>
      </c>
      <c r="B368" s="547" t="s">
        <v>91</v>
      </c>
      <c r="C368" s="11"/>
      <c r="D368" s="127"/>
      <c r="E368" s="127"/>
      <c r="F368" s="11"/>
      <c r="G368" s="11"/>
      <c r="H368" s="392"/>
      <c r="I368" s="392"/>
      <c r="J368" s="392"/>
      <c r="K368" s="392"/>
      <c r="L368" s="392"/>
      <c r="M368" s="49"/>
      <c r="N368" s="49"/>
      <c r="O368" s="49"/>
      <c r="P368" s="49"/>
      <c r="Q368" s="49"/>
      <c r="R368" s="85">
        <v>12729.9</v>
      </c>
      <c r="S368" s="85"/>
      <c r="T368" s="85"/>
      <c r="U368" s="85"/>
      <c r="V368" s="85"/>
      <c r="W368" s="49">
        <v>12731.4</v>
      </c>
      <c r="X368" s="49">
        <v>12731.4</v>
      </c>
      <c r="Y368" s="971" t="s">
        <v>26</v>
      </c>
      <c r="Z368" s="939" t="s">
        <v>547</v>
      </c>
      <c r="AA368" s="313" t="e">
        <f>#REF!-T402-T403</f>
        <v>#REF!</v>
      </c>
    </row>
    <row r="369" spans="1:33" ht="38.25" customHeight="1">
      <c r="A369" s="983"/>
      <c r="B369" s="547" t="s">
        <v>24</v>
      </c>
      <c r="C369" s="11">
        <v>176</v>
      </c>
      <c r="D369" s="127" t="s">
        <v>494</v>
      </c>
      <c r="E369" s="127" t="s">
        <v>495</v>
      </c>
      <c r="F369" s="11">
        <v>6100302810</v>
      </c>
      <c r="G369" s="11" t="s">
        <v>28</v>
      </c>
      <c r="H369" s="392"/>
      <c r="I369" s="392"/>
      <c r="J369" s="392"/>
      <c r="K369" s="392"/>
      <c r="L369" s="392"/>
      <c r="M369" s="49"/>
      <c r="N369" s="49"/>
      <c r="O369" s="49"/>
      <c r="P369" s="49"/>
      <c r="Q369" s="49"/>
      <c r="R369" s="49">
        <f>R370/R368</f>
        <v>296.72733485730458</v>
      </c>
      <c r="S369" s="49" t="s">
        <v>496</v>
      </c>
      <c r="T369" s="49" t="s">
        <v>496</v>
      </c>
      <c r="U369" s="49" t="s">
        <v>496</v>
      </c>
      <c r="V369" s="49" t="s">
        <v>496</v>
      </c>
      <c r="W369" s="49">
        <f>W370/W368</f>
        <v>309.66452236203401</v>
      </c>
      <c r="X369" s="49">
        <f>X370/X368</f>
        <v>332.61283912217044</v>
      </c>
      <c r="Y369" s="972"/>
      <c r="Z369" s="974"/>
      <c r="AA369" s="313" t="e">
        <f>AA368+T402+T403</f>
        <v>#REF!</v>
      </c>
    </row>
    <row r="370" spans="1:33" ht="30.75" customHeight="1">
      <c r="A370" s="983"/>
      <c r="B370" s="547" t="s">
        <v>25</v>
      </c>
      <c r="C370" s="11">
        <f>C371</f>
        <v>176</v>
      </c>
      <c r="D370" s="11" t="str">
        <f t="shared" ref="D370:X370" si="65">D371</f>
        <v>04</v>
      </c>
      <c r="E370" s="11" t="str">
        <f t="shared" si="65"/>
        <v>09</v>
      </c>
      <c r="F370" s="11">
        <f t="shared" si="65"/>
        <v>6100302810</v>
      </c>
      <c r="G370" s="11" t="str">
        <f t="shared" si="65"/>
        <v>ХХХ</v>
      </c>
      <c r="H370" s="11">
        <f t="shared" si="65"/>
        <v>0</v>
      </c>
      <c r="I370" s="11">
        <f t="shared" si="65"/>
        <v>0</v>
      </c>
      <c r="J370" s="11">
        <f t="shared" si="65"/>
        <v>0</v>
      </c>
      <c r="K370" s="11">
        <f t="shared" si="65"/>
        <v>0</v>
      </c>
      <c r="L370" s="11">
        <f t="shared" si="65"/>
        <v>0</v>
      </c>
      <c r="M370" s="11">
        <f t="shared" si="65"/>
        <v>0</v>
      </c>
      <c r="N370" s="11">
        <f t="shared" si="65"/>
        <v>0</v>
      </c>
      <c r="O370" s="11">
        <f t="shared" si="65"/>
        <v>0</v>
      </c>
      <c r="P370" s="11">
        <f t="shared" si="65"/>
        <v>0</v>
      </c>
      <c r="Q370" s="11">
        <f t="shared" si="65"/>
        <v>0</v>
      </c>
      <c r="R370" s="63">
        <f>R371</f>
        <v>3777309.3000000012</v>
      </c>
      <c r="S370" s="63">
        <f t="shared" si="65"/>
        <v>927208.2</v>
      </c>
      <c r="T370" s="63">
        <f t="shared" si="65"/>
        <v>973123.1</v>
      </c>
      <c r="U370" s="63">
        <f t="shared" si="65"/>
        <v>949793.2</v>
      </c>
      <c r="V370" s="63">
        <f t="shared" si="65"/>
        <v>927184.80000000144</v>
      </c>
      <c r="W370" s="63">
        <f t="shared" si="65"/>
        <v>3942462.9</v>
      </c>
      <c r="X370" s="63">
        <f t="shared" si="65"/>
        <v>4234627.1000000006</v>
      </c>
      <c r="Y370" s="972"/>
      <c r="Z370" s="974"/>
      <c r="AG370" s="313">
        <f>R371-R402-R403</f>
        <v>3560336.8000000012</v>
      </c>
    </row>
    <row r="371" spans="1:33" ht="26.25" customHeight="1">
      <c r="A371" s="984"/>
      <c r="B371" s="546" t="s">
        <v>10</v>
      </c>
      <c r="C371" s="343">
        <v>176</v>
      </c>
      <c r="D371" s="335" t="s">
        <v>494</v>
      </c>
      <c r="E371" s="335" t="s">
        <v>495</v>
      </c>
      <c r="F371" s="343">
        <v>6100302810</v>
      </c>
      <c r="G371" s="343" t="s">
        <v>28</v>
      </c>
      <c r="H371" s="25"/>
      <c r="I371" s="25"/>
      <c r="J371" s="25"/>
      <c r="K371" s="25"/>
      <c r="L371" s="25"/>
      <c r="M371" s="65"/>
      <c r="N371" s="65"/>
      <c r="O371" s="65"/>
      <c r="P371" s="65"/>
      <c r="Q371" s="65"/>
      <c r="R371" s="86">
        <f>SUM(R372:R403)</f>
        <v>3777309.3000000012</v>
      </c>
      <c r="S371" s="86">
        <v>927208.2</v>
      </c>
      <c r="T371" s="86">
        <v>973123.1</v>
      </c>
      <c r="U371" s="86">
        <v>949793.2</v>
      </c>
      <c r="V371" s="86">
        <f>R371-S371-T371-U371</f>
        <v>927184.80000000144</v>
      </c>
      <c r="W371" s="65">
        <f t="shared" ref="W371:X371" si="66">SUM(W372:W403)</f>
        <v>3942462.9</v>
      </c>
      <c r="X371" s="86">
        <f t="shared" si="66"/>
        <v>4234627.1000000006</v>
      </c>
      <c r="Y371" s="972"/>
      <c r="Z371" s="974"/>
      <c r="AG371" s="313">
        <f>S371-S402</f>
        <v>904173.39999999991</v>
      </c>
    </row>
    <row r="372" spans="1:33">
      <c r="A372" s="16" t="s">
        <v>42</v>
      </c>
      <c r="B372" s="546" t="s">
        <v>33</v>
      </c>
      <c r="C372" s="50">
        <v>176</v>
      </c>
      <c r="D372" s="335" t="s">
        <v>494</v>
      </c>
      <c r="E372" s="335" t="s">
        <v>495</v>
      </c>
      <c r="F372" s="50">
        <v>6100302810</v>
      </c>
      <c r="G372" s="50">
        <v>244</v>
      </c>
      <c r="H372" s="5">
        <f>58568.7</f>
        <v>58568.7</v>
      </c>
      <c r="I372" s="5">
        <v>10739.636448044155</v>
      </c>
      <c r="J372" s="5">
        <v>17903.579744408849</v>
      </c>
      <c r="K372" s="5">
        <v>9584.5756239441216</v>
      </c>
      <c r="L372" s="5">
        <f>H372*439151.4/2320351.3</f>
        <v>11084.755399400083</v>
      </c>
      <c r="M372" s="70">
        <f>73898.9-16.2</f>
        <v>73882.7</v>
      </c>
      <c r="N372" s="70">
        <f>M372*653500.912/2819770</f>
        <v>17122.819177103949</v>
      </c>
      <c r="O372" s="70">
        <f>M372*1015888/2819770</f>
        <v>26617.968251878698</v>
      </c>
      <c r="P372" s="70">
        <f>M372*564225.128/2819770</f>
        <v>14783.644008016825</v>
      </c>
      <c r="Q372" s="70">
        <f>M372*586155.958/2819770</f>
        <v>15358.268510597174</v>
      </c>
      <c r="R372" s="804">
        <v>82794.100000000006</v>
      </c>
      <c r="S372" s="90">
        <f>R372*$AG$371/$AG$370</f>
        <v>21026.163282344518</v>
      </c>
      <c r="T372" s="90">
        <f>R372*$AG$372/$AG$370</f>
        <v>21752.015140385025</v>
      </c>
      <c r="U372" s="90">
        <f>R372*$AG$373/$AG$370</f>
        <v>21206.10946755093</v>
      </c>
      <c r="V372" s="90">
        <f>R372*$AG$375/$AG$370</f>
        <v>18871.785537767097</v>
      </c>
      <c r="W372" s="71">
        <v>86265.7</v>
      </c>
      <c r="X372" s="71">
        <v>89802.6</v>
      </c>
      <c r="Y372" s="972"/>
      <c r="Z372" s="974"/>
      <c r="AG372" s="313">
        <f>973123.1-T402</f>
        <v>935386.7</v>
      </c>
    </row>
    <row r="373" spans="1:33">
      <c r="A373" s="16" t="s">
        <v>43</v>
      </c>
      <c r="B373" s="546" t="s">
        <v>33</v>
      </c>
      <c r="C373" s="50">
        <v>176</v>
      </c>
      <c r="D373" s="335" t="s">
        <v>494</v>
      </c>
      <c r="E373" s="335" t="s">
        <v>495</v>
      </c>
      <c r="F373" s="50">
        <v>6100302810</v>
      </c>
      <c r="G373" s="50">
        <v>244</v>
      </c>
      <c r="H373" s="5">
        <f>66094.6</f>
        <v>66094.600000000006</v>
      </c>
      <c r="I373" s="5">
        <v>12119.647101248607</v>
      </c>
      <c r="J373" s="5">
        <v>20204.135344899329</v>
      </c>
      <c r="K373" s="5">
        <v>10816.164470687196</v>
      </c>
      <c r="L373" s="5">
        <f t="shared" ref="L373:L401" si="67">H373*439151.4/2320351.3</f>
        <v>12509.112789274626</v>
      </c>
      <c r="M373" s="70">
        <v>85203.4</v>
      </c>
      <c r="N373" s="70">
        <f t="shared" ref="N373:N400" si="68">M373*653500.912/2819770</f>
        <v>19746.468543711293</v>
      </c>
      <c r="O373" s="70">
        <f t="shared" ref="O373:O401" si="69">M373*1015888/2819770</f>
        <v>30696.514828939948</v>
      </c>
      <c r="P373" s="70">
        <f t="shared" ref="P373:P401" si="70">M373*564225.128/2819770</f>
        <v>17048.872521884834</v>
      </c>
      <c r="Q373" s="70">
        <f t="shared" ref="Q373:Q401" si="71">M373*586155.958/2819770</f>
        <v>17711.544045031045</v>
      </c>
      <c r="R373" s="804">
        <v>116953.3</v>
      </c>
      <c r="S373" s="90">
        <f t="shared" ref="S373:S401" si="72">R373*$AG$371/$AG$370</f>
        <v>29701.140325325388</v>
      </c>
      <c r="T373" s="90">
        <f t="shared" ref="T373:T401" si="73">R373*$AG$372/$AG$370</f>
        <v>30726.464232572031</v>
      </c>
      <c r="U373" s="90">
        <f t="shared" ref="U373:U401" si="74">R373*$AG$373/$AG$370</f>
        <v>29955.328729840941</v>
      </c>
      <c r="V373" s="90">
        <f t="shared" ref="V373:V401" si="75">R373*$AG$375/$AG$370</f>
        <v>26657.909144904486</v>
      </c>
      <c r="W373" s="71">
        <v>121862.9</v>
      </c>
      <c r="X373" s="71">
        <v>126859.3</v>
      </c>
      <c r="Y373" s="972"/>
      <c r="Z373" s="974"/>
      <c r="AA373" s="322"/>
      <c r="AB373" s="32"/>
      <c r="AG373" s="313">
        <f>949793.2-U402</f>
        <v>911911.5</v>
      </c>
    </row>
    <row r="374" spans="1:33">
      <c r="A374" s="16" t="s">
        <v>44</v>
      </c>
      <c r="B374" s="546" t="s">
        <v>33</v>
      </c>
      <c r="C374" s="50">
        <v>176</v>
      </c>
      <c r="D374" s="335" t="s">
        <v>494</v>
      </c>
      <c r="E374" s="335" t="s">
        <v>495</v>
      </c>
      <c r="F374" s="50">
        <v>6100302810</v>
      </c>
      <c r="G374" s="50">
        <v>244</v>
      </c>
      <c r="H374" s="5">
        <f>42869.4</f>
        <v>42869.4</v>
      </c>
      <c r="I374" s="5">
        <v>7860.8842392913648</v>
      </c>
      <c r="J374" s="5">
        <v>13104.537432023602</v>
      </c>
      <c r="K374" s="5">
        <v>7015.4366795423175</v>
      </c>
      <c r="L374" s="5">
        <f t="shared" si="67"/>
        <v>8113.4942916445461</v>
      </c>
      <c r="M374" s="70">
        <f>57323.8+66.4</f>
        <v>57390.200000000004</v>
      </c>
      <c r="N374" s="70">
        <f t="shared" si="68"/>
        <v>13300.56991877437</v>
      </c>
      <c r="O374" s="70">
        <f t="shared" si="69"/>
        <v>20676.159934179032</v>
      </c>
      <c r="P374" s="70">
        <f t="shared" si="70"/>
        <v>11483.558212529959</v>
      </c>
      <c r="Q374" s="70">
        <f t="shared" si="71"/>
        <v>11929.911893811057</v>
      </c>
      <c r="R374" s="804">
        <v>70432.100000000006</v>
      </c>
      <c r="S374" s="90">
        <f t="shared" si="72"/>
        <v>17886.743559244165</v>
      </c>
      <c r="T374" s="90">
        <f t="shared" si="73"/>
        <v>18504.218363012729</v>
      </c>
      <c r="U374" s="90">
        <f t="shared" si="74"/>
        <v>18039.821951437287</v>
      </c>
      <c r="V374" s="90">
        <f t="shared" si="75"/>
        <v>16054.036292133933</v>
      </c>
      <c r="W374" s="71">
        <v>73589.8</v>
      </c>
      <c r="X374" s="71">
        <v>76607</v>
      </c>
      <c r="Y374" s="972"/>
      <c r="Z374" s="974"/>
      <c r="AA374" s="322"/>
      <c r="AG374" s="314"/>
    </row>
    <row r="375" spans="1:33">
      <c r="A375" s="16" t="s">
        <v>45</v>
      </c>
      <c r="B375" s="546" t="s">
        <v>33</v>
      </c>
      <c r="C375" s="50">
        <v>176</v>
      </c>
      <c r="D375" s="335" t="s">
        <v>494</v>
      </c>
      <c r="E375" s="335" t="s">
        <v>495</v>
      </c>
      <c r="F375" s="50">
        <v>6100302810</v>
      </c>
      <c r="G375" s="50">
        <v>244</v>
      </c>
      <c r="H375" s="5">
        <f>63557.4</f>
        <v>63557.4</v>
      </c>
      <c r="I375" s="5">
        <v>11654.405332249506</v>
      </c>
      <c r="J375" s="5">
        <v>19428.551073308627</v>
      </c>
      <c r="K375" s="5">
        <v>10400.960013817383</v>
      </c>
      <c r="L375" s="5">
        <f t="shared" si="67"/>
        <v>12028.920444227562</v>
      </c>
      <c r="M375" s="70">
        <v>76275.199999999997</v>
      </c>
      <c r="N375" s="70">
        <f t="shared" si="68"/>
        <v>17677.297355097187</v>
      </c>
      <c r="O375" s="70">
        <f t="shared" si="69"/>
        <v>27479.922255219393</v>
      </c>
      <c r="P375" s="70">
        <f t="shared" si="70"/>
        <v>15262.37405292829</v>
      </c>
      <c r="Q375" s="70">
        <f t="shared" si="71"/>
        <v>15855.606282654824</v>
      </c>
      <c r="R375" s="804">
        <v>124399.7</v>
      </c>
      <c r="S375" s="90">
        <f t="shared" si="72"/>
        <v>31592.207711354706</v>
      </c>
      <c r="T375" s="90">
        <f t="shared" si="73"/>
        <v>32682.813846147914</v>
      </c>
      <c r="U375" s="90">
        <f t="shared" si="74"/>
        <v>31862.580255483124</v>
      </c>
      <c r="V375" s="90">
        <f t="shared" si="75"/>
        <v>28355.214433909729</v>
      </c>
      <c r="W375" s="71">
        <v>129985.9</v>
      </c>
      <c r="X375" s="71">
        <v>135315.29999999999</v>
      </c>
      <c r="Y375" s="972"/>
      <c r="Z375" s="974"/>
      <c r="AA375" s="322"/>
      <c r="AG375" s="313">
        <f>927184.8-V402</f>
        <v>811530.20000000007</v>
      </c>
    </row>
    <row r="376" spans="1:33">
      <c r="A376" s="16" t="s">
        <v>46</v>
      </c>
      <c r="B376" s="546" t="s">
        <v>33</v>
      </c>
      <c r="C376" s="50">
        <v>176</v>
      </c>
      <c r="D376" s="335" t="s">
        <v>494</v>
      </c>
      <c r="E376" s="335" t="s">
        <v>495</v>
      </c>
      <c r="F376" s="50">
        <v>6100302810</v>
      </c>
      <c r="G376" s="50">
        <v>244</v>
      </c>
      <c r="H376" s="5">
        <f>55763.2</f>
        <v>55763.199999999997</v>
      </c>
      <c r="I376" s="5">
        <v>10288.459019137374</v>
      </c>
      <c r="J376" s="5">
        <v>17151.441521072527</v>
      </c>
      <c r="K376" s="5">
        <v>9181.9228704646266</v>
      </c>
      <c r="L376" s="5">
        <f t="shared" si="67"/>
        <v>10553.784398284864</v>
      </c>
      <c r="M376" s="70">
        <f>73007.9-2.1</f>
        <v>73005.799999999988</v>
      </c>
      <c r="N376" s="70">
        <f t="shared" si="68"/>
        <v>16919.59162672473</v>
      </c>
      <c r="O376" s="70">
        <f t="shared" si="69"/>
        <v>26302.044546328245</v>
      </c>
      <c r="P376" s="70">
        <f t="shared" si="70"/>
        <v>14608.179691869334</v>
      </c>
      <c r="Q376" s="70">
        <f t="shared" si="71"/>
        <v>15175.984083296293</v>
      </c>
      <c r="R376" s="804">
        <v>92688.3</v>
      </c>
      <c r="S376" s="90">
        <f t="shared" si="72"/>
        <v>23538.8672642487</v>
      </c>
      <c r="T376" s="90">
        <f t="shared" si="73"/>
        <v>24351.4610936836</v>
      </c>
      <c r="U376" s="90">
        <f t="shared" si="74"/>
        <v>23740.317681588429</v>
      </c>
      <c r="V376" s="90">
        <f t="shared" si="75"/>
        <v>21127.033441515978</v>
      </c>
      <c r="W376" s="71">
        <v>96590.1</v>
      </c>
      <c r="X376" s="71">
        <v>100550.3</v>
      </c>
      <c r="Y376" s="972"/>
      <c r="Z376" s="974"/>
    </row>
    <row r="377" spans="1:33">
      <c r="A377" s="16" t="s">
        <v>47</v>
      </c>
      <c r="B377" s="546" t="s">
        <v>33</v>
      </c>
      <c r="C377" s="50">
        <v>176</v>
      </c>
      <c r="D377" s="335" t="s">
        <v>494</v>
      </c>
      <c r="E377" s="335" t="s">
        <v>495</v>
      </c>
      <c r="F377" s="50">
        <v>6100302810</v>
      </c>
      <c r="G377" s="50">
        <v>244</v>
      </c>
      <c r="H377" s="5">
        <f>69227.1+3000</f>
        <v>72227.100000000006</v>
      </c>
      <c r="I377" s="5">
        <v>12694.047953128507</v>
      </c>
      <c r="J377" s="5">
        <v>21161.693964936323</v>
      </c>
      <c r="K377" s="5">
        <v>11328.78781971159</v>
      </c>
      <c r="L377" s="5">
        <f t="shared" si="67"/>
        <v>13669.754266494045</v>
      </c>
      <c r="M377" s="70">
        <f>87538-10</f>
        <v>87528</v>
      </c>
      <c r="N377" s="70">
        <f t="shared" si="68"/>
        <v>20285.210434019798</v>
      </c>
      <c r="O377" s="70">
        <f t="shared" si="69"/>
        <v>31534.006271433485</v>
      </c>
      <c r="P377" s="70">
        <f t="shared" si="70"/>
        <v>17514.016038039983</v>
      </c>
      <c r="Q377" s="70">
        <f t="shared" si="71"/>
        <v>18194.767194425076</v>
      </c>
      <c r="R377" s="804">
        <v>98202.1</v>
      </c>
      <c r="S377" s="90">
        <f t="shared" si="72"/>
        <v>24939.136837880047</v>
      </c>
      <c r="T377" s="90">
        <f t="shared" si="73"/>
        <v>25800.069884419354</v>
      </c>
      <c r="U377" s="90">
        <f t="shared" si="74"/>
        <v>25152.571047253165</v>
      </c>
      <c r="V377" s="90">
        <f t="shared" si="75"/>
        <v>22383.828926920618</v>
      </c>
      <c r="W377" s="71">
        <v>102485</v>
      </c>
      <c r="X377" s="71">
        <v>106686.9</v>
      </c>
      <c r="Y377" s="972"/>
      <c r="Z377" s="974"/>
    </row>
    <row r="378" spans="1:33">
      <c r="A378" s="16" t="s">
        <v>48</v>
      </c>
      <c r="B378" s="546" t="s">
        <v>33</v>
      </c>
      <c r="C378" s="50">
        <v>176</v>
      </c>
      <c r="D378" s="335" t="s">
        <v>494</v>
      </c>
      <c r="E378" s="335" t="s">
        <v>495</v>
      </c>
      <c r="F378" s="50">
        <v>6100302810</v>
      </c>
      <c r="G378" s="50">
        <v>244</v>
      </c>
      <c r="H378" s="5">
        <v>89482.4</v>
      </c>
      <c r="I378" s="5">
        <v>16408.225630728808</v>
      </c>
      <c r="J378" s="5">
        <v>27353.437657333874</v>
      </c>
      <c r="K378" s="5">
        <v>14643.50121843267</v>
      </c>
      <c r="L378" s="5">
        <f t="shared" si="67"/>
        <v>16935.505082941538</v>
      </c>
      <c r="M378" s="70">
        <f>120053.8-920.9</f>
        <v>119132.90000000001</v>
      </c>
      <c r="N378" s="70">
        <f t="shared" si="68"/>
        <v>27609.86137139015</v>
      </c>
      <c r="O378" s="70">
        <f t="shared" si="69"/>
        <v>42920.409648730223</v>
      </c>
      <c r="P378" s="70">
        <f t="shared" si="70"/>
        <v>23838.034928916615</v>
      </c>
      <c r="Q378" s="70">
        <f t="shared" si="71"/>
        <v>24764.593966464716</v>
      </c>
      <c r="R378" s="804">
        <v>156245.9</v>
      </c>
      <c r="S378" s="90">
        <f t="shared" si="72"/>
        <v>39679.781597926332</v>
      </c>
      <c r="T378" s="90">
        <f t="shared" si="73"/>
        <v>41049.581823138178</v>
      </c>
      <c r="U378" s="90">
        <f t="shared" si="74"/>
        <v>40019.369245586531</v>
      </c>
      <c r="V378" s="90">
        <f t="shared" si="75"/>
        <v>35614.121247231429</v>
      </c>
      <c r="W378" s="71">
        <v>163159.20000000001</v>
      </c>
      <c r="X378" s="71">
        <v>169848.69999999998</v>
      </c>
      <c r="Y378" s="972"/>
      <c r="Z378" s="974"/>
    </row>
    <row r="379" spans="1:33">
      <c r="A379" s="16" t="s">
        <v>49</v>
      </c>
      <c r="B379" s="546" t="s">
        <v>33</v>
      </c>
      <c r="C379" s="50">
        <v>176</v>
      </c>
      <c r="D379" s="335" t="s">
        <v>494</v>
      </c>
      <c r="E379" s="335" t="s">
        <v>495</v>
      </c>
      <c r="F379" s="50">
        <v>6100302810</v>
      </c>
      <c r="G379" s="50">
        <v>244</v>
      </c>
      <c r="H379" s="5">
        <f>92069.9+3000</f>
        <v>95069.9</v>
      </c>
      <c r="I379" s="5">
        <v>16882.690819632</v>
      </c>
      <c r="J379" s="5">
        <v>28144.397890165706</v>
      </c>
      <c r="K379" s="5">
        <v>15066.937105296392</v>
      </c>
      <c r="L379" s="5">
        <f t="shared" si="67"/>
        <v>17992.99945782348</v>
      </c>
      <c r="M379" s="70">
        <f>112892.8+2645.3</f>
        <v>115538.1</v>
      </c>
      <c r="N379" s="70">
        <f t="shared" si="68"/>
        <v>26776.741975674329</v>
      </c>
      <c r="O379" s="70">
        <f t="shared" si="69"/>
        <v>41625.298989917617</v>
      </c>
      <c r="P379" s="70">
        <f t="shared" si="70"/>
        <v>23118.729279826657</v>
      </c>
      <c r="Q379" s="70">
        <f t="shared" si="71"/>
        <v>24017.329672632804</v>
      </c>
      <c r="R379" s="804">
        <v>160998.19999999998</v>
      </c>
      <c r="S379" s="90">
        <f t="shared" si="72"/>
        <v>40886.662713448888</v>
      </c>
      <c r="T379" s="90">
        <f t="shared" si="73"/>
        <v>42298.126122208414</v>
      </c>
      <c r="U379" s="90">
        <f t="shared" si="74"/>
        <v>41236.579095354107</v>
      </c>
      <c r="V379" s="90">
        <f t="shared" si="75"/>
        <v>36697.343196755981</v>
      </c>
      <c r="W379" s="71">
        <v>174421.1</v>
      </c>
      <c r="X379" s="71">
        <v>181572.4</v>
      </c>
      <c r="Y379" s="972"/>
      <c r="Z379" s="974"/>
      <c r="AA379" s="313"/>
    </row>
    <row r="380" spans="1:33">
      <c r="A380" s="16" t="s">
        <v>50</v>
      </c>
      <c r="B380" s="546" t="s">
        <v>33</v>
      </c>
      <c r="C380" s="50">
        <v>176</v>
      </c>
      <c r="D380" s="335" t="s">
        <v>494</v>
      </c>
      <c r="E380" s="335" t="s">
        <v>495</v>
      </c>
      <c r="F380" s="50">
        <v>6100302810</v>
      </c>
      <c r="G380" s="50">
        <v>244</v>
      </c>
      <c r="H380" s="5">
        <f>62410+17000</f>
        <v>79410</v>
      </c>
      <c r="I380" s="5">
        <v>10504.063335702542</v>
      </c>
      <c r="J380" s="5">
        <v>17510.866078275882</v>
      </c>
      <c r="K380" s="5">
        <v>9374.3386833242857</v>
      </c>
      <c r="L380" s="5">
        <f t="shared" si="67"/>
        <v>15029.195223154356</v>
      </c>
      <c r="M380" s="70">
        <f>66959.2</f>
        <v>66959.199999999997</v>
      </c>
      <c r="N380" s="70">
        <f t="shared" si="68"/>
        <v>15518.250873933121</v>
      </c>
      <c r="O380" s="70">
        <f t="shared" si="69"/>
        <v>24123.615674186192</v>
      </c>
      <c r="P380" s="70">
        <f t="shared" si="70"/>
        <v>13398.278296023294</v>
      </c>
      <c r="Q380" s="70">
        <f t="shared" si="71"/>
        <v>13919.055108364724</v>
      </c>
      <c r="R380" s="804">
        <v>94289.8</v>
      </c>
      <c r="S380" s="90">
        <f t="shared" si="72"/>
        <v>23945.579825852419</v>
      </c>
      <c r="T380" s="90">
        <f t="shared" si="73"/>
        <v>24772.213928092413</v>
      </c>
      <c r="U380" s="90">
        <f t="shared" si="74"/>
        <v>24150.510972079937</v>
      </c>
      <c r="V380" s="90">
        <f t="shared" si="75"/>
        <v>21492.07351730319</v>
      </c>
      <c r="W380" s="71">
        <v>109888.4</v>
      </c>
      <c r="X380" s="71">
        <v>114393.8</v>
      </c>
      <c r="Y380" s="972"/>
      <c r="Z380" s="974"/>
    </row>
    <row r="381" spans="1:33">
      <c r="A381" s="16" t="s">
        <v>51</v>
      </c>
      <c r="B381" s="546" t="s">
        <v>33</v>
      </c>
      <c r="C381" s="50">
        <v>176</v>
      </c>
      <c r="D381" s="335" t="s">
        <v>494</v>
      </c>
      <c r="E381" s="335" t="s">
        <v>495</v>
      </c>
      <c r="F381" s="50">
        <v>6100302810</v>
      </c>
      <c r="G381" s="50">
        <v>244</v>
      </c>
      <c r="H381" s="5">
        <f>76064.5</f>
        <v>76064.5</v>
      </c>
      <c r="I381" s="5">
        <v>14022.623829333019</v>
      </c>
      <c r="J381" s="5">
        <v>23376.504890911117</v>
      </c>
      <c r="K381" s="5">
        <v>12514.473761617841</v>
      </c>
      <c r="L381" s="5">
        <f t="shared" si="67"/>
        <v>14396.023423392831</v>
      </c>
      <c r="M381" s="70">
        <f>96070.3+1580.9</f>
        <v>97651.199999999997</v>
      </c>
      <c r="N381" s="70">
        <f t="shared" si="68"/>
        <v>22631.331015612763</v>
      </c>
      <c r="O381" s="70">
        <f t="shared" si="69"/>
        <v>35181.12550512985</v>
      </c>
      <c r="P381" s="70">
        <f t="shared" si="70"/>
        <v>19539.629409261608</v>
      </c>
      <c r="Q381" s="70">
        <f t="shared" si="71"/>
        <v>20299.11400073396</v>
      </c>
      <c r="R381" s="804">
        <v>126578.1</v>
      </c>
      <c r="S381" s="90">
        <f t="shared" si="72"/>
        <v>32145.428219751557</v>
      </c>
      <c r="T381" s="90">
        <f t="shared" si="73"/>
        <v>33255.13228166222</v>
      </c>
      <c r="U381" s="90">
        <f t="shared" si="74"/>
        <v>32420.535337597827</v>
      </c>
      <c r="V381" s="90">
        <f t="shared" si="75"/>
        <v>28851.750994068869</v>
      </c>
      <c r="W381" s="71">
        <v>132483.4</v>
      </c>
      <c r="X381" s="71">
        <v>137915.20000000001</v>
      </c>
      <c r="Y381" s="972"/>
      <c r="Z381" s="974"/>
    </row>
    <row r="382" spans="1:33">
      <c r="A382" s="16" t="s">
        <v>52</v>
      </c>
      <c r="B382" s="546" t="s">
        <v>33</v>
      </c>
      <c r="C382" s="50">
        <v>176</v>
      </c>
      <c r="D382" s="335" t="s">
        <v>494</v>
      </c>
      <c r="E382" s="335" t="s">
        <v>495</v>
      </c>
      <c r="F382" s="50">
        <v>6100302810</v>
      </c>
      <c r="G382" s="50">
        <v>244</v>
      </c>
      <c r="H382" s="5">
        <f>42387.9</f>
        <v>42387.9</v>
      </c>
      <c r="I382" s="5">
        <v>7916.9032210150081</v>
      </c>
      <c r="J382" s="5">
        <v>13197.924234392733</v>
      </c>
      <c r="K382" s="5">
        <v>7065.4307523681609</v>
      </c>
      <c r="L382" s="5">
        <f t="shared" si="67"/>
        <v>8022.3652461849215</v>
      </c>
      <c r="M382" s="70">
        <f>53249.1-249.5</f>
        <v>52999.6</v>
      </c>
      <c r="N382" s="70">
        <f t="shared" si="68"/>
        <v>12283.018450311622</v>
      </c>
      <c r="O382" s="70">
        <f t="shared" si="69"/>
        <v>19094.343738957432</v>
      </c>
      <c r="P382" s="70">
        <f t="shared" si="70"/>
        <v>10605.016045262131</v>
      </c>
      <c r="Q382" s="70">
        <f t="shared" si="71"/>
        <v>11017.221727877379</v>
      </c>
      <c r="R382" s="804">
        <v>67492.600000000006</v>
      </c>
      <c r="S382" s="90">
        <f t="shared" si="72"/>
        <v>17140.23617564495</v>
      </c>
      <c r="T382" s="90">
        <f t="shared" si="73"/>
        <v>17731.940525519942</v>
      </c>
      <c r="U382" s="90">
        <f t="shared" si="74"/>
        <v>17286.925805699051</v>
      </c>
      <c r="V382" s="90">
        <f t="shared" si="75"/>
        <v>15384.017370637517</v>
      </c>
      <c r="W382" s="71">
        <v>69715.100000000006</v>
      </c>
      <c r="X382" s="71">
        <v>73250.600000000006</v>
      </c>
      <c r="Y382" s="972"/>
      <c r="Z382" s="974"/>
    </row>
    <row r="383" spans="1:33">
      <c r="A383" s="16" t="s">
        <v>53</v>
      </c>
      <c r="B383" s="546" t="s">
        <v>33</v>
      </c>
      <c r="C383" s="50">
        <v>176</v>
      </c>
      <c r="D383" s="335" t="s">
        <v>494</v>
      </c>
      <c r="E383" s="335" t="s">
        <v>495</v>
      </c>
      <c r="F383" s="50">
        <v>6100302810</v>
      </c>
      <c r="G383" s="50">
        <v>244</v>
      </c>
      <c r="H383" s="5">
        <f>53794.4</f>
        <v>53794.400000000001</v>
      </c>
      <c r="I383" s="5">
        <v>9913.5077463763155</v>
      </c>
      <c r="J383" s="5">
        <v>16526.376599683335</v>
      </c>
      <c r="K383" s="5">
        <v>8847.2980583065801</v>
      </c>
      <c r="L383" s="5">
        <f t="shared" si="67"/>
        <v>10181.167856849954</v>
      </c>
      <c r="M383" s="70">
        <f>68743.2-390.7</f>
        <v>68352.5</v>
      </c>
      <c r="N383" s="70">
        <f t="shared" si="68"/>
        <v>15841.157643169479</v>
      </c>
      <c r="O383" s="70">
        <f t="shared" si="69"/>
        <v>24625.584540583099</v>
      </c>
      <c r="P383" s="70">
        <f t="shared" si="70"/>
        <v>13677.072265333698</v>
      </c>
      <c r="Q383" s="70">
        <f t="shared" si="71"/>
        <v>14208.685502432822</v>
      </c>
      <c r="R383" s="804">
        <v>95294.599999999991</v>
      </c>
      <c r="S383" s="90">
        <f t="shared" si="72"/>
        <v>24200.756086794921</v>
      </c>
      <c r="T383" s="90">
        <f t="shared" si="73"/>
        <v>25036.199221888211</v>
      </c>
      <c r="U383" s="90">
        <f t="shared" si="74"/>
        <v>24407.871083404236</v>
      </c>
      <c r="V383" s="90">
        <f t="shared" si="75"/>
        <v>21721.103968849231</v>
      </c>
      <c r="W383" s="71">
        <v>99455.3</v>
      </c>
      <c r="X383" s="71">
        <v>103532.9</v>
      </c>
      <c r="Y383" s="972"/>
      <c r="Z383" s="974"/>
    </row>
    <row r="384" spans="1:33">
      <c r="A384" s="16" t="s">
        <v>54</v>
      </c>
      <c r="B384" s="546" t="s">
        <v>33</v>
      </c>
      <c r="C384" s="50">
        <v>176</v>
      </c>
      <c r="D384" s="335" t="s">
        <v>494</v>
      </c>
      <c r="E384" s="335" t="s">
        <v>495</v>
      </c>
      <c r="F384" s="50">
        <v>6100302810</v>
      </c>
      <c r="G384" s="50">
        <v>244</v>
      </c>
      <c r="H384" s="5">
        <f>71918.3+4000</f>
        <v>75918.3</v>
      </c>
      <c r="I384" s="5">
        <v>13187.528423225614</v>
      </c>
      <c r="J384" s="5">
        <v>21984.353744104257</v>
      </c>
      <c r="K384" s="5">
        <v>11769.193871393776</v>
      </c>
      <c r="L384" s="5">
        <f t="shared" si="67"/>
        <v>14368.353503463033</v>
      </c>
      <c r="M384" s="70">
        <v>91165.1</v>
      </c>
      <c r="N384" s="70">
        <f t="shared" si="68"/>
        <v>21128.133142976629</v>
      </c>
      <c r="O384" s="70">
        <f t="shared" si="69"/>
        <v>32844.35649318916</v>
      </c>
      <c r="P384" s="70">
        <f t="shared" si="70"/>
        <v>18241.785754381672</v>
      </c>
      <c r="Q384" s="70">
        <f t="shared" si="71"/>
        <v>18950.824544791172</v>
      </c>
      <c r="R384" s="804">
        <v>150746.1</v>
      </c>
      <c r="S384" s="90">
        <f t="shared" si="72"/>
        <v>38283.067426019901</v>
      </c>
      <c r="T384" s="90">
        <f t="shared" si="73"/>
        <v>39604.651171448146</v>
      </c>
      <c r="U384" s="90">
        <f t="shared" si="74"/>
        <v>38610.701709498368</v>
      </c>
      <c r="V384" s="90">
        <f t="shared" si="75"/>
        <v>34360.516870825246</v>
      </c>
      <c r="W384" s="71">
        <v>152013.6</v>
      </c>
      <c r="X384" s="71">
        <v>158246.1</v>
      </c>
      <c r="Y384" s="972"/>
      <c r="Z384" s="974"/>
    </row>
    <row r="385" spans="1:27">
      <c r="A385" s="16" t="s">
        <v>55</v>
      </c>
      <c r="B385" s="546" t="s">
        <v>33</v>
      </c>
      <c r="C385" s="50">
        <v>176</v>
      </c>
      <c r="D385" s="335" t="s">
        <v>494</v>
      </c>
      <c r="E385" s="335" t="s">
        <v>495</v>
      </c>
      <c r="F385" s="50">
        <v>6100302810</v>
      </c>
      <c r="G385" s="50">
        <v>244</v>
      </c>
      <c r="H385" s="5">
        <f>85733.7</f>
        <v>85733.7</v>
      </c>
      <c r="I385" s="5">
        <v>15756.590097663971</v>
      </c>
      <c r="J385" s="5">
        <v>26267.124467221991</v>
      </c>
      <c r="K385" s="5">
        <v>14061.949871129242</v>
      </c>
      <c r="L385" s="5">
        <f t="shared" si="67"/>
        <v>16226.023353524099</v>
      </c>
      <c r="M385" s="70">
        <v>105640</v>
      </c>
      <c r="N385" s="70">
        <f t="shared" si="68"/>
        <v>24482.789852959642</v>
      </c>
      <c r="O385" s="70">
        <f t="shared" si="69"/>
        <v>38059.277288573183</v>
      </c>
      <c r="P385" s="70">
        <f t="shared" si="70"/>
        <v>21138.157552537974</v>
      </c>
      <c r="Q385" s="70">
        <f t="shared" si="71"/>
        <v>21959.775231001109</v>
      </c>
      <c r="R385" s="804">
        <v>132318.79999999999</v>
      </c>
      <c r="S385" s="90">
        <f t="shared" si="72"/>
        <v>33603.320697053139</v>
      </c>
      <c r="T385" s="90">
        <f t="shared" si="73"/>
        <v>34763.353197360411</v>
      </c>
      <c r="U385" s="90">
        <f t="shared" si="74"/>
        <v>33890.904755471434</v>
      </c>
      <c r="V385" s="90">
        <f t="shared" si="75"/>
        <v>30160.265238884131</v>
      </c>
      <c r="W385" s="71">
        <v>138107.79999999999</v>
      </c>
      <c r="X385" s="71">
        <v>143770.20000000001</v>
      </c>
      <c r="Y385" s="972"/>
      <c r="Z385" s="974"/>
    </row>
    <row r="386" spans="1:27">
      <c r="A386" s="16" t="s">
        <v>56</v>
      </c>
      <c r="B386" s="546" t="s">
        <v>33</v>
      </c>
      <c r="C386" s="50">
        <v>176</v>
      </c>
      <c r="D386" s="335" t="s">
        <v>494</v>
      </c>
      <c r="E386" s="335" t="s">
        <v>495</v>
      </c>
      <c r="F386" s="50">
        <v>6100302810</v>
      </c>
      <c r="G386" s="50">
        <v>244</v>
      </c>
      <c r="H386" s="5">
        <f>75319.9</f>
        <v>75319.899999999994</v>
      </c>
      <c r="I386" s="5">
        <v>13811.273654751447</v>
      </c>
      <c r="J386" s="5">
        <v>23024.172228355761</v>
      </c>
      <c r="K386" s="5">
        <v>12325.854552651994</v>
      </c>
      <c r="L386" s="5">
        <f t="shared" si="67"/>
        <v>14255.099877703864</v>
      </c>
      <c r="M386" s="70">
        <v>90513.3</v>
      </c>
      <c r="N386" s="70">
        <f t="shared" si="68"/>
        <v>20977.074051475687</v>
      </c>
      <c r="O386" s="70">
        <f t="shared" si="69"/>
        <v>32609.530319990641</v>
      </c>
      <c r="P386" s="70">
        <f t="shared" si="70"/>
        <v>18111.363082167129</v>
      </c>
      <c r="Q386" s="70">
        <f t="shared" si="71"/>
        <v>18815.332482167483</v>
      </c>
      <c r="R386" s="804">
        <v>115769.9</v>
      </c>
      <c r="S386" s="90">
        <f t="shared" si="72"/>
        <v>29400.607296663606</v>
      </c>
      <c r="T386" s="90">
        <f t="shared" si="73"/>
        <v>30415.556393521521</v>
      </c>
      <c r="U386" s="90">
        <f t="shared" si="74"/>
        <v>29652.223678346934</v>
      </c>
      <c r="V386" s="90">
        <f t="shared" si="75"/>
        <v>26388.169259992475</v>
      </c>
      <c r="W386" s="71">
        <v>120737.9</v>
      </c>
      <c r="X386" s="71">
        <v>125688.2</v>
      </c>
      <c r="Y386" s="972"/>
      <c r="Z386" s="974"/>
    </row>
    <row r="387" spans="1:27">
      <c r="A387" s="16" t="s">
        <v>57</v>
      </c>
      <c r="B387" s="546" t="s">
        <v>33</v>
      </c>
      <c r="C387" s="50">
        <v>176</v>
      </c>
      <c r="D387" s="335" t="s">
        <v>494</v>
      </c>
      <c r="E387" s="335" t="s">
        <v>495</v>
      </c>
      <c r="F387" s="50">
        <v>6100302810</v>
      </c>
      <c r="G387" s="50">
        <v>244</v>
      </c>
      <c r="H387" s="5">
        <f>68239.8</f>
        <v>68239.8</v>
      </c>
      <c r="I387" s="5">
        <v>12537.029772932256</v>
      </c>
      <c r="J387" s="5">
        <v>20899.93580170003</v>
      </c>
      <c r="K387" s="5">
        <v>11188.657133751625</v>
      </c>
      <c r="L387" s="5">
        <f t="shared" si="67"/>
        <v>12915.114924933998</v>
      </c>
      <c r="M387" s="70">
        <v>72224</v>
      </c>
      <c r="N387" s="70">
        <f t="shared" si="68"/>
        <v>16738.404149376722</v>
      </c>
      <c r="O387" s="70">
        <f t="shared" si="69"/>
        <v>26020.382836898047</v>
      </c>
      <c r="P387" s="70">
        <f t="shared" si="70"/>
        <v>14451.744519826796</v>
      </c>
      <c r="Q387" s="70">
        <f t="shared" si="71"/>
        <v>15013.468442671563</v>
      </c>
      <c r="R387" s="804">
        <v>79132.3</v>
      </c>
      <c r="S387" s="90">
        <f t="shared" si="72"/>
        <v>20096.222565466269</v>
      </c>
      <c r="T387" s="90">
        <f t="shared" si="73"/>
        <v>20789.971600554749</v>
      </c>
      <c r="U387" s="90">
        <f t="shared" si="74"/>
        <v>20268.210128729948</v>
      </c>
      <c r="V387" s="90">
        <f t="shared" si="75"/>
        <v>18037.128185586258</v>
      </c>
      <c r="W387" s="71">
        <v>82813.7</v>
      </c>
      <c r="X387" s="71">
        <v>86209.099999999991</v>
      </c>
      <c r="Y387" s="972"/>
      <c r="Z387" s="974"/>
    </row>
    <row r="388" spans="1:27">
      <c r="A388" s="16" t="s">
        <v>58</v>
      </c>
      <c r="B388" s="546" t="s">
        <v>33</v>
      </c>
      <c r="C388" s="50">
        <v>176</v>
      </c>
      <c r="D388" s="335" t="s">
        <v>494</v>
      </c>
      <c r="E388" s="335" t="s">
        <v>495</v>
      </c>
      <c r="F388" s="50">
        <v>6100302810</v>
      </c>
      <c r="G388" s="50">
        <v>244</v>
      </c>
      <c r="H388" s="5">
        <f>82221.6+2500+1500</f>
        <v>86221.6</v>
      </c>
      <c r="I388" s="5">
        <v>15110.198894803052</v>
      </c>
      <c r="J388" s="5">
        <v>25189.553871374457</v>
      </c>
      <c r="K388" s="5">
        <v>13485.078820005258</v>
      </c>
      <c r="L388" s="5">
        <f t="shared" si="67"/>
        <v>16318.363667708423</v>
      </c>
      <c r="M388" s="70">
        <v>104013.8</v>
      </c>
      <c r="N388" s="70">
        <f t="shared" si="68"/>
        <v>24105.906921694183</v>
      </c>
      <c r="O388" s="70">
        <f t="shared" si="69"/>
        <v>37473.400757650452</v>
      </c>
      <c r="P388" s="70">
        <f t="shared" si="70"/>
        <v>20812.761189304943</v>
      </c>
      <c r="Q388" s="70">
        <f t="shared" si="71"/>
        <v>21621.731057575758</v>
      </c>
      <c r="R388" s="804">
        <v>106965.6</v>
      </c>
      <c r="S388" s="90">
        <f t="shared" si="72"/>
        <v>27164.691339044093</v>
      </c>
      <c r="T388" s="90">
        <f t="shared" si="73"/>
        <v>28102.453564932388</v>
      </c>
      <c r="U388" s="90">
        <f t="shared" si="74"/>
        <v>27397.172296845616</v>
      </c>
      <c r="V388" s="90">
        <f t="shared" si="75"/>
        <v>24381.349191773086</v>
      </c>
      <c r="W388" s="71">
        <v>108453.8</v>
      </c>
      <c r="X388" s="71">
        <v>112900.40000000001</v>
      </c>
      <c r="Y388" s="972"/>
      <c r="Z388" s="974"/>
    </row>
    <row r="389" spans="1:27">
      <c r="A389" s="16" t="s">
        <v>59</v>
      </c>
      <c r="B389" s="546" t="s">
        <v>33</v>
      </c>
      <c r="C389" s="50">
        <v>176</v>
      </c>
      <c r="D389" s="335" t="s">
        <v>494</v>
      </c>
      <c r="E389" s="335" t="s">
        <v>495</v>
      </c>
      <c r="F389" s="50">
        <v>6100302810</v>
      </c>
      <c r="G389" s="50">
        <v>244</v>
      </c>
      <c r="H389" s="5">
        <v>54652.5</v>
      </c>
      <c r="I389" s="5">
        <v>10021.529946485636</v>
      </c>
      <c r="J389" s="5">
        <v>16706.455700421979</v>
      </c>
      <c r="K389" s="5">
        <v>8943.702340799884</v>
      </c>
      <c r="L389" s="5">
        <f t="shared" si="67"/>
        <v>10343.572496328467</v>
      </c>
      <c r="M389" s="70">
        <v>69109.7</v>
      </c>
      <c r="N389" s="70">
        <f t="shared" si="68"/>
        <v>16016.643902887967</v>
      </c>
      <c r="O389" s="70">
        <f t="shared" si="69"/>
        <v>24898.38352546484</v>
      </c>
      <c r="P389" s="70">
        <f t="shared" si="70"/>
        <v>13828.585072024172</v>
      </c>
      <c r="Q389" s="70">
        <f t="shared" si="71"/>
        <v>14366.08745060505</v>
      </c>
      <c r="R389" s="804">
        <v>87178.3</v>
      </c>
      <c r="S389" s="90">
        <f t="shared" si="72"/>
        <v>22139.5627282284</v>
      </c>
      <c r="T389" s="90">
        <f t="shared" si="73"/>
        <v>22903.850654974543</v>
      </c>
      <c r="U389" s="90">
        <f t="shared" si="74"/>
        <v>22329.037612523054</v>
      </c>
      <c r="V389" s="90">
        <f t="shared" si="75"/>
        <v>19871.104114268059</v>
      </c>
      <c r="W389" s="71">
        <v>88315.8</v>
      </c>
      <c r="X389" s="71">
        <v>91936.7</v>
      </c>
      <c r="Y389" s="972"/>
      <c r="Z389" s="974"/>
    </row>
    <row r="390" spans="1:27">
      <c r="A390" s="16" t="s">
        <v>60</v>
      </c>
      <c r="B390" s="546" t="s">
        <v>33</v>
      </c>
      <c r="C390" s="50">
        <v>176</v>
      </c>
      <c r="D390" s="335" t="s">
        <v>494</v>
      </c>
      <c r="E390" s="335" t="s">
        <v>495</v>
      </c>
      <c r="F390" s="50">
        <v>6100302810</v>
      </c>
      <c r="G390" s="50">
        <v>244</v>
      </c>
      <c r="H390" s="5">
        <f>145550.2</f>
        <v>145550.20000000001</v>
      </c>
      <c r="I390" s="5">
        <v>27037.67613403406</v>
      </c>
      <c r="J390" s="5">
        <v>45073.331216657258</v>
      </c>
      <c r="K390" s="5">
        <v>24129.741528592673</v>
      </c>
      <c r="L390" s="5">
        <f t="shared" si="67"/>
        <v>27546.938302092451</v>
      </c>
      <c r="M390" s="70">
        <v>206408.7</v>
      </c>
      <c r="N390" s="70">
        <f t="shared" si="68"/>
        <v>47836.622736866622</v>
      </c>
      <c r="O390" s="70">
        <f t="shared" si="69"/>
        <v>74363.554979874243</v>
      </c>
      <c r="P390" s="70">
        <f t="shared" si="70"/>
        <v>41301.58671729028</v>
      </c>
      <c r="Q390" s="70">
        <f t="shared" si="71"/>
        <v>42906.935419567766</v>
      </c>
      <c r="R390" s="804">
        <v>301390</v>
      </c>
      <c r="S390" s="90">
        <f t="shared" si="72"/>
        <v>76540.180419447919</v>
      </c>
      <c r="T390" s="90">
        <f t="shared" si="73"/>
        <v>79182.451927862523</v>
      </c>
      <c r="U390" s="90">
        <f t="shared" si="74"/>
        <v>77195.226863087752</v>
      </c>
      <c r="V390" s="90">
        <f t="shared" si="75"/>
        <v>68697.738645961799</v>
      </c>
      <c r="W390" s="71">
        <v>284015.5</v>
      </c>
      <c r="X390" s="71">
        <v>302033.2</v>
      </c>
      <c r="Y390" s="972"/>
      <c r="Z390" s="974"/>
    </row>
    <row r="391" spans="1:27">
      <c r="A391" s="16" t="s">
        <v>61</v>
      </c>
      <c r="B391" s="546" t="s">
        <v>33</v>
      </c>
      <c r="C391" s="50">
        <v>176</v>
      </c>
      <c r="D391" s="335" t="s">
        <v>494</v>
      </c>
      <c r="E391" s="335" t="s">
        <v>495</v>
      </c>
      <c r="F391" s="50">
        <v>6100302810</v>
      </c>
      <c r="G391" s="50">
        <v>244</v>
      </c>
      <c r="H391" s="5">
        <f>124792.5</f>
        <v>124792.5</v>
      </c>
      <c r="I391" s="5">
        <v>22981.810173147878</v>
      </c>
      <c r="J391" s="5">
        <v>38311.973882575126</v>
      </c>
      <c r="K391" s="5">
        <v>20510.088832641883</v>
      </c>
      <c r="L391" s="5">
        <f t="shared" si="67"/>
        <v>23618.320676054529</v>
      </c>
      <c r="M391" s="70">
        <v>155268.79999999999</v>
      </c>
      <c r="N391" s="70">
        <f t="shared" si="68"/>
        <v>35984.602433938089</v>
      </c>
      <c r="O391" s="70">
        <f t="shared" si="69"/>
        <v>55939.211600378752</v>
      </c>
      <c r="P391" s="70">
        <f t="shared" si="70"/>
        <v>31068.689486875315</v>
      </c>
      <c r="Q391" s="70">
        <f t="shared" si="71"/>
        <v>32276.296368679145</v>
      </c>
      <c r="R391" s="804">
        <v>196945.7</v>
      </c>
      <c r="S391" s="90">
        <f t="shared" si="72"/>
        <v>50015.791535334509</v>
      </c>
      <c r="T391" s="90">
        <f t="shared" si="73"/>
        <v>51742.404932642872</v>
      </c>
      <c r="U391" s="90">
        <f t="shared" si="74"/>
        <v>50443.836859914474</v>
      </c>
      <c r="V391" s="90">
        <f t="shared" si="75"/>
        <v>44891.085391174216</v>
      </c>
      <c r="W391" s="71">
        <v>266715.8</v>
      </c>
      <c r="X391" s="71">
        <v>230269.69999999998</v>
      </c>
      <c r="Y391" s="972"/>
      <c r="Z391" s="974"/>
    </row>
    <row r="392" spans="1:27">
      <c r="A392" s="16" t="s">
        <v>62</v>
      </c>
      <c r="B392" s="546" t="s">
        <v>33</v>
      </c>
      <c r="C392" s="50">
        <v>176</v>
      </c>
      <c r="D392" s="335" t="s">
        <v>494</v>
      </c>
      <c r="E392" s="335" t="s">
        <v>495</v>
      </c>
      <c r="F392" s="50">
        <v>6100302810</v>
      </c>
      <c r="G392" s="50">
        <v>244</v>
      </c>
      <c r="H392" s="5">
        <f>60253</f>
        <v>60253</v>
      </c>
      <c r="I392" s="5">
        <v>11048.483488689428</v>
      </c>
      <c r="J392" s="5">
        <v>18418.445182151328</v>
      </c>
      <c r="K392" s="5">
        <v>9860.2057937004774</v>
      </c>
      <c r="L392" s="5">
        <f t="shared" si="67"/>
        <v>11403.527260807448</v>
      </c>
      <c r="M392" s="70">
        <v>72667.5</v>
      </c>
      <c r="N392" s="70">
        <f t="shared" si="68"/>
        <v>16841.188296478082</v>
      </c>
      <c r="O392" s="70">
        <f t="shared" si="69"/>
        <v>26180.164070119194</v>
      </c>
      <c r="P392" s="70">
        <f t="shared" si="70"/>
        <v>14540.48716347078</v>
      </c>
      <c r="Q392" s="70">
        <f t="shared" si="71"/>
        <v>15105.660418390506</v>
      </c>
      <c r="R392" s="804">
        <v>83203.5</v>
      </c>
      <c r="S392" s="90">
        <f t="shared" si="72"/>
        <v>21130.133387071684</v>
      </c>
      <c r="T392" s="90">
        <f t="shared" si="73"/>
        <v>21859.574435050632</v>
      </c>
      <c r="U392" s="90">
        <f t="shared" si="74"/>
        <v>21310.969369597275</v>
      </c>
      <c r="V392" s="90">
        <f t="shared" si="75"/>
        <v>18965.102682336117</v>
      </c>
      <c r="W392" s="71">
        <v>86962.099999999991</v>
      </c>
      <c r="X392" s="71">
        <v>90527.599999999991</v>
      </c>
      <c r="Y392" s="972"/>
      <c r="Z392" s="974"/>
    </row>
    <row r="393" spans="1:27">
      <c r="A393" s="16" t="s">
        <v>63</v>
      </c>
      <c r="B393" s="546" t="s">
        <v>33</v>
      </c>
      <c r="C393" s="50">
        <v>176</v>
      </c>
      <c r="D393" s="335" t="s">
        <v>494</v>
      </c>
      <c r="E393" s="335" t="s">
        <v>495</v>
      </c>
      <c r="F393" s="50">
        <v>6100302810</v>
      </c>
      <c r="G393" s="50">
        <v>244</v>
      </c>
      <c r="H393" s="5">
        <f>56181.2</f>
        <v>56181.2</v>
      </c>
      <c r="I393" s="5">
        <v>10301.844896930585</v>
      </c>
      <c r="J393" s="5">
        <v>17173.756534404594</v>
      </c>
      <c r="K393" s="5">
        <v>9193.8690809925702</v>
      </c>
      <c r="L393" s="5">
        <f t="shared" si="67"/>
        <v>10632.895386866636</v>
      </c>
      <c r="M393" s="70">
        <v>70926.100000000006</v>
      </c>
      <c r="N393" s="70">
        <f t="shared" si="68"/>
        <v>16437.606980215834</v>
      </c>
      <c r="O393" s="70">
        <f t="shared" si="69"/>
        <v>25552.78404862808</v>
      </c>
      <c r="P393" s="70">
        <f t="shared" si="70"/>
        <v>14192.039723467093</v>
      </c>
      <c r="Q393" s="70">
        <f t="shared" si="71"/>
        <v>14743.669197382696</v>
      </c>
      <c r="R393" s="804">
        <v>107011</v>
      </c>
      <c r="S393" s="90">
        <f t="shared" si="72"/>
        <v>27176.220998923462</v>
      </c>
      <c r="T393" s="90">
        <f t="shared" si="73"/>
        <v>28114.381244409225</v>
      </c>
      <c r="U393" s="90">
        <f t="shared" si="74"/>
        <v>27408.80062990107</v>
      </c>
      <c r="V393" s="90">
        <f t="shared" si="75"/>
        <v>24391.697502382354</v>
      </c>
      <c r="W393" s="71">
        <v>111836.2</v>
      </c>
      <c r="X393" s="71">
        <v>116421.5</v>
      </c>
      <c r="Y393" s="972"/>
      <c r="Z393" s="974"/>
    </row>
    <row r="394" spans="1:27">
      <c r="A394" s="16" t="s">
        <v>64</v>
      </c>
      <c r="B394" s="546" t="s">
        <v>33</v>
      </c>
      <c r="C394" s="50">
        <v>176</v>
      </c>
      <c r="D394" s="335" t="s">
        <v>494</v>
      </c>
      <c r="E394" s="335" t="s">
        <v>495</v>
      </c>
      <c r="F394" s="50">
        <v>6100302810</v>
      </c>
      <c r="G394" s="50">
        <v>244</v>
      </c>
      <c r="H394" s="5">
        <f>111652.9</f>
        <v>111652.9</v>
      </c>
      <c r="I394" s="5">
        <v>20473.590063802498</v>
      </c>
      <c r="J394" s="5">
        <v>34130.629480328345</v>
      </c>
      <c r="K394" s="5">
        <v>18271.630814456708</v>
      </c>
      <c r="L394" s="5">
        <f t="shared" si="67"/>
        <v>21131.510279956317</v>
      </c>
      <c r="M394" s="70">
        <v>136082.6</v>
      </c>
      <c r="N394" s="70">
        <f t="shared" si="68"/>
        <v>31538.069845175745</v>
      </c>
      <c r="O394" s="70">
        <f t="shared" si="69"/>
        <v>49026.93494462315</v>
      </c>
      <c r="P394" s="70">
        <f t="shared" si="70"/>
        <v>27229.604685337032</v>
      </c>
      <c r="Q394" s="70">
        <f t="shared" si="71"/>
        <v>28287.990428343728</v>
      </c>
      <c r="R394" s="804">
        <v>125562.2</v>
      </c>
      <c r="S394" s="90">
        <f t="shared" si="72"/>
        <v>31887.433033155725</v>
      </c>
      <c r="T394" s="90">
        <f t="shared" si="73"/>
        <v>32988.230749051596</v>
      </c>
      <c r="U394" s="90">
        <f t="shared" si="74"/>
        <v>32160.332175680673</v>
      </c>
      <c r="V394" s="90">
        <f t="shared" si="75"/>
        <v>28620.190448959762</v>
      </c>
      <c r="W394" s="71">
        <v>130858.79999999999</v>
      </c>
      <c r="X394" s="71">
        <v>136224</v>
      </c>
      <c r="Y394" s="972"/>
      <c r="Z394" s="974"/>
    </row>
    <row r="395" spans="1:27">
      <c r="A395" s="16" t="s">
        <v>65</v>
      </c>
      <c r="B395" s="546" t="s">
        <v>33</v>
      </c>
      <c r="C395" s="50">
        <v>176</v>
      </c>
      <c r="D395" s="335" t="s">
        <v>494</v>
      </c>
      <c r="E395" s="335" t="s">
        <v>495</v>
      </c>
      <c r="F395" s="50">
        <v>6100302810</v>
      </c>
      <c r="G395" s="50">
        <v>244</v>
      </c>
      <c r="H395" s="5">
        <f>175749.4</f>
        <v>175749.4</v>
      </c>
      <c r="I395" s="5">
        <v>32226.849186713916</v>
      </c>
      <c r="J395" s="5">
        <v>53723.975398668721</v>
      </c>
      <c r="K395" s="5">
        <v>28760.812774789349</v>
      </c>
      <c r="L395" s="5">
        <f t="shared" si="67"/>
        <v>33262.461188165777</v>
      </c>
      <c r="M395" s="70">
        <v>219750</v>
      </c>
      <c r="N395" s="70">
        <f t="shared" si="68"/>
        <v>50928.559922263164</v>
      </c>
      <c r="O395" s="70">
        <f t="shared" si="69"/>
        <v>79170.069899318027</v>
      </c>
      <c r="P395" s="70">
        <f t="shared" si="70"/>
        <v>43971.129516946421</v>
      </c>
      <c r="Q395" s="70">
        <f t="shared" si="71"/>
        <v>45680.240505608614</v>
      </c>
      <c r="R395" s="804">
        <v>239651.7</v>
      </c>
      <c r="S395" s="90">
        <f t="shared" si="72"/>
        <v>60861.290539923059</v>
      </c>
      <c r="T395" s="90">
        <f t="shared" si="73"/>
        <v>62962.305367399495</v>
      </c>
      <c r="U395" s="90">
        <f t="shared" si="74"/>
        <v>61382.15385256528</v>
      </c>
      <c r="V395" s="90">
        <f t="shared" si="75"/>
        <v>54625.335454595181</v>
      </c>
      <c r="W395" s="71">
        <v>250147.09999999998</v>
      </c>
      <c r="X395" s="71">
        <v>320403.09999999998</v>
      </c>
      <c r="Y395" s="972"/>
      <c r="Z395" s="974"/>
    </row>
    <row r="396" spans="1:27">
      <c r="A396" s="16" t="s">
        <v>66</v>
      </c>
      <c r="B396" s="546" t="s">
        <v>33</v>
      </c>
      <c r="C396" s="50">
        <v>176</v>
      </c>
      <c r="D396" s="335" t="s">
        <v>494</v>
      </c>
      <c r="E396" s="335" t="s">
        <v>495</v>
      </c>
      <c r="F396" s="50">
        <v>6100302810</v>
      </c>
      <c r="G396" s="50">
        <v>244</v>
      </c>
      <c r="H396" s="5">
        <f>45922.1</f>
        <v>45922.1</v>
      </c>
      <c r="I396" s="5">
        <v>8420.6523096932069</v>
      </c>
      <c r="J396" s="5">
        <v>14037.702379952392</v>
      </c>
      <c r="K396" s="5">
        <v>7515.0010203457541</v>
      </c>
      <c r="L396" s="5">
        <f t="shared" si="67"/>
        <v>8691.2505472511857</v>
      </c>
      <c r="M396" s="70">
        <v>55389.7</v>
      </c>
      <c r="N396" s="70">
        <f t="shared" si="68"/>
        <v>12836.94041195076</v>
      </c>
      <c r="O396" s="70">
        <f t="shared" si="69"/>
        <v>19955.433086244622</v>
      </c>
      <c r="P396" s="70">
        <f t="shared" si="70"/>
        <v>11083.26585940754</v>
      </c>
      <c r="Q396" s="70">
        <f t="shared" si="71"/>
        <v>11514.060603110394</v>
      </c>
      <c r="R396" s="804">
        <v>59951.9</v>
      </c>
      <c r="S396" s="90">
        <f t="shared" si="72"/>
        <v>15225.220619425663</v>
      </c>
      <c r="T396" s="90">
        <f t="shared" si="73"/>
        <v>15750.816018228943</v>
      </c>
      <c r="U396" s="90">
        <f t="shared" si="74"/>
        <v>15355.521156551813</v>
      </c>
      <c r="V396" s="90">
        <f t="shared" si="75"/>
        <v>13665.217683164128</v>
      </c>
      <c r="W396" s="71">
        <v>65135.4</v>
      </c>
      <c r="X396" s="71">
        <v>66784.399999999994</v>
      </c>
      <c r="Y396" s="972"/>
      <c r="Z396" s="974"/>
    </row>
    <row r="397" spans="1:27">
      <c r="A397" s="16" t="s">
        <v>67</v>
      </c>
      <c r="B397" s="546" t="s">
        <v>33</v>
      </c>
      <c r="C397" s="50">
        <v>176</v>
      </c>
      <c r="D397" s="335" t="s">
        <v>494</v>
      </c>
      <c r="E397" s="335" t="s">
        <v>495</v>
      </c>
      <c r="F397" s="50">
        <v>6100302810</v>
      </c>
      <c r="G397" s="50">
        <v>244</v>
      </c>
      <c r="H397" s="5">
        <f>72478.2</f>
        <v>72478.2</v>
      </c>
      <c r="I397" s="5">
        <v>13290.19627221765</v>
      </c>
      <c r="J397" s="5">
        <v>22155.506839510072</v>
      </c>
      <c r="K397" s="5">
        <v>11860.819669675899</v>
      </c>
      <c r="L397" s="5">
        <f t="shared" si="67"/>
        <v>13717.277637864578</v>
      </c>
      <c r="M397" s="70">
        <v>89140.800000000003</v>
      </c>
      <c r="N397" s="70">
        <f t="shared" si="68"/>
        <v>20658.987823974861</v>
      </c>
      <c r="O397" s="70">
        <f t="shared" si="69"/>
        <v>32115.055139390806</v>
      </c>
      <c r="P397" s="70">
        <f t="shared" si="70"/>
        <v>17836.731112829206</v>
      </c>
      <c r="Q397" s="70">
        <f t="shared" si="71"/>
        <v>18530.02586057955</v>
      </c>
      <c r="R397" s="804">
        <v>91542.8</v>
      </c>
      <c r="S397" s="90">
        <f t="shared" si="72"/>
        <v>23247.959215970794</v>
      </c>
      <c r="T397" s="90">
        <f t="shared" si="73"/>
        <v>24050.510502478293</v>
      </c>
      <c r="U397" s="90">
        <f t="shared" si="74"/>
        <v>23446.919983019576</v>
      </c>
      <c r="V397" s="90">
        <f t="shared" si="75"/>
        <v>20865.932344535489</v>
      </c>
      <c r="W397" s="71">
        <v>95568.3</v>
      </c>
      <c r="X397" s="71">
        <v>99486.599999999991</v>
      </c>
      <c r="Y397" s="972"/>
      <c r="Z397" s="974"/>
    </row>
    <row r="398" spans="1:27">
      <c r="A398" s="16" t="s">
        <v>68</v>
      </c>
      <c r="B398" s="546" t="s">
        <v>33</v>
      </c>
      <c r="C398" s="50">
        <v>176</v>
      </c>
      <c r="D398" s="335" t="s">
        <v>494</v>
      </c>
      <c r="E398" s="335" t="s">
        <v>495</v>
      </c>
      <c r="F398" s="50">
        <v>6100302810</v>
      </c>
      <c r="G398" s="50">
        <v>244</v>
      </c>
      <c r="H398" s="5">
        <v>64941.3</v>
      </c>
      <c r="I398" s="5">
        <v>11557.770296673862</v>
      </c>
      <c r="J398" s="5">
        <v>19267.455018157951</v>
      </c>
      <c r="K398" s="5">
        <v>10314.718192608811</v>
      </c>
      <c r="L398" s="5">
        <f t="shared" si="67"/>
        <v>12290.838379869465</v>
      </c>
      <c r="M398" s="70">
        <v>76108.100000000006</v>
      </c>
      <c r="N398" s="70">
        <f t="shared" si="68"/>
        <v>17638.570791442991</v>
      </c>
      <c r="O398" s="70">
        <f t="shared" si="69"/>
        <v>27419.72057749391</v>
      </c>
      <c r="P398" s="70">
        <f t="shared" si="70"/>
        <v>15228.937985841685</v>
      </c>
      <c r="Q398" s="70">
        <f t="shared" si="71"/>
        <v>15820.87059123964</v>
      </c>
      <c r="R398" s="804">
        <v>111065.40000000001</v>
      </c>
      <c r="S398" s="90">
        <f t="shared" si="72"/>
        <v>28205.865338458982</v>
      </c>
      <c r="T398" s="90">
        <f t="shared" si="73"/>
        <v>29179.570312050244</v>
      </c>
      <c r="U398" s="90">
        <f t="shared" si="74"/>
        <v>28447.256875276511</v>
      </c>
      <c r="V398" s="90">
        <f t="shared" si="75"/>
        <v>25315.842668334069</v>
      </c>
      <c r="W398" s="71">
        <v>115875.1</v>
      </c>
      <c r="X398" s="71">
        <v>120626</v>
      </c>
      <c r="Y398" s="972"/>
      <c r="Z398" s="974"/>
    </row>
    <row r="399" spans="1:27">
      <c r="A399" s="16" t="s">
        <v>69</v>
      </c>
      <c r="B399" s="546" t="s">
        <v>33</v>
      </c>
      <c r="C399" s="50">
        <v>176</v>
      </c>
      <c r="D399" s="335" t="s">
        <v>494</v>
      </c>
      <c r="E399" s="335" t="s">
        <v>495</v>
      </c>
      <c r="F399" s="50">
        <v>6100302810</v>
      </c>
      <c r="G399" s="50">
        <v>244</v>
      </c>
      <c r="H399" s="5">
        <f>70365.7</f>
        <v>70365.7</v>
      </c>
      <c r="I399" s="5">
        <v>12902.830973064805</v>
      </c>
      <c r="J399" s="5">
        <v>21509.747035893739</v>
      </c>
      <c r="K399" s="5">
        <v>11515.115974603583</v>
      </c>
      <c r="L399" s="5">
        <f t="shared" si="67"/>
        <v>13317.464328345455</v>
      </c>
      <c r="M399" s="70">
        <v>88270.1</v>
      </c>
      <c r="N399" s="70">
        <f t="shared" si="68"/>
        <v>20457.197165843743</v>
      </c>
      <c r="O399" s="70">
        <f t="shared" si="69"/>
        <v>31801.365128645244</v>
      </c>
      <c r="P399" s="70">
        <f t="shared" si="70"/>
        <v>17662.50739282736</v>
      </c>
      <c r="Q399" s="70">
        <f t="shared" si="71"/>
        <v>18349.030250075644</v>
      </c>
      <c r="R399" s="804">
        <v>119230.6</v>
      </c>
      <c r="S399" s="90">
        <f t="shared" si="72"/>
        <v>30279.477207336102</v>
      </c>
      <c r="T399" s="90">
        <f t="shared" si="73"/>
        <v>31324.766093202183</v>
      </c>
      <c r="U399" s="90">
        <f t="shared" si="74"/>
        <v>30538.615136607292</v>
      </c>
      <c r="V399" s="90">
        <f t="shared" si="75"/>
        <v>27176.988610774122</v>
      </c>
      <c r="W399" s="71">
        <v>124379.3</v>
      </c>
      <c r="X399" s="71">
        <v>129478.8</v>
      </c>
      <c r="Y399" s="972"/>
      <c r="Z399" s="974"/>
    </row>
    <row r="400" spans="1:27">
      <c r="A400" s="16" t="s">
        <v>70</v>
      </c>
      <c r="B400" s="546" t="s">
        <v>33</v>
      </c>
      <c r="C400" s="50">
        <v>176</v>
      </c>
      <c r="D400" s="335" t="s">
        <v>494</v>
      </c>
      <c r="E400" s="335" t="s">
        <v>495</v>
      </c>
      <c r="F400" s="50">
        <v>6100302810</v>
      </c>
      <c r="G400" s="50">
        <v>244</v>
      </c>
      <c r="H400" s="5">
        <f>57216.1</f>
        <v>57216.1</v>
      </c>
      <c r="I400" s="5">
        <v>10491.612635672966</v>
      </c>
      <c r="J400" s="5">
        <v>17490.110059025916</v>
      </c>
      <c r="K400" s="5">
        <v>9363.2270710661032</v>
      </c>
      <c r="L400" s="5">
        <f t="shared" si="67"/>
        <v>10828.761324864905</v>
      </c>
      <c r="M400" s="70">
        <v>71973.7</v>
      </c>
      <c r="N400" s="70">
        <f t="shared" si="68"/>
        <v>16680.395418780397</v>
      </c>
      <c r="O400" s="70">
        <f t="shared" si="69"/>
        <v>25930.206415984278</v>
      </c>
      <c r="P400" s="70">
        <f t="shared" si="70"/>
        <v>14401.660452850267</v>
      </c>
      <c r="Q400" s="70">
        <f t="shared" si="71"/>
        <v>14961.437661335711</v>
      </c>
      <c r="R400" s="804">
        <v>81317.5</v>
      </c>
      <c r="S400" s="90">
        <f t="shared" si="72"/>
        <v>20651.169983272361</v>
      </c>
      <c r="T400" s="90">
        <f t="shared" si="73"/>
        <v>21364.076560748403</v>
      </c>
      <c r="U400" s="90">
        <f t="shared" si="74"/>
        <v>20827.906899496131</v>
      </c>
      <c r="V400" s="90">
        <f t="shared" si="75"/>
        <v>18535.214712973218</v>
      </c>
      <c r="W400" s="71">
        <v>84711</v>
      </c>
      <c r="X400" s="71">
        <v>88184.2</v>
      </c>
      <c r="Y400" s="972"/>
      <c r="Z400" s="974"/>
      <c r="AA400" s="313" t="e">
        <f>#REF!-R402-R403-R408</f>
        <v>#REF!</v>
      </c>
    </row>
    <row r="401" spans="1:32">
      <c r="A401" s="16" t="s">
        <v>71</v>
      </c>
      <c r="B401" s="546" t="s">
        <v>33</v>
      </c>
      <c r="C401" s="50">
        <v>176</v>
      </c>
      <c r="D401" s="335" t="s">
        <v>494</v>
      </c>
      <c r="E401" s="335" t="s">
        <v>495</v>
      </c>
      <c r="F401" s="50">
        <v>6100302810</v>
      </c>
      <c r="G401" s="50">
        <v>244</v>
      </c>
      <c r="H401" s="5">
        <f>58329.3</f>
        <v>58329.3</v>
      </c>
      <c r="I401" s="5">
        <v>10695.738103609983</v>
      </c>
      <c r="J401" s="5">
        <v>17830.398728084238</v>
      </c>
      <c r="K401" s="5">
        <v>9545.3985992812522</v>
      </c>
      <c r="L401" s="5">
        <f t="shared" si="67"/>
        <v>11039.446378666888</v>
      </c>
      <c r="M401" s="70">
        <v>71199.600000000006</v>
      </c>
      <c r="N401" s="70">
        <f>M401*653500.912/2819770</f>
        <v>16500.99246890179</v>
      </c>
      <c r="O401" s="70">
        <f t="shared" si="69"/>
        <v>25651.318811392419</v>
      </c>
      <c r="P401" s="70">
        <f t="shared" si="70"/>
        <v>14246.766021182155</v>
      </c>
      <c r="Q401" s="70">
        <f t="shared" si="71"/>
        <v>14800.52264802335</v>
      </c>
      <c r="R401" s="804">
        <v>84984.7</v>
      </c>
      <c r="S401" s="90">
        <f t="shared" si="72"/>
        <v>21582.482069387359</v>
      </c>
      <c r="T401" s="90">
        <f t="shared" si="73"/>
        <v>22327.538811353454</v>
      </c>
      <c r="U401" s="90">
        <f t="shared" si="74"/>
        <v>21767.189344010931</v>
      </c>
      <c r="V401" s="90">
        <f t="shared" si="75"/>
        <v>19371.10292148203</v>
      </c>
      <c r="W401" s="71">
        <v>88715.7</v>
      </c>
      <c r="X401" s="71">
        <v>92353.1</v>
      </c>
      <c r="Y401" s="972"/>
      <c r="Z401" s="940"/>
      <c r="AA401" s="313" t="e">
        <f>#REF!-S402-S403-S404</f>
        <v>#REF!</v>
      </c>
    </row>
    <row r="402" spans="1:32" ht="146.25" customHeight="1">
      <c r="A402" s="53" t="s">
        <v>32</v>
      </c>
      <c r="B402" s="545" t="s">
        <v>33</v>
      </c>
      <c r="C402" s="341">
        <v>176</v>
      </c>
      <c r="D402" s="342" t="s">
        <v>494</v>
      </c>
      <c r="E402" s="342" t="s">
        <v>495</v>
      </c>
      <c r="F402" s="341">
        <v>6100302810</v>
      </c>
      <c r="G402" s="341">
        <v>244.85300000000001</v>
      </c>
      <c r="H402" s="17">
        <f>SUM(I402:L402)</f>
        <v>72422.377000000008</v>
      </c>
      <c r="I402" s="17">
        <v>24739.4</v>
      </c>
      <c r="J402" s="17">
        <v>12794.4</v>
      </c>
      <c r="K402" s="17">
        <v>24900.377</v>
      </c>
      <c r="L402" s="17">
        <v>9988.2000000000007</v>
      </c>
      <c r="M402" s="71">
        <v>134000</v>
      </c>
      <c r="N402" s="71">
        <f>5121.436</f>
        <v>5121.4359999999997</v>
      </c>
      <c r="O402" s="71">
        <v>49851.529000000002</v>
      </c>
      <c r="P402" s="71">
        <v>21576.395</v>
      </c>
      <c r="Q402" s="71">
        <f>48288.623+9162</f>
        <v>57450.623</v>
      </c>
      <c r="R402" s="512">
        <v>214307.5</v>
      </c>
      <c r="S402" s="90">
        <v>23034.799999999999</v>
      </c>
      <c r="T402" s="90">
        <v>37736.400000000001</v>
      </c>
      <c r="U402" s="90">
        <v>37881.699999999997</v>
      </c>
      <c r="V402" s="90">
        <f>R402-S402-T402-U402</f>
        <v>115654.60000000002</v>
      </c>
      <c r="W402" s="71">
        <v>184533.1</v>
      </c>
      <c r="X402" s="71">
        <v>304084.2</v>
      </c>
      <c r="Y402" s="972"/>
      <c r="Z402" s="529" t="s">
        <v>480</v>
      </c>
      <c r="AA402" s="313" t="e">
        <f>#REF!-T402-T403</f>
        <v>#REF!</v>
      </c>
      <c r="AF402" s="76"/>
    </row>
    <row r="403" spans="1:32" ht="103.5" customHeight="1">
      <c r="A403" s="53" t="s">
        <v>72</v>
      </c>
      <c r="B403" s="545" t="s">
        <v>33</v>
      </c>
      <c r="C403" s="372">
        <v>176</v>
      </c>
      <c r="D403" s="342" t="s">
        <v>494</v>
      </c>
      <c r="E403" s="342" t="s">
        <v>495</v>
      </c>
      <c r="F403" s="372">
        <v>6100302810</v>
      </c>
      <c r="G403" s="372">
        <v>244</v>
      </c>
      <c r="H403" s="17">
        <v>2500</v>
      </c>
      <c r="I403" s="17">
        <v>0</v>
      </c>
      <c r="J403" s="17">
        <v>850</v>
      </c>
      <c r="K403" s="17">
        <v>1025</v>
      </c>
      <c r="L403" s="17">
        <v>625</v>
      </c>
      <c r="M403" s="71">
        <v>2665</v>
      </c>
      <c r="N403" s="71"/>
      <c r="O403" s="71">
        <v>906.1</v>
      </c>
      <c r="P403" s="71">
        <v>666.25</v>
      </c>
      <c r="Q403" s="71">
        <v>1092.6500000000001</v>
      </c>
      <c r="R403" s="71">
        <v>2665</v>
      </c>
      <c r="S403" s="90">
        <v>241.25</v>
      </c>
      <c r="T403" s="90">
        <v>1091.25</v>
      </c>
      <c r="U403" s="90">
        <v>666.25</v>
      </c>
      <c r="V403" s="90">
        <v>666.25</v>
      </c>
      <c r="W403" s="71">
        <v>2665</v>
      </c>
      <c r="X403" s="71">
        <v>2665</v>
      </c>
      <c r="Y403" s="973"/>
      <c r="Z403" s="345" t="s">
        <v>507</v>
      </c>
      <c r="AA403" s="313" t="e">
        <f>#REF!-U402-U403</f>
        <v>#REF!</v>
      </c>
    </row>
    <row r="404" spans="1:32" ht="24" hidden="1" customHeight="1">
      <c r="A404" s="329" t="s">
        <v>208</v>
      </c>
      <c r="B404" s="546" t="s">
        <v>33</v>
      </c>
      <c r="C404" s="50">
        <v>176</v>
      </c>
      <c r="D404" s="335" t="s">
        <v>494</v>
      </c>
      <c r="E404" s="335" t="s">
        <v>495</v>
      </c>
      <c r="F404" s="50">
        <v>6100302810</v>
      </c>
      <c r="G404" s="50">
        <v>244</v>
      </c>
      <c r="H404" s="23">
        <v>216211.6</v>
      </c>
      <c r="I404" s="23">
        <v>216211.6</v>
      </c>
      <c r="J404" s="23"/>
      <c r="K404" s="23"/>
      <c r="L404" s="23"/>
      <c r="M404" s="65">
        <v>10944.1</v>
      </c>
      <c r="N404" s="65">
        <v>10944.1</v>
      </c>
      <c r="O404" s="65"/>
      <c r="P404" s="65"/>
      <c r="Q404" s="65"/>
      <c r="R404" s="65"/>
      <c r="S404" s="86"/>
      <c r="T404" s="86"/>
      <c r="U404" s="86"/>
      <c r="V404" s="86"/>
      <c r="W404" s="65"/>
      <c r="X404" s="65"/>
      <c r="Y404" s="50"/>
      <c r="Z404" s="50" t="s">
        <v>477</v>
      </c>
      <c r="AA404" s="313" t="e">
        <f>#REF!-V402-V403</f>
        <v>#REF!</v>
      </c>
    </row>
    <row r="405" spans="1:32" ht="18" hidden="1" customHeight="1">
      <c r="A405" s="52"/>
      <c r="B405" s="546"/>
      <c r="C405" s="50"/>
      <c r="D405" s="335"/>
      <c r="E405" s="50"/>
      <c r="F405" s="50"/>
      <c r="G405" s="50"/>
      <c r="H405" s="25"/>
      <c r="I405" s="25"/>
      <c r="J405" s="25"/>
      <c r="K405" s="25"/>
      <c r="L405" s="25"/>
      <c r="M405" s="65"/>
      <c r="N405" s="65"/>
      <c r="O405" s="65"/>
      <c r="P405" s="65"/>
      <c r="Q405" s="65"/>
      <c r="R405" s="65"/>
      <c r="S405" s="86"/>
      <c r="T405" s="86"/>
      <c r="U405" s="86"/>
      <c r="V405" s="86"/>
      <c r="W405" s="65"/>
      <c r="X405" s="65"/>
      <c r="Y405" s="50"/>
      <c r="Z405" s="50"/>
    </row>
    <row r="406" spans="1:32" s="82" customFormat="1" ht="26.45" customHeight="1">
      <c r="A406" s="979" t="s">
        <v>1054</v>
      </c>
      <c r="B406" s="554" t="s">
        <v>670</v>
      </c>
      <c r="C406" s="337"/>
      <c r="D406" s="337"/>
      <c r="E406" s="337"/>
      <c r="F406" s="337"/>
      <c r="G406" s="337"/>
      <c r="H406" s="338"/>
      <c r="I406" s="337"/>
      <c r="J406" s="337"/>
      <c r="K406" s="337"/>
      <c r="L406" s="338"/>
      <c r="M406" s="84"/>
      <c r="N406" s="84"/>
      <c r="O406" s="84"/>
      <c r="P406" s="84"/>
      <c r="Q406" s="84"/>
      <c r="R406" s="63"/>
      <c r="S406" s="84"/>
      <c r="T406" s="84"/>
      <c r="U406" s="84"/>
      <c r="V406" s="84"/>
      <c r="W406" s="63"/>
      <c r="X406" s="84"/>
      <c r="Y406" s="955" t="s">
        <v>26</v>
      </c>
      <c r="Z406" s="939" t="s">
        <v>1055</v>
      </c>
      <c r="AA406" s="540"/>
    </row>
    <row r="407" spans="1:32" s="82" customFormat="1" ht="22.5" customHeight="1">
      <c r="A407" s="980"/>
      <c r="B407" s="554" t="s">
        <v>500</v>
      </c>
      <c r="C407" s="337"/>
      <c r="D407" s="337"/>
      <c r="E407" s="337"/>
      <c r="F407" s="337"/>
      <c r="G407" s="337"/>
      <c r="H407" s="339"/>
      <c r="I407" s="339"/>
      <c r="J407" s="339"/>
      <c r="K407" s="339"/>
      <c r="L407" s="339"/>
      <c r="M407" s="85"/>
      <c r="N407" s="85"/>
      <c r="O407" s="85"/>
      <c r="P407" s="85"/>
      <c r="Q407" s="85"/>
      <c r="R407" s="49"/>
      <c r="S407" s="85"/>
      <c r="T407" s="85"/>
      <c r="U407" s="85"/>
      <c r="V407" s="85"/>
      <c r="W407" s="49"/>
      <c r="X407" s="85"/>
      <c r="Y407" s="956"/>
      <c r="Z407" s="974"/>
      <c r="AA407" s="540"/>
    </row>
    <row r="408" spans="1:32" s="82" customFormat="1" ht="30.75" customHeight="1">
      <c r="A408" s="980"/>
      <c r="B408" s="554" t="s">
        <v>501</v>
      </c>
      <c r="C408" s="337">
        <v>176</v>
      </c>
      <c r="D408" s="340" t="s">
        <v>494</v>
      </c>
      <c r="E408" s="340" t="s">
        <v>495</v>
      </c>
      <c r="F408" s="337">
        <v>6100302810</v>
      </c>
      <c r="G408" s="337">
        <v>244</v>
      </c>
      <c r="H408" s="339"/>
      <c r="I408" s="339"/>
      <c r="J408" s="339"/>
      <c r="K408" s="339"/>
      <c r="L408" s="339"/>
      <c r="M408" s="85"/>
      <c r="N408" s="85"/>
      <c r="O408" s="85"/>
      <c r="P408" s="85"/>
      <c r="Q408" s="85"/>
      <c r="R408" s="49">
        <f>R410</f>
        <v>34176.300000000003</v>
      </c>
      <c r="S408" s="85">
        <f>S410</f>
        <v>34176.300000000003</v>
      </c>
      <c r="T408" s="85"/>
      <c r="U408" s="85"/>
      <c r="V408" s="85"/>
      <c r="W408" s="49"/>
      <c r="X408" s="85"/>
      <c r="Y408" s="956"/>
      <c r="Z408" s="974"/>
      <c r="AA408" s="540"/>
    </row>
    <row r="409" spans="1:32" s="82" customFormat="1" ht="25.5" customHeight="1">
      <c r="A409" s="980"/>
      <c r="B409" s="554" t="s">
        <v>502</v>
      </c>
      <c r="C409" s="337"/>
      <c r="D409" s="337"/>
      <c r="E409" s="340"/>
      <c r="F409" s="337"/>
      <c r="G409" s="337"/>
      <c r="H409" s="339"/>
      <c r="I409" s="339"/>
      <c r="J409" s="339"/>
      <c r="K409" s="339"/>
      <c r="L409" s="339"/>
      <c r="M409" s="85"/>
      <c r="N409" s="85"/>
      <c r="O409" s="85"/>
      <c r="P409" s="85"/>
      <c r="Q409" s="85"/>
      <c r="R409" s="85"/>
      <c r="S409" s="85"/>
      <c r="T409" s="85"/>
      <c r="U409" s="85"/>
      <c r="V409" s="85"/>
      <c r="W409" s="49"/>
      <c r="X409" s="85"/>
      <c r="Y409" s="956"/>
      <c r="Z409" s="974"/>
      <c r="AA409" s="540"/>
    </row>
    <row r="410" spans="1:32" s="82" customFormat="1" ht="25.5" customHeight="1">
      <c r="A410" s="980"/>
      <c r="B410" s="555" t="s">
        <v>249</v>
      </c>
      <c r="C410" s="337">
        <v>176</v>
      </c>
      <c r="D410" s="340" t="s">
        <v>494</v>
      </c>
      <c r="E410" s="340" t="s">
        <v>495</v>
      </c>
      <c r="F410" s="337">
        <v>6100302810</v>
      </c>
      <c r="G410" s="337">
        <v>244</v>
      </c>
      <c r="H410" s="339"/>
      <c r="I410" s="339"/>
      <c r="J410" s="339"/>
      <c r="K410" s="339"/>
      <c r="L410" s="339"/>
      <c r="M410" s="85"/>
      <c r="N410" s="85"/>
      <c r="O410" s="85"/>
      <c r="P410" s="85"/>
      <c r="Q410" s="85"/>
      <c r="R410" s="85">
        <f>S410</f>
        <v>34176.300000000003</v>
      </c>
      <c r="S410" s="801">
        <v>34176.300000000003</v>
      </c>
      <c r="T410" s="85"/>
      <c r="U410" s="85"/>
      <c r="V410" s="85"/>
      <c r="W410" s="49"/>
      <c r="X410" s="85"/>
      <c r="Y410" s="956"/>
      <c r="Z410" s="974"/>
      <c r="AA410" s="540"/>
    </row>
    <row r="411" spans="1:32" s="82" customFormat="1" ht="24" customHeight="1">
      <c r="A411" s="980"/>
      <c r="B411" s="554" t="s">
        <v>442</v>
      </c>
      <c r="C411" s="337"/>
      <c r="D411" s="340"/>
      <c r="E411" s="340"/>
      <c r="F411" s="337"/>
      <c r="G411" s="337"/>
      <c r="H411" s="339"/>
      <c r="I411" s="339"/>
      <c r="J411" s="339"/>
      <c r="K411" s="339"/>
      <c r="L411" s="339"/>
      <c r="M411" s="85"/>
      <c r="N411" s="85"/>
      <c r="O411" s="85"/>
      <c r="P411" s="85"/>
      <c r="Q411" s="85"/>
      <c r="R411" s="85"/>
      <c r="S411" s="85"/>
      <c r="T411" s="85"/>
      <c r="U411" s="85"/>
      <c r="V411" s="85"/>
      <c r="W411" s="49"/>
      <c r="X411" s="85"/>
      <c r="Y411" s="956"/>
      <c r="Z411" s="974"/>
      <c r="AA411" s="540"/>
    </row>
    <row r="412" spans="1:32" s="82" customFormat="1" ht="30" customHeight="1">
      <c r="A412" s="980"/>
      <c r="B412" s="554" t="s">
        <v>454</v>
      </c>
      <c r="C412" s="337"/>
      <c r="D412" s="340"/>
      <c r="E412" s="340"/>
      <c r="F412" s="337"/>
      <c r="G412" s="337"/>
      <c r="H412" s="339"/>
      <c r="I412" s="339"/>
      <c r="J412" s="339"/>
      <c r="K412" s="339"/>
      <c r="L412" s="339"/>
      <c r="M412" s="85"/>
      <c r="N412" s="85"/>
      <c r="O412" s="85"/>
      <c r="P412" s="85"/>
      <c r="Q412" s="85"/>
      <c r="R412" s="85"/>
      <c r="S412" s="85"/>
      <c r="T412" s="85"/>
      <c r="U412" s="85"/>
      <c r="V412" s="85"/>
      <c r="W412" s="49"/>
      <c r="X412" s="85"/>
      <c r="Y412" s="956"/>
      <c r="Z412" s="974"/>
      <c r="AA412" s="540"/>
    </row>
    <row r="413" spans="1:32" s="82" customFormat="1" ht="30" customHeight="1">
      <c r="A413" s="981"/>
      <c r="B413" s="554" t="s">
        <v>1061</v>
      </c>
      <c r="C413" s="337"/>
      <c r="D413" s="340"/>
      <c r="E413" s="340"/>
      <c r="F413" s="337"/>
      <c r="G413" s="337"/>
      <c r="H413" s="339"/>
      <c r="I413" s="339"/>
      <c r="J413" s="339"/>
      <c r="K413" s="339"/>
      <c r="L413" s="339"/>
      <c r="M413" s="85"/>
      <c r="N413" s="85"/>
      <c r="O413" s="85"/>
      <c r="P413" s="85"/>
      <c r="Q413" s="85"/>
      <c r="R413" s="85"/>
      <c r="S413" s="85"/>
      <c r="T413" s="85"/>
      <c r="U413" s="85"/>
      <c r="V413" s="85"/>
      <c r="W413" s="49"/>
      <c r="X413" s="85"/>
      <c r="Y413" s="814"/>
      <c r="Z413" s="810"/>
      <c r="AA413" s="540"/>
    </row>
    <row r="414" spans="1:32" ht="28.15" customHeight="1">
      <c r="A414" s="982" t="s">
        <v>740</v>
      </c>
      <c r="B414" s="547" t="s">
        <v>770</v>
      </c>
      <c r="C414" s="11"/>
      <c r="D414" s="127"/>
      <c r="E414" s="11"/>
      <c r="F414" s="11"/>
      <c r="G414" s="11"/>
      <c r="H414" s="12">
        <v>0</v>
      </c>
      <c r="I414" s="12">
        <v>0</v>
      </c>
      <c r="J414" s="12">
        <v>0</v>
      </c>
      <c r="K414" s="12">
        <v>0</v>
      </c>
      <c r="L414" s="12">
        <v>0</v>
      </c>
      <c r="M414" s="49" t="s">
        <v>279</v>
      </c>
      <c r="N414" s="49"/>
      <c r="O414" s="49"/>
      <c r="P414" s="49"/>
      <c r="Q414" s="49"/>
      <c r="R414" s="85" t="s">
        <v>279</v>
      </c>
      <c r="S414" s="85"/>
      <c r="T414" s="85"/>
      <c r="U414" s="85"/>
      <c r="V414" s="85"/>
      <c r="W414" s="49" t="s">
        <v>279</v>
      </c>
      <c r="X414" s="49"/>
      <c r="Y414" s="971" t="s">
        <v>26</v>
      </c>
      <c r="Z414" s="971" t="s">
        <v>458</v>
      </c>
    </row>
    <row r="415" spans="1:32" ht="43.5" customHeight="1">
      <c r="A415" s="983"/>
      <c r="B415" s="547" t="s">
        <v>24</v>
      </c>
      <c r="C415" s="11"/>
      <c r="D415" s="127"/>
      <c r="E415" s="11"/>
      <c r="F415" s="11"/>
      <c r="G415" s="11"/>
      <c r="H415" s="12">
        <v>0</v>
      </c>
      <c r="I415" s="12">
        <v>0</v>
      </c>
      <c r="J415" s="12">
        <v>0</v>
      </c>
      <c r="K415" s="12">
        <v>0</v>
      </c>
      <c r="L415" s="12">
        <v>0</v>
      </c>
      <c r="M415" s="49"/>
      <c r="N415" s="49"/>
      <c r="O415" s="49"/>
      <c r="P415" s="49"/>
      <c r="Q415" s="49"/>
      <c r="R415" s="85"/>
      <c r="S415" s="85" t="s">
        <v>496</v>
      </c>
      <c r="T415" s="85" t="s">
        <v>496</v>
      </c>
      <c r="U415" s="85" t="s">
        <v>496</v>
      </c>
      <c r="V415" s="85" t="s">
        <v>496</v>
      </c>
      <c r="W415" s="49"/>
      <c r="X415" s="49"/>
      <c r="Y415" s="972"/>
      <c r="Z415" s="972"/>
    </row>
    <row r="416" spans="1:32" ht="32.25" customHeight="1">
      <c r="A416" s="983"/>
      <c r="B416" s="547" t="s">
        <v>25</v>
      </c>
      <c r="C416" s="11">
        <v>176</v>
      </c>
      <c r="D416" s="127" t="s">
        <v>494</v>
      </c>
      <c r="E416" s="127" t="s">
        <v>495</v>
      </c>
      <c r="F416" s="11">
        <v>6100302810</v>
      </c>
      <c r="G416" s="11">
        <v>244</v>
      </c>
      <c r="H416" s="12">
        <f t="shared" ref="H416:V416" si="76">H418</f>
        <v>14155.5</v>
      </c>
      <c r="I416" s="12">
        <f t="shared" si="76"/>
        <v>3285.7</v>
      </c>
      <c r="J416" s="12">
        <f t="shared" si="76"/>
        <v>0</v>
      </c>
      <c r="K416" s="12">
        <f t="shared" si="76"/>
        <v>3538.9</v>
      </c>
      <c r="L416" s="12">
        <f t="shared" si="76"/>
        <v>7330.9</v>
      </c>
      <c r="M416" s="49">
        <f t="shared" si="76"/>
        <v>20000</v>
      </c>
      <c r="N416" s="49">
        <f t="shared" si="76"/>
        <v>3647.3</v>
      </c>
      <c r="O416" s="49">
        <f t="shared" si="76"/>
        <v>1070.7</v>
      </c>
      <c r="P416" s="49">
        <f t="shared" si="76"/>
        <v>192</v>
      </c>
      <c r="Q416" s="49">
        <f t="shared" si="76"/>
        <v>15090</v>
      </c>
      <c r="R416" s="85">
        <f t="shared" si="76"/>
        <v>20000.2</v>
      </c>
      <c r="S416" s="85">
        <f t="shared" si="76"/>
        <v>5954.0946000000004</v>
      </c>
      <c r="T416" s="85">
        <f t="shared" si="76"/>
        <v>8647.9753000000001</v>
      </c>
      <c r="U416" s="85">
        <f t="shared" si="76"/>
        <v>5398.1300600000004</v>
      </c>
      <c r="V416" s="85">
        <f t="shared" si="76"/>
        <v>3.9999999899009708E-5</v>
      </c>
      <c r="W416" s="49">
        <f>W418</f>
        <v>20000</v>
      </c>
      <c r="X416" s="49">
        <f>X418</f>
        <v>20000</v>
      </c>
      <c r="Y416" s="972"/>
      <c r="Z416" s="972"/>
    </row>
    <row r="417" spans="1:26">
      <c r="A417" s="983"/>
      <c r="B417" s="547" t="s">
        <v>9</v>
      </c>
      <c r="C417" s="11"/>
      <c r="D417" s="127"/>
      <c r="E417" s="127"/>
      <c r="F417" s="11"/>
      <c r="G417" s="11"/>
      <c r="H417" s="12"/>
      <c r="I417" s="12"/>
      <c r="J417" s="12"/>
      <c r="K417" s="12"/>
      <c r="L417" s="12"/>
      <c r="M417" s="49"/>
      <c r="N417" s="49"/>
      <c r="O417" s="49"/>
      <c r="P417" s="49"/>
      <c r="Q417" s="49"/>
      <c r="R417" s="85"/>
      <c r="S417" s="85"/>
      <c r="T417" s="85"/>
      <c r="U417" s="85"/>
      <c r="V417" s="85"/>
      <c r="W417" s="49"/>
      <c r="X417" s="49"/>
      <c r="Y417" s="972"/>
      <c r="Z417" s="972"/>
    </row>
    <row r="418" spans="1:26" ht="34.5" customHeight="1">
      <c r="A418" s="983"/>
      <c r="B418" s="547" t="s">
        <v>10</v>
      </c>
      <c r="C418" s="11">
        <v>176</v>
      </c>
      <c r="D418" s="127" t="s">
        <v>494</v>
      </c>
      <c r="E418" s="127" t="s">
        <v>495</v>
      </c>
      <c r="F418" s="11">
        <v>6100302810</v>
      </c>
      <c r="G418" s="11">
        <v>244</v>
      </c>
      <c r="H418" s="12">
        <f>SUM(I418:L418)</f>
        <v>14155.5</v>
      </c>
      <c r="I418" s="12">
        <v>3285.7</v>
      </c>
      <c r="J418" s="12"/>
      <c r="K418" s="12">
        <v>3538.9</v>
      </c>
      <c r="L418" s="12">
        <v>7330.9</v>
      </c>
      <c r="M418" s="49">
        <v>20000</v>
      </c>
      <c r="N418" s="49">
        <v>3647.3</v>
      </c>
      <c r="O418" s="49">
        <v>1070.7</v>
      </c>
      <c r="P418" s="49">
        <v>192</v>
      </c>
      <c r="Q418" s="49">
        <v>15090</v>
      </c>
      <c r="R418" s="85">
        <v>20000.2</v>
      </c>
      <c r="S418" s="85">
        <v>5954.0946000000004</v>
      </c>
      <c r="T418" s="85">
        <v>8647.9753000000001</v>
      </c>
      <c r="U418" s="85">
        <v>5398.1300600000004</v>
      </c>
      <c r="V418" s="85">
        <f>R418-S418-T418-U418</f>
        <v>3.9999999899009708E-5</v>
      </c>
      <c r="W418" s="49">
        <v>20000</v>
      </c>
      <c r="X418" s="49">
        <v>20000</v>
      </c>
      <c r="Y418" s="972"/>
      <c r="Z418" s="972"/>
    </row>
    <row r="419" spans="1:26" ht="32.25" customHeight="1">
      <c r="A419" s="33"/>
      <c r="B419" s="547" t="s">
        <v>443</v>
      </c>
      <c r="C419" s="11"/>
      <c r="D419" s="127"/>
      <c r="E419" s="127"/>
      <c r="F419" s="11"/>
      <c r="G419" s="11"/>
      <c r="H419" s="12">
        <v>0</v>
      </c>
      <c r="I419" s="12">
        <v>0</v>
      </c>
      <c r="J419" s="12">
        <v>0</v>
      </c>
      <c r="K419" s="12">
        <v>0</v>
      </c>
      <c r="L419" s="12">
        <v>0</v>
      </c>
      <c r="M419" s="49"/>
      <c r="N419" s="49"/>
      <c r="O419" s="49"/>
      <c r="P419" s="49"/>
      <c r="Q419" s="49"/>
      <c r="R419" s="85"/>
      <c r="S419" s="85"/>
      <c r="T419" s="85"/>
      <c r="U419" s="85"/>
      <c r="V419" s="85"/>
      <c r="W419" s="49"/>
      <c r="X419" s="49"/>
      <c r="Y419" s="31"/>
      <c r="Z419" s="972"/>
    </row>
    <row r="420" spans="1:26" ht="31.5" customHeight="1">
      <c r="A420" s="33"/>
      <c r="B420" s="547" t="s">
        <v>11</v>
      </c>
      <c r="C420" s="11"/>
      <c r="D420" s="127"/>
      <c r="E420" s="127"/>
      <c r="F420" s="11"/>
      <c r="G420" s="11"/>
      <c r="H420" s="12">
        <v>0</v>
      </c>
      <c r="I420" s="12">
        <v>0</v>
      </c>
      <c r="J420" s="12">
        <v>0</v>
      </c>
      <c r="K420" s="12">
        <v>0</v>
      </c>
      <c r="L420" s="12">
        <v>0</v>
      </c>
      <c r="M420" s="49"/>
      <c r="N420" s="49"/>
      <c r="O420" s="49"/>
      <c r="P420" s="49"/>
      <c r="Q420" s="49"/>
      <c r="R420" s="85"/>
      <c r="S420" s="85"/>
      <c r="T420" s="85"/>
      <c r="U420" s="85"/>
      <c r="V420" s="85"/>
      <c r="W420" s="49"/>
      <c r="X420" s="49"/>
      <c r="Y420" s="31"/>
      <c r="Z420" s="972"/>
    </row>
    <row r="421" spans="1:26" ht="31.5" customHeight="1">
      <c r="A421" s="33"/>
      <c r="B421" s="811" t="s">
        <v>454</v>
      </c>
      <c r="C421" s="777"/>
      <c r="D421" s="127"/>
      <c r="E421" s="127"/>
      <c r="F421" s="777"/>
      <c r="G421" s="777"/>
      <c r="H421" s="12"/>
      <c r="I421" s="12"/>
      <c r="J421" s="12"/>
      <c r="K421" s="12"/>
      <c r="L421" s="12"/>
      <c r="M421" s="49"/>
      <c r="N421" s="49"/>
      <c r="O421" s="49"/>
      <c r="P421" s="49"/>
      <c r="Q421" s="49"/>
      <c r="R421" s="85"/>
      <c r="S421" s="85"/>
      <c r="T421" s="85"/>
      <c r="U421" s="85"/>
      <c r="V421" s="85"/>
      <c r="W421" s="49"/>
      <c r="X421" s="49"/>
      <c r="Y421" s="31"/>
      <c r="Z421" s="972"/>
    </row>
    <row r="422" spans="1:26" ht="32.25" customHeight="1">
      <c r="A422" s="39"/>
      <c r="B422" s="547" t="s">
        <v>1061</v>
      </c>
      <c r="C422" s="11"/>
      <c r="D422" s="127"/>
      <c r="E422" s="127"/>
      <c r="F422" s="11"/>
      <c r="G422" s="11"/>
      <c r="H422" s="12">
        <v>0</v>
      </c>
      <c r="I422" s="12">
        <v>0</v>
      </c>
      <c r="J422" s="12">
        <v>0</v>
      </c>
      <c r="K422" s="12">
        <v>0</v>
      </c>
      <c r="L422" s="12">
        <v>0</v>
      </c>
      <c r="M422" s="49"/>
      <c r="N422" s="49"/>
      <c r="O422" s="49"/>
      <c r="P422" s="49"/>
      <c r="Q422" s="49"/>
      <c r="R422" s="85"/>
      <c r="S422" s="85"/>
      <c r="T422" s="85"/>
      <c r="U422" s="85"/>
      <c r="V422" s="85"/>
      <c r="W422" s="49"/>
      <c r="X422" s="49"/>
      <c r="Y422" s="38"/>
      <c r="Z422" s="973"/>
    </row>
    <row r="423" spans="1:26" ht="28.5" hidden="1" customHeight="1">
      <c r="A423" s="982" t="s">
        <v>741</v>
      </c>
      <c r="B423" s="547" t="s">
        <v>770</v>
      </c>
      <c r="C423" s="11"/>
      <c r="D423" s="127"/>
      <c r="E423" s="127"/>
      <c r="F423" s="11"/>
      <c r="G423" s="11"/>
      <c r="H423" s="34">
        <v>0</v>
      </c>
      <c r="I423" s="34">
        <v>0</v>
      </c>
      <c r="J423" s="34">
        <v>0</v>
      </c>
      <c r="K423" s="34">
        <v>0</v>
      </c>
      <c r="L423" s="34">
        <v>0</v>
      </c>
      <c r="M423" s="49" t="s">
        <v>279</v>
      </c>
      <c r="N423" s="49"/>
      <c r="O423" s="49"/>
      <c r="P423" s="49"/>
      <c r="Q423" s="49"/>
      <c r="R423" s="85" t="s">
        <v>279</v>
      </c>
      <c r="S423" s="85"/>
      <c r="T423" s="85"/>
      <c r="U423" s="85"/>
      <c r="V423" s="85"/>
      <c r="W423" s="49" t="s">
        <v>279</v>
      </c>
      <c r="X423" s="49"/>
      <c r="Y423" s="971" t="s">
        <v>26</v>
      </c>
      <c r="Z423" s="971" t="s">
        <v>186</v>
      </c>
    </row>
    <row r="424" spans="1:26" ht="45" hidden="1" customHeight="1">
      <c r="A424" s="983"/>
      <c r="B424" s="547" t="s">
        <v>24</v>
      </c>
      <c r="C424" s="11"/>
      <c r="D424" s="127"/>
      <c r="E424" s="127"/>
      <c r="F424" s="11"/>
      <c r="G424" s="11"/>
      <c r="H424" s="34">
        <v>0</v>
      </c>
      <c r="I424" s="34">
        <v>0</v>
      </c>
      <c r="J424" s="34">
        <v>0</v>
      </c>
      <c r="K424" s="34">
        <v>0</v>
      </c>
      <c r="L424" s="34">
        <v>0</v>
      </c>
      <c r="M424" s="49"/>
      <c r="N424" s="49"/>
      <c r="O424" s="49"/>
      <c r="P424" s="49"/>
      <c r="Q424" s="49"/>
      <c r="R424" s="85"/>
      <c r="S424" s="85" t="s">
        <v>496</v>
      </c>
      <c r="T424" s="85" t="s">
        <v>496</v>
      </c>
      <c r="U424" s="85" t="s">
        <v>496</v>
      </c>
      <c r="V424" s="85" t="s">
        <v>496</v>
      </c>
      <c r="W424" s="49"/>
      <c r="X424" s="49"/>
      <c r="Y424" s="972"/>
      <c r="Z424" s="972"/>
    </row>
    <row r="425" spans="1:26" ht="32.25" hidden="1" customHeight="1">
      <c r="A425" s="33"/>
      <c r="B425" s="547" t="s">
        <v>25</v>
      </c>
      <c r="C425" s="11">
        <v>176</v>
      </c>
      <c r="D425" s="127" t="s">
        <v>494</v>
      </c>
      <c r="E425" s="127" t="s">
        <v>495</v>
      </c>
      <c r="F425" s="11">
        <v>6100302810</v>
      </c>
      <c r="G425" s="11">
        <v>244</v>
      </c>
      <c r="H425" s="12">
        <f t="shared" ref="H425:V425" si="77">H427</f>
        <v>22639.3</v>
      </c>
      <c r="I425" s="12">
        <f t="shared" si="77"/>
        <v>9639.2999999999993</v>
      </c>
      <c r="J425" s="12">
        <f t="shared" si="77"/>
        <v>0</v>
      </c>
      <c r="K425" s="12">
        <f t="shared" si="77"/>
        <v>150</v>
      </c>
      <c r="L425" s="12">
        <f t="shared" si="77"/>
        <v>12850</v>
      </c>
      <c r="M425" s="49">
        <f t="shared" si="77"/>
        <v>20000</v>
      </c>
      <c r="N425" s="49">
        <f t="shared" si="77"/>
        <v>7.0000000000000007E-2</v>
      </c>
      <c r="O425" s="49">
        <f t="shared" si="77"/>
        <v>2851.33</v>
      </c>
      <c r="P425" s="49">
        <f t="shared" si="77"/>
        <v>11330</v>
      </c>
      <c r="Q425" s="49">
        <f t="shared" si="77"/>
        <v>5818.6</v>
      </c>
      <c r="R425" s="85">
        <f t="shared" si="77"/>
        <v>0</v>
      </c>
      <c r="S425" s="85">
        <f t="shared" si="77"/>
        <v>0</v>
      </c>
      <c r="T425" s="85">
        <f t="shared" si="77"/>
        <v>0</v>
      </c>
      <c r="U425" s="85">
        <f t="shared" si="77"/>
        <v>0</v>
      </c>
      <c r="V425" s="85">
        <f t="shared" si="77"/>
        <v>0</v>
      </c>
      <c r="W425" s="49">
        <f>W427</f>
        <v>0</v>
      </c>
      <c r="X425" s="49">
        <f>X427</f>
        <v>0</v>
      </c>
      <c r="Y425" s="972"/>
      <c r="Z425" s="972"/>
    </row>
    <row r="426" spans="1:26" ht="17.45" hidden="1" customHeight="1">
      <c r="A426" s="33"/>
      <c r="B426" s="547" t="s">
        <v>9</v>
      </c>
      <c r="C426" s="11"/>
      <c r="D426" s="127"/>
      <c r="E426" s="127"/>
      <c r="F426" s="11"/>
      <c r="G426" s="11"/>
      <c r="H426" s="12"/>
      <c r="I426" s="12"/>
      <c r="J426" s="12"/>
      <c r="K426" s="12"/>
      <c r="L426" s="12"/>
      <c r="M426" s="49"/>
      <c r="N426" s="49"/>
      <c r="O426" s="49"/>
      <c r="P426" s="49"/>
      <c r="Q426" s="49"/>
      <c r="R426" s="49"/>
      <c r="S426" s="49"/>
      <c r="T426" s="49"/>
      <c r="U426" s="49"/>
      <c r="V426" s="85"/>
      <c r="W426" s="49"/>
      <c r="X426" s="49"/>
      <c r="Y426" s="972"/>
      <c r="Z426" s="972"/>
    </row>
    <row r="427" spans="1:26" ht="31.5" hidden="1" customHeight="1">
      <c r="A427" s="33"/>
      <c r="B427" s="547" t="s">
        <v>10</v>
      </c>
      <c r="C427" s="11">
        <v>176</v>
      </c>
      <c r="D427" s="127" t="s">
        <v>494</v>
      </c>
      <c r="E427" s="127" t="s">
        <v>495</v>
      </c>
      <c r="F427" s="11">
        <v>6100302810</v>
      </c>
      <c r="G427" s="11">
        <v>244</v>
      </c>
      <c r="H427" s="12">
        <f>SUM(I427:L427)</f>
        <v>22639.3</v>
      </c>
      <c r="I427" s="12">
        <v>9639.2999999999993</v>
      </c>
      <c r="J427" s="12"/>
      <c r="K427" s="12">
        <v>150</v>
      </c>
      <c r="L427" s="12">
        <v>12850</v>
      </c>
      <c r="M427" s="49">
        <f>40000-20000</f>
        <v>20000</v>
      </c>
      <c r="N427" s="49">
        <v>7.0000000000000007E-2</v>
      </c>
      <c r="O427" s="49">
        <v>2851.33</v>
      </c>
      <c r="P427" s="49">
        <v>11330</v>
      </c>
      <c r="Q427" s="49">
        <v>5818.6</v>
      </c>
      <c r="R427" s="49">
        <f>V427</f>
        <v>0</v>
      </c>
      <c r="S427" s="49">
        <v>0</v>
      </c>
      <c r="T427" s="49">
        <v>0</v>
      </c>
      <c r="U427" s="49">
        <v>0</v>
      </c>
      <c r="V427" s="85"/>
      <c r="W427" s="49"/>
      <c r="X427" s="49"/>
      <c r="Y427" s="972"/>
      <c r="Z427" s="972"/>
    </row>
    <row r="428" spans="1:26" ht="29.25" hidden="1" customHeight="1">
      <c r="A428" s="33"/>
      <c r="B428" s="547" t="s">
        <v>443</v>
      </c>
      <c r="C428" s="11"/>
      <c r="D428" s="127"/>
      <c r="E428" s="127"/>
      <c r="F428" s="11"/>
      <c r="G428" s="11"/>
      <c r="H428" s="34">
        <v>0</v>
      </c>
      <c r="I428" s="34">
        <v>0</v>
      </c>
      <c r="J428" s="34">
        <v>0</v>
      </c>
      <c r="K428" s="34">
        <v>0</v>
      </c>
      <c r="L428" s="34">
        <v>0</v>
      </c>
      <c r="M428" s="49"/>
      <c r="N428" s="49"/>
      <c r="O428" s="49"/>
      <c r="P428" s="49"/>
      <c r="Q428" s="49"/>
      <c r="R428" s="85"/>
      <c r="S428" s="85"/>
      <c r="T428" s="85"/>
      <c r="U428" s="85"/>
      <c r="V428" s="85"/>
      <c r="W428" s="49"/>
      <c r="X428" s="49"/>
      <c r="Y428" s="972"/>
      <c r="Z428" s="972"/>
    </row>
    <row r="429" spans="1:26" ht="33" hidden="1" customHeight="1">
      <c r="A429" s="33"/>
      <c r="B429" s="547" t="s">
        <v>11</v>
      </c>
      <c r="C429" s="11"/>
      <c r="D429" s="127"/>
      <c r="E429" s="127"/>
      <c r="F429" s="11"/>
      <c r="G429" s="11"/>
      <c r="H429" s="34">
        <v>0</v>
      </c>
      <c r="I429" s="34">
        <v>0</v>
      </c>
      <c r="J429" s="34">
        <v>0</v>
      </c>
      <c r="K429" s="34">
        <v>0</v>
      </c>
      <c r="L429" s="34">
        <v>0</v>
      </c>
      <c r="M429" s="49"/>
      <c r="N429" s="49"/>
      <c r="O429" s="49"/>
      <c r="P429" s="49"/>
      <c r="Q429" s="49"/>
      <c r="R429" s="85"/>
      <c r="S429" s="85"/>
      <c r="T429" s="85"/>
      <c r="U429" s="85"/>
      <c r="V429" s="85"/>
      <c r="W429" s="49"/>
      <c r="X429" s="49"/>
      <c r="Y429" s="972"/>
      <c r="Z429" s="972"/>
    </row>
    <row r="430" spans="1:26" ht="36" hidden="1" customHeight="1">
      <c r="A430" s="39"/>
      <c r="B430" s="547" t="s">
        <v>454</v>
      </c>
      <c r="C430" s="11"/>
      <c r="D430" s="127"/>
      <c r="E430" s="127"/>
      <c r="F430" s="11"/>
      <c r="G430" s="11"/>
      <c r="H430" s="34">
        <v>0</v>
      </c>
      <c r="I430" s="34">
        <v>0</v>
      </c>
      <c r="J430" s="34">
        <v>0</v>
      </c>
      <c r="K430" s="34">
        <v>0</v>
      </c>
      <c r="L430" s="34">
        <v>0</v>
      </c>
      <c r="M430" s="49"/>
      <c r="N430" s="49"/>
      <c r="O430" s="49"/>
      <c r="P430" s="49"/>
      <c r="Q430" s="49"/>
      <c r="R430" s="85"/>
      <c r="S430" s="85"/>
      <c r="T430" s="85"/>
      <c r="U430" s="85"/>
      <c r="V430" s="85"/>
      <c r="W430" s="49"/>
      <c r="X430" s="49"/>
      <c r="Y430" s="973"/>
      <c r="Z430" s="973"/>
    </row>
    <row r="431" spans="1:26" ht="30" customHeight="1">
      <c r="A431" s="982" t="s">
        <v>1056</v>
      </c>
      <c r="B431" s="547" t="s">
        <v>770</v>
      </c>
      <c r="C431" s="11"/>
      <c r="D431" s="127"/>
      <c r="E431" s="127"/>
      <c r="F431" s="11"/>
      <c r="G431" s="11"/>
      <c r="H431" s="34">
        <v>0</v>
      </c>
      <c r="I431" s="34">
        <v>0</v>
      </c>
      <c r="J431" s="34">
        <v>0</v>
      </c>
      <c r="K431" s="34">
        <v>0</v>
      </c>
      <c r="L431" s="34">
        <v>0</v>
      </c>
      <c r="M431" s="49" t="s">
        <v>279</v>
      </c>
      <c r="N431" s="49"/>
      <c r="O431" s="49"/>
      <c r="P431" s="49"/>
      <c r="Q431" s="49"/>
      <c r="R431" s="85" t="s">
        <v>279</v>
      </c>
      <c r="S431" s="85"/>
      <c r="T431" s="85"/>
      <c r="U431" s="85"/>
      <c r="V431" s="85"/>
      <c r="W431" s="49" t="s">
        <v>279</v>
      </c>
      <c r="X431" s="49"/>
      <c r="Y431" s="971" t="s">
        <v>26</v>
      </c>
      <c r="Z431" s="978" t="s">
        <v>73</v>
      </c>
    </row>
    <row r="432" spans="1:26" ht="24.75" customHeight="1">
      <c r="A432" s="983"/>
      <c r="B432" s="547" t="s">
        <v>24</v>
      </c>
      <c r="C432" s="11"/>
      <c r="D432" s="127"/>
      <c r="E432" s="127"/>
      <c r="F432" s="11"/>
      <c r="G432" s="11"/>
      <c r="H432" s="34">
        <v>0</v>
      </c>
      <c r="I432" s="34">
        <v>0</v>
      </c>
      <c r="J432" s="34">
        <v>0</v>
      </c>
      <c r="K432" s="34">
        <v>0</v>
      </c>
      <c r="L432" s="34">
        <v>0</v>
      </c>
      <c r="M432" s="49"/>
      <c r="N432" s="49"/>
      <c r="O432" s="49"/>
      <c r="P432" s="49"/>
      <c r="Q432" s="49"/>
      <c r="R432" s="85"/>
      <c r="S432" s="85" t="s">
        <v>496</v>
      </c>
      <c r="T432" s="85" t="s">
        <v>496</v>
      </c>
      <c r="U432" s="85" t="s">
        <v>496</v>
      </c>
      <c r="V432" s="85" t="s">
        <v>496</v>
      </c>
      <c r="W432" s="49"/>
      <c r="X432" s="49"/>
      <c r="Y432" s="972"/>
      <c r="Z432" s="978"/>
    </row>
    <row r="433" spans="1:27" ht="30" customHeight="1">
      <c r="A433" s="983"/>
      <c r="B433" s="547" t="s">
        <v>25</v>
      </c>
      <c r="C433" s="11">
        <v>176</v>
      </c>
      <c r="D433" s="127" t="s">
        <v>494</v>
      </c>
      <c r="E433" s="127" t="s">
        <v>495</v>
      </c>
      <c r="F433" s="11">
        <v>6100302810</v>
      </c>
      <c r="G433" s="11">
        <v>241</v>
      </c>
      <c r="H433" s="12">
        <f t="shared" ref="H433:V433" si="78">H435</f>
        <v>3000</v>
      </c>
      <c r="I433" s="12">
        <f t="shared" si="78"/>
        <v>1035.8</v>
      </c>
      <c r="J433" s="12">
        <f t="shared" si="78"/>
        <v>0</v>
      </c>
      <c r="K433" s="12">
        <f t="shared" si="78"/>
        <v>750</v>
      </c>
      <c r="L433" s="12">
        <f t="shared" si="78"/>
        <v>1214.2</v>
      </c>
      <c r="M433" s="49">
        <f t="shared" si="78"/>
        <v>3000</v>
      </c>
      <c r="N433" s="49">
        <f t="shared" si="78"/>
        <v>690.6</v>
      </c>
      <c r="O433" s="49">
        <f t="shared" si="78"/>
        <v>345.3</v>
      </c>
      <c r="P433" s="49">
        <f t="shared" si="78"/>
        <v>33</v>
      </c>
      <c r="Q433" s="49">
        <f t="shared" si="78"/>
        <v>1931.1</v>
      </c>
      <c r="R433" s="85">
        <f t="shared" si="78"/>
        <v>56285.2</v>
      </c>
      <c r="S433" s="85">
        <f t="shared" si="78"/>
        <v>0</v>
      </c>
      <c r="T433" s="85">
        <f t="shared" si="78"/>
        <v>0</v>
      </c>
      <c r="U433" s="85">
        <f t="shared" si="78"/>
        <v>0</v>
      </c>
      <c r="V433" s="85">
        <f t="shared" si="78"/>
        <v>56285.2</v>
      </c>
      <c r="W433" s="49">
        <f>W435</f>
        <v>25915.5</v>
      </c>
      <c r="X433" s="49">
        <f>X435</f>
        <v>132522.9</v>
      </c>
      <c r="Y433" s="972"/>
      <c r="Z433" s="978"/>
    </row>
    <row r="434" spans="1:27" ht="18" customHeight="1">
      <c r="A434" s="983"/>
      <c r="B434" s="547" t="s">
        <v>9</v>
      </c>
      <c r="C434" s="11"/>
      <c r="D434" s="127"/>
      <c r="E434" s="127"/>
      <c r="F434" s="11"/>
      <c r="G434" s="11"/>
      <c r="H434" s="12"/>
      <c r="I434" s="12"/>
      <c r="J434" s="12"/>
      <c r="K434" s="12"/>
      <c r="L434" s="12"/>
      <c r="M434" s="49"/>
      <c r="N434" s="49"/>
      <c r="O434" s="49"/>
      <c r="P434" s="49"/>
      <c r="Q434" s="49"/>
      <c r="R434" s="85"/>
      <c r="S434" s="85"/>
      <c r="T434" s="85"/>
      <c r="U434" s="85"/>
      <c r="V434" s="85"/>
      <c r="W434" s="49"/>
      <c r="X434" s="49"/>
      <c r="Y434" s="972"/>
      <c r="Z434" s="978"/>
    </row>
    <row r="435" spans="1:27" ht="27.75" customHeight="1">
      <c r="A435" s="983"/>
      <c r="B435" s="547" t="s">
        <v>10</v>
      </c>
      <c r="C435" s="11">
        <v>176</v>
      </c>
      <c r="D435" s="127" t="s">
        <v>494</v>
      </c>
      <c r="E435" s="127" t="s">
        <v>495</v>
      </c>
      <c r="F435" s="11">
        <v>6100302810</v>
      </c>
      <c r="G435" s="11">
        <v>241</v>
      </c>
      <c r="H435" s="12">
        <v>3000</v>
      </c>
      <c r="I435" s="12">
        <v>1035.8</v>
      </c>
      <c r="J435" s="12"/>
      <c r="K435" s="12">
        <v>750</v>
      </c>
      <c r="L435" s="12">
        <v>1214.2</v>
      </c>
      <c r="M435" s="49">
        <v>3000</v>
      </c>
      <c r="N435" s="49">
        <v>690.6</v>
      </c>
      <c r="O435" s="49">
        <v>345.3</v>
      </c>
      <c r="P435" s="49">
        <v>33</v>
      </c>
      <c r="Q435" s="49">
        <v>1931.1</v>
      </c>
      <c r="R435" s="85">
        <f>V435</f>
        <v>56285.2</v>
      </c>
      <c r="S435" s="85">
        <f t="shared" ref="S435:U435" si="79">S444+S451</f>
        <v>0</v>
      </c>
      <c r="T435" s="85">
        <f t="shared" si="79"/>
        <v>0</v>
      </c>
      <c r="U435" s="85">
        <f t="shared" si="79"/>
        <v>0</v>
      </c>
      <c r="V435" s="85">
        <v>56285.2</v>
      </c>
      <c r="W435" s="49">
        <v>25915.5</v>
      </c>
      <c r="X435" s="85">
        <v>132522.9</v>
      </c>
      <c r="Y435" s="972"/>
      <c r="Z435" s="978"/>
    </row>
    <row r="436" spans="1:27" ht="21.75" customHeight="1">
      <c r="A436" s="983"/>
      <c r="B436" s="547" t="s">
        <v>443</v>
      </c>
      <c r="C436" s="11"/>
      <c r="D436" s="127"/>
      <c r="E436" s="127"/>
      <c r="F436" s="11"/>
      <c r="G436" s="11"/>
      <c r="H436" s="34">
        <v>0</v>
      </c>
      <c r="I436" s="34">
        <v>0</v>
      </c>
      <c r="J436" s="34">
        <v>0</v>
      </c>
      <c r="K436" s="34">
        <v>0</v>
      </c>
      <c r="L436" s="34">
        <v>0</v>
      </c>
      <c r="M436" s="49"/>
      <c r="N436" s="49"/>
      <c r="O436" s="49"/>
      <c r="P436" s="49"/>
      <c r="Q436" s="49"/>
      <c r="R436" s="85"/>
      <c r="S436" s="85"/>
      <c r="T436" s="85"/>
      <c r="U436" s="85"/>
      <c r="V436" s="85"/>
      <c r="W436" s="49"/>
      <c r="X436" s="49"/>
      <c r="Y436" s="972"/>
      <c r="Z436" s="978"/>
    </row>
    <row r="437" spans="1:27" ht="27" customHeight="1">
      <c r="A437" s="983"/>
      <c r="B437" s="547" t="s">
        <v>442</v>
      </c>
      <c r="C437" s="11"/>
      <c r="D437" s="127"/>
      <c r="E437" s="127"/>
      <c r="F437" s="11"/>
      <c r="G437" s="11"/>
      <c r="H437" s="34">
        <v>0</v>
      </c>
      <c r="I437" s="34">
        <v>0</v>
      </c>
      <c r="J437" s="34">
        <v>0</v>
      </c>
      <c r="K437" s="34">
        <v>0</v>
      </c>
      <c r="L437" s="34">
        <v>0</v>
      </c>
      <c r="M437" s="49"/>
      <c r="N437" s="49"/>
      <c r="O437" s="49"/>
      <c r="P437" s="49"/>
      <c r="Q437" s="49"/>
      <c r="R437" s="85"/>
      <c r="S437" s="85"/>
      <c r="T437" s="85"/>
      <c r="U437" s="85"/>
      <c r="V437" s="85"/>
      <c r="W437" s="49"/>
      <c r="X437" s="49"/>
      <c r="Y437" s="972"/>
      <c r="Z437" s="978"/>
    </row>
    <row r="438" spans="1:27" ht="27" customHeight="1">
      <c r="A438" s="983"/>
      <c r="B438" s="811" t="s">
        <v>454</v>
      </c>
      <c r="C438" s="777"/>
      <c r="D438" s="127"/>
      <c r="E438" s="127"/>
      <c r="F438" s="777"/>
      <c r="G438" s="777"/>
      <c r="H438" s="34"/>
      <c r="I438" s="34"/>
      <c r="J438" s="34"/>
      <c r="K438" s="34"/>
      <c r="L438" s="34"/>
      <c r="M438" s="49"/>
      <c r="N438" s="49"/>
      <c r="O438" s="49"/>
      <c r="P438" s="49"/>
      <c r="Q438" s="49"/>
      <c r="R438" s="85"/>
      <c r="S438" s="85"/>
      <c r="T438" s="85"/>
      <c r="U438" s="85"/>
      <c r="V438" s="85"/>
      <c r="W438" s="49"/>
      <c r="X438" s="49"/>
      <c r="Y438" s="972"/>
      <c r="Z438" s="978"/>
    </row>
    <row r="439" spans="1:27" ht="25.5" customHeight="1">
      <c r="A439" s="984"/>
      <c r="B439" s="547" t="s">
        <v>1061</v>
      </c>
      <c r="C439" s="11"/>
      <c r="D439" s="127"/>
      <c r="E439" s="127"/>
      <c r="F439" s="11"/>
      <c r="G439" s="11"/>
      <c r="H439" s="34"/>
      <c r="I439" s="34"/>
      <c r="J439" s="34"/>
      <c r="K439" s="34"/>
      <c r="L439" s="34"/>
      <c r="M439" s="49"/>
      <c r="N439" s="49"/>
      <c r="O439" s="49"/>
      <c r="P439" s="49"/>
      <c r="Q439" s="49"/>
      <c r="R439" s="85"/>
      <c r="S439" s="85"/>
      <c r="T439" s="85"/>
      <c r="U439" s="85"/>
      <c r="V439" s="85"/>
      <c r="W439" s="49"/>
      <c r="X439" s="49"/>
      <c r="Y439" s="972"/>
      <c r="Z439" s="978"/>
    </row>
    <row r="440" spans="1:27" s="82" customFormat="1" ht="26.45" hidden="1" customHeight="1">
      <c r="A440" s="982" t="s">
        <v>504</v>
      </c>
      <c r="B440" s="554" t="s">
        <v>670</v>
      </c>
      <c r="C440" s="337"/>
      <c r="D440" s="337"/>
      <c r="E440" s="337"/>
      <c r="F440" s="337"/>
      <c r="G440" s="337"/>
      <c r="H440" s="338"/>
      <c r="I440" s="337"/>
      <c r="J440" s="337"/>
      <c r="K440" s="337"/>
      <c r="L440" s="338"/>
      <c r="M440" s="84"/>
      <c r="N440" s="84"/>
      <c r="O440" s="84"/>
      <c r="P440" s="84"/>
      <c r="Q440" s="84"/>
      <c r="R440" s="84"/>
      <c r="S440" s="84"/>
      <c r="T440" s="84"/>
      <c r="U440" s="84"/>
      <c r="V440" s="84"/>
      <c r="W440" s="63"/>
      <c r="X440" s="84"/>
      <c r="Y440" s="972"/>
      <c r="Z440" s="971" t="s">
        <v>546</v>
      </c>
      <c r="AA440" s="540"/>
    </row>
    <row r="441" spans="1:27" s="82" customFormat="1" ht="44.25" hidden="1" customHeight="1">
      <c r="A441" s="983"/>
      <c r="B441" s="554" t="s">
        <v>500</v>
      </c>
      <c r="C441" s="337"/>
      <c r="D441" s="337"/>
      <c r="E441" s="337"/>
      <c r="F441" s="337"/>
      <c r="G441" s="337"/>
      <c r="H441" s="339"/>
      <c r="I441" s="339"/>
      <c r="J441" s="339"/>
      <c r="K441" s="339"/>
      <c r="L441" s="339"/>
      <c r="M441" s="85"/>
      <c r="N441" s="85"/>
      <c r="O441" s="85"/>
      <c r="P441" s="85"/>
      <c r="Q441" s="85"/>
      <c r="R441" s="85"/>
      <c r="S441" s="85"/>
      <c r="T441" s="85"/>
      <c r="U441" s="85"/>
      <c r="V441" s="85"/>
      <c r="W441" s="49"/>
      <c r="X441" s="85"/>
      <c r="Y441" s="972"/>
      <c r="Z441" s="972"/>
      <c r="AA441" s="540"/>
    </row>
    <row r="442" spans="1:27" s="82" customFormat="1" ht="30.75" hidden="1" customHeight="1">
      <c r="A442" s="983"/>
      <c r="B442" s="554" t="s">
        <v>501</v>
      </c>
      <c r="C442" s="337">
        <v>176</v>
      </c>
      <c r="D442" s="340" t="s">
        <v>494</v>
      </c>
      <c r="E442" s="340" t="s">
        <v>495</v>
      </c>
      <c r="F442" s="337">
        <v>6100302810</v>
      </c>
      <c r="G442" s="337">
        <v>241</v>
      </c>
      <c r="H442" s="339"/>
      <c r="I442" s="339"/>
      <c r="J442" s="339"/>
      <c r="K442" s="339"/>
      <c r="L442" s="339"/>
      <c r="M442" s="85"/>
      <c r="N442" s="85"/>
      <c r="O442" s="85"/>
      <c r="P442" s="85"/>
      <c r="Q442" s="85"/>
      <c r="R442" s="85">
        <f>R444</f>
        <v>35047.199999999997</v>
      </c>
      <c r="S442" s="85">
        <f t="shared" ref="S442:X442" si="80">S444</f>
        <v>0</v>
      </c>
      <c r="T442" s="85">
        <f t="shared" si="80"/>
        <v>0</v>
      </c>
      <c r="U442" s="85">
        <f t="shared" si="80"/>
        <v>0</v>
      </c>
      <c r="V442" s="85">
        <f>V444</f>
        <v>35047.199999999997</v>
      </c>
      <c r="W442" s="49">
        <f t="shared" si="80"/>
        <v>74966.2</v>
      </c>
      <c r="X442" s="85">
        <f t="shared" si="80"/>
        <v>3000</v>
      </c>
      <c r="Y442" s="972"/>
      <c r="Z442" s="972"/>
      <c r="AA442" s="540"/>
    </row>
    <row r="443" spans="1:27" s="82" customFormat="1" ht="34.15" hidden="1" customHeight="1">
      <c r="A443" s="983"/>
      <c r="B443" s="554" t="s">
        <v>502</v>
      </c>
      <c r="C443" s="337"/>
      <c r="D443" s="337"/>
      <c r="E443" s="340"/>
      <c r="F443" s="337"/>
      <c r="G443" s="337"/>
      <c r="H443" s="339"/>
      <c r="I443" s="339"/>
      <c r="J443" s="339"/>
      <c r="K443" s="339"/>
      <c r="L443" s="339"/>
      <c r="M443" s="85"/>
      <c r="N443" s="85"/>
      <c r="O443" s="85"/>
      <c r="P443" s="85"/>
      <c r="Q443" s="85"/>
      <c r="R443" s="85"/>
      <c r="S443" s="85"/>
      <c r="T443" s="85"/>
      <c r="U443" s="85"/>
      <c r="V443" s="85"/>
      <c r="W443" s="49"/>
      <c r="X443" s="85"/>
      <c r="Y443" s="972"/>
      <c r="Z443" s="972"/>
      <c r="AA443" s="540"/>
    </row>
    <row r="444" spans="1:27" s="82" customFormat="1" ht="32.450000000000003" hidden="1" customHeight="1">
      <c r="A444" s="983"/>
      <c r="B444" s="555" t="s">
        <v>503</v>
      </c>
      <c r="C444" s="337">
        <v>176</v>
      </c>
      <c r="D444" s="340" t="s">
        <v>494</v>
      </c>
      <c r="E444" s="340" t="s">
        <v>495</v>
      </c>
      <c r="F444" s="337">
        <v>6100302810</v>
      </c>
      <c r="G444" s="337">
        <v>241</v>
      </c>
      <c r="H444" s="339"/>
      <c r="I444" s="339"/>
      <c r="J444" s="339"/>
      <c r="K444" s="339"/>
      <c r="L444" s="339"/>
      <c r="M444" s="85"/>
      <c r="N444" s="85"/>
      <c r="O444" s="85"/>
      <c r="P444" s="85"/>
      <c r="Q444" s="85"/>
      <c r="R444" s="85">
        <f>S444+T444+U444+V444</f>
        <v>35047.199999999997</v>
      </c>
      <c r="S444" s="85">
        <v>0</v>
      </c>
      <c r="T444" s="85">
        <v>0</v>
      </c>
      <c r="U444" s="85">
        <v>0</v>
      </c>
      <c r="V444" s="85">
        <v>35047.199999999997</v>
      </c>
      <c r="W444" s="49">
        <f>2966.2+53000+19000</f>
        <v>74966.2</v>
      </c>
      <c r="X444" s="85">
        <v>3000</v>
      </c>
      <c r="Y444" s="972"/>
      <c r="Z444" s="972"/>
      <c r="AA444" s="540"/>
    </row>
    <row r="445" spans="1:27" s="82" customFormat="1" ht="30" hidden="1" customHeight="1">
      <c r="A445" s="983"/>
      <c r="B445" s="554" t="s">
        <v>442</v>
      </c>
      <c r="C445" s="337"/>
      <c r="D445" s="340"/>
      <c r="E445" s="340"/>
      <c r="F445" s="337"/>
      <c r="G445" s="337"/>
      <c r="H445" s="339"/>
      <c r="I445" s="339"/>
      <c r="J445" s="339"/>
      <c r="K445" s="339"/>
      <c r="L445" s="339"/>
      <c r="M445" s="85"/>
      <c r="N445" s="85"/>
      <c r="O445" s="85"/>
      <c r="P445" s="85"/>
      <c r="Q445" s="85"/>
      <c r="R445" s="85"/>
      <c r="S445" s="85"/>
      <c r="T445" s="85"/>
      <c r="U445" s="85"/>
      <c r="V445" s="85"/>
      <c r="W445" s="49"/>
      <c r="X445" s="85"/>
      <c r="Y445" s="972"/>
      <c r="Z445" s="972"/>
      <c r="AA445" s="540"/>
    </row>
    <row r="446" spans="1:27" s="82" customFormat="1" ht="30" hidden="1" customHeight="1">
      <c r="A446" s="983"/>
      <c r="B446" s="554" t="s">
        <v>454</v>
      </c>
      <c r="C446" s="337"/>
      <c r="D446" s="340"/>
      <c r="E446" s="340"/>
      <c r="F446" s="337"/>
      <c r="G446" s="337"/>
      <c r="H446" s="339"/>
      <c r="I446" s="339"/>
      <c r="J446" s="339"/>
      <c r="K446" s="339"/>
      <c r="L446" s="339"/>
      <c r="M446" s="85"/>
      <c r="N446" s="85"/>
      <c r="O446" s="85"/>
      <c r="P446" s="85"/>
      <c r="Q446" s="85"/>
      <c r="R446" s="85"/>
      <c r="S446" s="85"/>
      <c r="T446" s="85"/>
      <c r="U446" s="85"/>
      <c r="V446" s="85"/>
      <c r="W446" s="49"/>
      <c r="X446" s="85"/>
      <c r="Y446" s="972"/>
      <c r="Z446" s="972"/>
      <c r="AA446" s="540"/>
    </row>
    <row r="447" spans="1:27" s="82" customFormat="1" ht="30" hidden="1" customHeight="1">
      <c r="A447" s="983"/>
      <c r="B447" s="554" t="s">
        <v>454</v>
      </c>
      <c r="C447" s="337"/>
      <c r="D447" s="340"/>
      <c r="E447" s="340"/>
      <c r="F447" s="337"/>
      <c r="G447" s="337"/>
      <c r="H447" s="339"/>
      <c r="I447" s="339"/>
      <c r="J447" s="339"/>
      <c r="K447" s="339"/>
      <c r="L447" s="339"/>
      <c r="M447" s="85"/>
      <c r="N447" s="85"/>
      <c r="O447" s="85"/>
      <c r="P447" s="85"/>
      <c r="Q447" s="85"/>
      <c r="R447" s="85"/>
      <c r="S447" s="85"/>
      <c r="T447" s="85"/>
      <c r="U447" s="85"/>
      <c r="V447" s="85"/>
      <c r="W447" s="49"/>
      <c r="X447" s="85"/>
      <c r="Y447" s="972"/>
      <c r="Z447" s="972"/>
      <c r="AA447" s="540"/>
    </row>
    <row r="448" spans="1:27" ht="36.75" hidden="1" customHeight="1">
      <c r="A448" s="984"/>
      <c r="B448" s="547" t="s">
        <v>454</v>
      </c>
      <c r="C448" s="11"/>
      <c r="D448" s="127"/>
      <c r="E448" s="127"/>
      <c r="F448" s="11"/>
      <c r="G448" s="11"/>
      <c r="H448" s="34">
        <v>0</v>
      </c>
      <c r="I448" s="34">
        <v>0</v>
      </c>
      <c r="J448" s="34">
        <v>0</v>
      </c>
      <c r="K448" s="34">
        <v>0</v>
      </c>
      <c r="L448" s="34">
        <v>0</v>
      </c>
      <c r="M448" s="49"/>
      <c r="N448" s="49"/>
      <c r="O448" s="49"/>
      <c r="P448" s="49"/>
      <c r="Q448" s="49"/>
      <c r="R448" s="85"/>
      <c r="S448" s="85"/>
      <c r="T448" s="85"/>
      <c r="U448" s="85"/>
      <c r="V448" s="85"/>
      <c r="W448" s="49"/>
      <c r="X448" s="49"/>
      <c r="Y448" s="973"/>
      <c r="Z448" s="973"/>
    </row>
    <row r="449" spans="1:33" s="82" customFormat="1" ht="26.45" hidden="1" customHeight="1">
      <c r="A449" s="979" t="s">
        <v>505</v>
      </c>
      <c r="B449" s="554" t="s">
        <v>670</v>
      </c>
      <c r="C449" s="337"/>
      <c r="D449" s="337"/>
      <c r="E449" s="337"/>
      <c r="F449" s="337"/>
      <c r="G449" s="337"/>
      <c r="H449" s="338"/>
      <c r="I449" s="337"/>
      <c r="J449" s="337"/>
      <c r="K449" s="337"/>
      <c r="L449" s="338"/>
      <c r="M449" s="84"/>
      <c r="N449" s="84"/>
      <c r="O449" s="84"/>
      <c r="P449" s="84"/>
      <c r="Q449" s="84"/>
      <c r="R449" s="84"/>
      <c r="S449" s="84"/>
      <c r="T449" s="84"/>
      <c r="U449" s="84"/>
      <c r="V449" s="84"/>
      <c r="W449" s="63"/>
      <c r="X449" s="84"/>
      <c r="Y449" s="955"/>
      <c r="Z449" s="955"/>
      <c r="AA449" s="540"/>
    </row>
    <row r="450" spans="1:33" s="82" customFormat="1" ht="44.25" hidden="1" customHeight="1">
      <c r="A450" s="980"/>
      <c r="B450" s="554" t="s">
        <v>500</v>
      </c>
      <c r="C450" s="337"/>
      <c r="D450" s="337"/>
      <c r="E450" s="337"/>
      <c r="F450" s="337"/>
      <c r="G450" s="337"/>
      <c r="H450" s="339"/>
      <c r="I450" s="339"/>
      <c r="J450" s="339"/>
      <c r="K450" s="339"/>
      <c r="L450" s="339"/>
      <c r="M450" s="85"/>
      <c r="N450" s="85"/>
      <c r="O450" s="85"/>
      <c r="P450" s="85"/>
      <c r="Q450" s="85"/>
      <c r="R450" s="85"/>
      <c r="S450" s="85"/>
      <c r="T450" s="85"/>
      <c r="U450" s="85"/>
      <c r="V450" s="85"/>
      <c r="W450" s="49"/>
      <c r="X450" s="85"/>
      <c r="Y450" s="956"/>
      <c r="Z450" s="956"/>
      <c r="AA450" s="540"/>
    </row>
    <row r="451" spans="1:33" s="82" customFormat="1" ht="27.75" hidden="1" customHeight="1">
      <c r="A451" s="980"/>
      <c r="B451" s="554" t="s">
        <v>501</v>
      </c>
      <c r="C451" s="337">
        <v>176</v>
      </c>
      <c r="D451" s="340" t="s">
        <v>494</v>
      </c>
      <c r="E451" s="340" t="s">
        <v>495</v>
      </c>
      <c r="F451" s="337">
        <v>6100302810</v>
      </c>
      <c r="G451" s="337">
        <v>241</v>
      </c>
      <c r="H451" s="339"/>
      <c r="I451" s="339"/>
      <c r="J451" s="339"/>
      <c r="K451" s="339"/>
      <c r="L451" s="339"/>
      <c r="M451" s="85"/>
      <c r="N451" s="85"/>
      <c r="O451" s="85"/>
      <c r="P451" s="85"/>
      <c r="Q451" s="85"/>
      <c r="R451" s="85">
        <f>R453</f>
        <v>0</v>
      </c>
      <c r="S451" s="85">
        <f>S453</f>
        <v>0</v>
      </c>
      <c r="T451" s="85"/>
      <c r="U451" s="85"/>
      <c r="V451" s="85"/>
      <c r="W451" s="49"/>
      <c r="X451" s="85"/>
      <c r="Y451" s="956"/>
      <c r="Z451" s="956"/>
      <c r="AA451" s="540"/>
    </row>
    <row r="452" spans="1:33" s="82" customFormat="1" ht="34.15" hidden="1" customHeight="1">
      <c r="A452" s="980"/>
      <c r="B452" s="554" t="s">
        <v>502</v>
      </c>
      <c r="C452" s="337"/>
      <c r="D452" s="337"/>
      <c r="E452" s="340"/>
      <c r="F452" s="337"/>
      <c r="G452" s="337"/>
      <c r="H452" s="339"/>
      <c r="I452" s="339"/>
      <c r="J452" s="339"/>
      <c r="K452" s="339"/>
      <c r="L452" s="339"/>
      <c r="M452" s="85"/>
      <c r="N452" s="85"/>
      <c r="O452" s="85"/>
      <c r="P452" s="85"/>
      <c r="Q452" s="85"/>
      <c r="R452" s="85"/>
      <c r="S452" s="85"/>
      <c r="T452" s="85"/>
      <c r="U452" s="85"/>
      <c r="V452" s="85"/>
      <c r="W452" s="49"/>
      <c r="X452" s="85"/>
      <c r="Y452" s="956"/>
      <c r="Z452" s="956"/>
      <c r="AA452" s="540"/>
    </row>
    <row r="453" spans="1:33" s="82" customFormat="1" ht="32.450000000000003" hidden="1" customHeight="1">
      <c r="A453" s="980"/>
      <c r="B453" s="555" t="s">
        <v>503</v>
      </c>
      <c r="C453" s="337">
        <v>176</v>
      </c>
      <c r="D453" s="340" t="s">
        <v>494</v>
      </c>
      <c r="E453" s="340" t="s">
        <v>495</v>
      </c>
      <c r="F453" s="337">
        <v>6100302810</v>
      </c>
      <c r="G453" s="337">
        <v>241</v>
      </c>
      <c r="H453" s="339"/>
      <c r="I453" s="339"/>
      <c r="J453" s="339"/>
      <c r="K453" s="339"/>
      <c r="L453" s="339"/>
      <c r="M453" s="85"/>
      <c r="N453" s="85"/>
      <c r="O453" s="85"/>
      <c r="P453" s="85"/>
      <c r="Q453" s="85"/>
      <c r="R453" s="85">
        <v>0</v>
      </c>
      <c r="S453" s="85">
        <v>0</v>
      </c>
      <c r="T453" s="85"/>
      <c r="U453" s="85"/>
      <c r="V453" s="85"/>
      <c r="W453" s="49"/>
      <c r="X453" s="85"/>
      <c r="Y453" s="956"/>
      <c r="Z453" s="956"/>
      <c r="AA453" s="540"/>
    </row>
    <row r="454" spans="1:33" s="82" customFormat="1" ht="30" hidden="1" customHeight="1">
      <c r="A454" s="980"/>
      <c r="B454" s="554" t="s">
        <v>442</v>
      </c>
      <c r="C454" s="337"/>
      <c r="D454" s="340"/>
      <c r="E454" s="340"/>
      <c r="F454" s="337"/>
      <c r="G454" s="337"/>
      <c r="H454" s="339"/>
      <c r="I454" s="339"/>
      <c r="J454" s="339"/>
      <c r="K454" s="339"/>
      <c r="L454" s="339"/>
      <c r="M454" s="85"/>
      <c r="N454" s="85"/>
      <c r="O454" s="85"/>
      <c r="P454" s="85"/>
      <c r="Q454" s="85"/>
      <c r="R454" s="85"/>
      <c r="S454" s="85"/>
      <c r="T454" s="85"/>
      <c r="U454" s="85"/>
      <c r="V454" s="85"/>
      <c r="W454" s="49"/>
      <c r="X454" s="85"/>
      <c r="Y454" s="956"/>
      <c r="Z454" s="956"/>
      <c r="AA454" s="540"/>
    </row>
    <row r="455" spans="1:33" s="82" customFormat="1" ht="30" hidden="1" customHeight="1">
      <c r="A455" s="980"/>
      <c r="B455" s="554" t="s">
        <v>454</v>
      </c>
      <c r="C455" s="337"/>
      <c r="D455" s="340"/>
      <c r="E455" s="340"/>
      <c r="F455" s="337"/>
      <c r="G455" s="337"/>
      <c r="H455" s="339"/>
      <c r="I455" s="339"/>
      <c r="J455" s="339"/>
      <c r="K455" s="339"/>
      <c r="L455" s="339"/>
      <c r="M455" s="85"/>
      <c r="N455" s="85"/>
      <c r="O455" s="85"/>
      <c r="P455" s="85"/>
      <c r="Q455" s="85"/>
      <c r="R455" s="85"/>
      <c r="S455" s="85"/>
      <c r="T455" s="85"/>
      <c r="U455" s="85"/>
      <c r="V455" s="85"/>
      <c r="W455" s="49"/>
      <c r="X455" s="85"/>
      <c r="Y455" s="956"/>
      <c r="Z455" s="956"/>
      <c r="AA455" s="540"/>
    </row>
    <row r="456" spans="1:33" s="82" customFormat="1" ht="30" hidden="1" customHeight="1">
      <c r="A456" s="981"/>
      <c r="B456" s="554" t="s">
        <v>454</v>
      </c>
      <c r="C456" s="337"/>
      <c r="D456" s="340"/>
      <c r="E456" s="340"/>
      <c r="F456" s="337"/>
      <c r="G456" s="337"/>
      <c r="H456" s="339"/>
      <c r="I456" s="339"/>
      <c r="J456" s="339"/>
      <c r="K456" s="339"/>
      <c r="L456" s="339"/>
      <c r="M456" s="85"/>
      <c r="N456" s="85"/>
      <c r="O456" s="85"/>
      <c r="P456" s="85"/>
      <c r="Q456" s="85"/>
      <c r="R456" s="85"/>
      <c r="S456" s="85"/>
      <c r="T456" s="85"/>
      <c r="U456" s="85"/>
      <c r="V456" s="85"/>
      <c r="W456" s="49"/>
      <c r="X456" s="85"/>
      <c r="Y456" s="957"/>
      <c r="Z456" s="957"/>
      <c r="AA456" s="540"/>
    </row>
    <row r="457" spans="1:33" ht="30" customHeight="1">
      <c r="A457" s="982" t="s">
        <v>1057</v>
      </c>
      <c r="B457" s="547" t="s">
        <v>770</v>
      </c>
      <c r="C457" s="11"/>
      <c r="D457" s="127"/>
      <c r="E457" s="127"/>
      <c r="F457" s="11"/>
      <c r="G457" s="11"/>
      <c r="H457" s="34">
        <v>0</v>
      </c>
      <c r="I457" s="34">
        <v>0</v>
      </c>
      <c r="J457" s="34">
        <v>0</v>
      </c>
      <c r="K457" s="34">
        <v>0</v>
      </c>
      <c r="L457" s="34">
        <v>0</v>
      </c>
      <c r="M457" s="49" t="s">
        <v>279</v>
      </c>
      <c r="N457" s="49"/>
      <c r="O457" s="49"/>
      <c r="P457" s="49"/>
      <c r="Q457" s="49"/>
      <c r="R457" s="85" t="s">
        <v>279</v>
      </c>
      <c r="S457" s="85"/>
      <c r="T457" s="85"/>
      <c r="U457" s="85"/>
      <c r="V457" s="85"/>
      <c r="W457" s="49" t="s">
        <v>279</v>
      </c>
      <c r="X457" s="49"/>
      <c r="Y457" s="971" t="s">
        <v>26</v>
      </c>
      <c r="Z457" s="978" t="s">
        <v>236</v>
      </c>
    </row>
    <row r="458" spans="1:33" ht="40.5" customHeight="1">
      <c r="A458" s="983"/>
      <c r="B458" s="547" t="s">
        <v>24</v>
      </c>
      <c r="C458" s="11"/>
      <c r="D458" s="127"/>
      <c r="E458" s="127"/>
      <c r="F458" s="11"/>
      <c r="G458" s="11"/>
      <c r="H458" s="34">
        <v>0</v>
      </c>
      <c r="I458" s="34">
        <v>0</v>
      </c>
      <c r="J458" s="34">
        <v>0</v>
      </c>
      <c r="K458" s="34">
        <v>0</v>
      </c>
      <c r="L458" s="34">
        <v>0</v>
      </c>
      <c r="M458" s="49"/>
      <c r="N458" s="49"/>
      <c r="O458" s="49"/>
      <c r="P458" s="49"/>
      <c r="Q458" s="49"/>
      <c r="R458" s="85"/>
      <c r="S458" s="85" t="s">
        <v>496</v>
      </c>
      <c r="T458" s="85" t="s">
        <v>496</v>
      </c>
      <c r="U458" s="85" t="s">
        <v>496</v>
      </c>
      <c r="V458" s="85" t="s">
        <v>496</v>
      </c>
      <c r="W458" s="49"/>
      <c r="X458" s="49"/>
      <c r="Y458" s="972"/>
      <c r="Z458" s="978"/>
    </row>
    <row r="459" spans="1:33" ht="38.25" customHeight="1">
      <c r="A459" s="983"/>
      <c r="B459" s="547" t="s">
        <v>25</v>
      </c>
      <c r="C459" s="11">
        <v>176</v>
      </c>
      <c r="D459" s="127" t="s">
        <v>494</v>
      </c>
      <c r="E459" s="127" t="s">
        <v>495</v>
      </c>
      <c r="F459" s="11">
        <v>6100302810</v>
      </c>
      <c r="G459" s="11">
        <v>244</v>
      </c>
      <c r="H459" s="12">
        <f t="shared" ref="H459:V459" si="81">H461</f>
        <v>168484.3</v>
      </c>
      <c r="I459" s="12">
        <f t="shared" si="81"/>
        <v>109929.1</v>
      </c>
      <c r="J459" s="12">
        <f t="shared" si="81"/>
        <v>42072.010999999999</v>
      </c>
      <c r="K459" s="12">
        <f t="shared" si="81"/>
        <v>0</v>
      </c>
      <c r="L459" s="12">
        <f t="shared" si="81"/>
        <v>16483.188999999998</v>
      </c>
      <c r="M459" s="49">
        <f t="shared" si="81"/>
        <v>103238.5</v>
      </c>
      <c r="N459" s="49">
        <f t="shared" si="81"/>
        <v>19369.48</v>
      </c>
      <c r="O459" s="49">
        <f t="shared" si="81"/>
        <v>78791.08</v>
      </c>
      <c r="P459" s="49">
        <f t="shared" si="81"/>
        <v>3256.8220000000001</v>
      </c>
      <c r="Q459" s="49">
        <f t="shared" si="81"/>
        <v>1821.1</v>
      </c>
      <c r="R459" s="85">
        <f t="shared" si="81"/>
        <v>204575.7</v>
      </c>
      <c r="S459" s="85">
        <f t="shared" si="81"/>
        <v>20020.075860000001</v>
      </c>
      <c r="T459" s="85">
        <f t="shared" si="81"/>
        <v>11265.51065</v>
      </c>
      <c r="U459" s="85">
        <f t="shared" si="81"/>
        <v>11297.955250000001</v>
      </c>
      <c r="V459" s="85">
        <f t="shared" si="81"/>
        <v>161992.15824000002</v>
      </c>
      <c r="W459" s="49">
        <f>W461</f>
        <v>162586.29999999999</v>
      </c>
      <c r="X459" s="49">
        <f>X461</f>
        <v>200000</v>
      </c>
      <c r="Y459" s="972"/>
      <c r="Z459" s="978"/>
    </row>
    <row r="460" spans="1:33" ht="25.5" customHeight="1">
      <c r="A460" s="983"/>
      <c r="B460" s="547" t="s">
        <v>9</v>
      </c>
      <c r="C460" s="11"/>
      <c r="D460" s="127"/>
      <c r="E460" s="127"/>
      <c r="F460" s="11"/>
      <c r="G460" s="11"/>
      <c r="H460" s="12"/>
      <c r="I460" s="12"/>
      <c r="J460" s="12"/>
      <c r="K460" s="12"/>
      <c r="L460" s="12"/>
      <c r="M460" s="49"/>
      <c r="N460" s="49"/>
      <c r="O460" s="49"/>
      <c r="P460" s="49"/>
      <c r="Q460" s="49"/>
      <c r="R460" s="85"/>
      <c r="S460" s="85"/>
      <c r="T460" s="85"/>
      <c r="U460" s="85"/>
      <c r="V460" s="85"/>
      <c r="W460" s="49"/>
      <c r="X460" s="49"/>
      <c r="Y460" s="972"/>
      <c r="Z460" s="978"/>
    </row>
    <row r="461" spans="1:33" ht="34.5" customHeight="1">
      <c r="A461" s="983"/>
      <c r="B461" s="547" t="s">
        <v>10</v>
      </c>
      <c r="C461" s="11">
        <v>176</v>
      </c>
      <c r="D461" s="127" t="s">
        <v>494</v>
      </c>
      <c r="E461" s="127" t="s">
        <v>495</v>
      </c>
      <c r="F461" s="11">
        <v>6100302810</v>
      </c>
      <c r="G461" s="11">
        <v>244</v>
      </c>
      <c r="H461" s="12">
        <f>SUM(I461:L461)</f>
        <v>168484.3</v>
      </c>
      <c r="I461" s="12">
        <v>109929.1</v>
      </c>
      <c r="J461" s="12">
        <v>42072.010999999999</v>
      </c>
      <c r="K461" s="12">
        <v>0</v>
      </c>
      <c r="L461" s="12">
        <v>16483.188999999998</v>
      </c>
      <c r="M461" s="49">
        <f>179180.3-10000-11893.8-33596-20452</f>
        <v>103238.5</v>
      </c>
      <c r="N461" s="49">
        <v>19369.48</v>
      </c>
      <c r="O461" s="49">
        <v>78791.08</v>
      </c>
      <c r="P461" s="49">
        <v>3256.8220000000001</v>
      </c>
      <c r="Q461" s="49">
        <v>1821.1</v>
      </c>
      <c r="R461" s="85">
        <f>S461+T461+U461+V461</f>
        <v>204575.7</v>
      </c>
      <c r="S461" s="85">
        <v>20020.075860000001</v>
      </c>
      <c r="T461" s="85">
        <v>11265.51065</v>
      </c>
      <c r="U461" s="85">
        <v>11297.955250000001</v>
      </c>
      <c r="V461" s="85">
        <f>15232.95824+72645.8-83.7+74197.1</f>
        <v>161992.15824000002</v>
      </c>
      <c r="W461" s="49">
        <v>162586.29999999999</v>
      </c>
      <c r="X461" s="49">
        <v>200000</v>
      </c>
      <c r="Y461" s="972"/>
      <c r="Z461" s="978"/>
      <c r="AG461" s="76"/>
    </row>
    <row r="462" spans="1:33" ht="30" customHeight="1">
      <c r="A462" s="983"/>
      <c r="B462" s="547" t="s">
        <v>443</v>
      </c>
      <c r="C462" s="11"/>
      <c r="D462" s="127"/>
      <c r="E462" s="127"/>
      <c r="F462" s="11"/>
      <c r="G462" s="11"/>
      <c r="H462" s="34">
        <v>0</v>
      </c>
      <c r="I462" s="34">
        <v>0</v>
      </c>
      <c r="J462" s="34">
        <v>0</v>
      </c>
      <c r="K462" s="34">
        <v>0</v>
      </c>
      <c r="L462" s="34">
        <v>0</v>
      </c>
      <c r="M462" s="49"/>
      <c r="N462" s="49"/>
      <c r="O462" s="49"/>
      <c r="P462" s="49"/>
      <c r="Q462" s="49"/>
      <c r="R462" s="85"/>
      <c r="S462" s="85"/>
      <c r="T462" s="85"/>
      <c r="U462" s="85"/>
      <c r="V462" s="85"/>
      <c r="W462" s="49"/>
      <c r="X462" s="49"/>
      <c r="Y462" s="31"/>
      <c r="Z462" s="978"/>
    </row>
    <row r="463" spans="1:33" ht="33.75" customHeight="1">
      <c r="A463" s="983"/>
      <c r="B463" s="547" t="s">
        <v>442</v>
      </c>
      <c r="C463" s="11"/>
      <c r="D463" s="127"/>
      <c r="E463" s="127"/>
      <c r="F463" s="11"/>
      <c r="G463" s="11"/>
      <c r="H463" s="34">
        <v>0</v>
      </c>
      <c r="I463" s="34">
        <v>0</v>
      </c>
      <c r="J463" s="34">
        <v>0</v>
      </c>
      <c r="K463" s="34">
        <v>0</v>
      </c>
      <c r="L463" s="34">
        <v>0</v>
      </c>
      <c r="M463" s="49"/>
      <c r="N463" s="49"/>
      <c r="O463" s="49"/>
      <c r="P463" s="49"/>
      <c r="Q463" s="49"/>
      <c r="R463" s="85"/>
      <c r="S463" s="85"/>
      <c r="T463" s="85"/>
      <c r="U463" s="85"/>
      <c r="V463" s="85"/>
      <c r="W463" s="49"/>
      <c r="X463" s="49"/>
      <c r="Y463" s="31"/>
      <c r="Z463" s="978"/>
    </row>
    <row r="464" spans="1:33" ht="33.75" customHeight="1">
      <c r="A464" s="983"/>
      <c r="B464" s="811" t="s">
        <v>454</v>
      </c>
      <c r="C464" s="777"/>
      <c r="D464" s="127"/>
      <c r="E464" s="127"/>
      <c r="F464" s="777"/>
      <c r="G464" s="777"/>
      <c r="H464" s="34"/>
      <c r="I464" s="34"/>
      <c r="J464" s="34"/>
      <c r="K464" s="34"/>
      <c r="L464" s="34"/>
      <c r="M464" s="49"/>
      <c r="N464" s="49"/>
      <c r="O464" s="49"/>
      <c r="P464" s="49"/>
      <c r="Q464" s="49"/>
      <c r="R464" s="85"/>
      <c r="S464" s="85"/>
      <c r="T464" s="85"/>
      <c r="U464" s="85"/>
      <c r="V464" s="85"/>
      <c r="W464" s="49"/>
      <c r="X464" s="49"/>
      <c r="Y464" s="31"/>
      <c r="Z464" s="978"/>
    </row>
    <row r="465" spans="1:27" ht="23.25" customHeight="1">
      <c r="A465" s="984"/>
      <c r="B465" s="547" t="s">
        <v>1061</v>
      </c>
      <c r="C465" s="11"/>
      <c r="D465" s="127"/>
      <c r="E465" s="127"/>
      <c r="F465" s="11"/>
      <c r="G465" s="11"/>
      <c r="H465" s="34"/>
      <c r="I465" s="34"/>
      <c r="J465" s="34"/>
      <c r="K465" s="34"/>
      <c r="L465" s="34"/>
      <c r="M465" s="49"/>
      <c r="N465" s="49"/>
      <c r="O465" s="49"/>
      <c r="P465" s="49"/>
      <c r="Q465" s="49"/>
      <c r="R465" s="85"/>
      <c r="S465" s="85"/>
      <c r="T465" s="85"/>
      <c r="U465" s="85"/>
      <c r="V465" s="85"/>
      <c r="W465" s="49"/>
      <c r="X465" s="49"/>
      <c r="Y465" s="31"/>
      <c r="Z465" s="978"/>
    </row>
    <row r="466" spans="1:27" s="82" customFormat="1" ht="26.45" hidden="1" customHeight="1">
      <c r="A466" s="979" t="s">
        <v>506</v>
      </c>
      <c r="B466" s="554" t="s">
        <v>670</v>
      </c>
      <c r="C466" s="337"/>
      <c r="D466" s="337"/>
      <c r="E466" s="337"/>
      <c r="F466" s="337"/>
      <c r="G466" s="337"/>
      <c r="H466" s="338"/>
      <c r="I466" s="337"/>
      <c r="J466" s="337"/>
      <c r="K466" s="337"/>
      <c r="L466" s="338"/>
      <c r="M466" s="84"/>
      <c r="N466" s="84"/>
      <c r="O466" s="84"/>
      <c r="P466" s="84"/>
      <c r="Q466" s="84"/>
      <c r="R466" s="84"/>
      <c r="S466" s="84"/>
      <c r="T466" s="84"/>
      <c r="U466" s="84"/>
      <c r="V466" s="84"/>
      <c r="W466" s="63"/>
      <c r="X466" s="84"/>
      <c r="Y466" s="955"/>
      <c r="Z466" s="971" t="s">
        <v>545</v>
      </c>
      <c r="AA466" s="540"/>
    </row>
    <row r="467" spans="1:27" s="82" customFormat="1" ht="44.25" hidden="1" customHeight="1">
      <c r="A467" s="980"/>
      <c r="B467" s="554" t="s">
        <v>500</v>
      </c>
      <c r="C467" s="337"/>
      <c r="D467" s="337"/>
      <c r="E467" s="337"/>
      <c r="F467" s="337"/>
      <c r="G467" s="337"/>
      <c r="H467" s="339"/>
      <c r="I467" s="339"/>
      <c r="J467" s="339"/>
      <c r="K467" s="339"/>
      <c r="L467" s="339"/>
      <c r="M467" s="85"/>
      <c r="N467" s="85"/>
      <c r="O467" s="85"/>
      <c r="P467" s="85"/>
      <c r="Q467" s="85"/>
      <c r="R467" s="85"/>
      <c r="S467" s="85"/>
      <c r="T467" s="85"/>
      <c r="U467" s="85"/>
      <c r="V467" s="85"/>
      <c r="W467" s="49"/>
      <c r="X467" s="85"/>
      <c r="Y467" s="956"/>
      <c r="Z467" s="972"/>
      <c r="AA467" s="540"/>
    </row>
    <row r="468" spans="1:27" s="82" customFormat="1" ht="30.75" hidden="1" customHeight="1">
      <c r="A468" s="980"/>
      <c r="B468" s="554" t="s">
        <v>524</v>
      </c>
      <c r="C468" s="337">
        <v>176</v>
      </c>
      <c r="D468" s="340" t="s">
        <v>494</v>
      </c>
      <c r="E468" s="340" t="s">
        <v>495</v>
      </c>
      <c r="F468" s="337">
        <v>6100302810</v>
      </c>
      <c r="G468" s="337">
        <v>244</v>
      </c>
      <c r="H468" s="339"/>
      <c r="I468" s="339"/>
      <c r="J468" s="339"/>
      <c r="K468" s="339"/>
      <c r="L468" s="339"/>
      <c r="M468" s="85"/>
      <c r="N468" s="85"/>
      <c r="O468" s="85"/>
      <c r="P468" s="85"/>
      <c r="Q468" s="85"/>
      <c r="R468" s="85">
        <f>R469</f>
        <v>204575.7</v>
      </c>
      <c r="S468" s="85">
        <f t="shared" ref="S468:V468" si="82">S469</f>
        <v>0</v>
      </c>
      <c r="T468" s="85">
        <f t="shared" si="82"/>
        <v>25116.799999999999</v>
      </c>
      <c r="U468" s="85">
        <f t="shared" si="82"/>
        <v>29737.24</v>
      </c>
      <c r="V468" s="85">
        <f t="shared" si="82"/>
        <v>149721.66000000003</v>
      </c>
      <c r="W468" s="49">
        <f t="shared" ref="W468" si="83">W469</f>
        <v>162586.29999999999</v>
      </c>
      <c r="X468" s="85">
        <f t="shared" ref="X468" si="84">X469</f>
        <v>200000</v>
      </c>
      <c r="Y468" s="956"/>
      <c r="Z468" s="972"/>
      <c r="AA468" s="540"/>
    </row>
    <row r="469" spans="1:27" s="82" customFormat="1" ht="32.450000000000003" hidden="1" customHeight="1">
      <c r="A469" s="980"/>
      <c r="B469" s="555" t="s">
        <v>249</v>
      </c>
      <c r="C469" s="337">
        <v>176</v>
      </c>
      <c r="D469" s="340" t="s">
        <v>494</v>
      </c>
      <c r="E469" s="340" t="s">
        <v>495</v>
      </c>
      <c r="F469" s="337">
        <v>6100302810</v>
      </c>
      <c r="G469" s="337">
        <v>244</v>
      </c>
      <c r="H469" s="339"/>
      <c r="I469" s="339"/>
      <c r="J469" s="339"/>
      <c r="K469" s="339"/>
      <c r="L469" s="339"/>
      <c r="M469" s="85"/>
      <c r="N469" s="85"/>
      <c r="O469" s="85"/>
      <c r="P469" s="85"/>
      <c r="Q469" s="85"/>
      <c r="R469" s="85">
        <f>R461-R475</f>
        <v>204575.7</v>
      </c>
      <c r="S469" s="85">
        <v>0</v>
      </c>
      <c r="T469" s="85">
        <v>25116.799999999999</v>
      </c>
      <c r="U469" s="85">
        <v>29737.24</v>
      </c>
      <c r="V469" s="85">
        <f>R469-S469-T469-U469</f>
        <v>149721.66000000003</v>
      </c>
      <c r="W469" s="49">
        <f t="shared" ref="W469:X469" si="85">W461</f>
        <v>162586.29999999999</v>
      </c>
      <c r="X469" s="85">
        <f t="shared" si="85"/>
        <v>200000</v>
      </c>
      <c r="Y469" s="956"/>
      <c r="Z469" s="972"/>
      <c r="AA469" s="540"/>
    </row>
    <row r="470" spans="1:27" s="82" customFormat="1" ht="30" hidden="1" customHeight="1">
      <c r="A470" s="980"/>
      <c r="B470" s="547" t="s">
        <v>443</v>
      </c>
      <c r="C470" s="337"/>
      <c r="D470" s="340"/>
      <c r="E470" s="340"/>
      <c r="F470" s="337"/>
      <c r="G470" s="337"/>
      <c r="H470" s="339"/>
      <c r="I470" s="339"/>
      <c r="J470" s="339"/>
      <c r="K470" s="339"/>
      <c r="L470" s="339"/>
      <c r="M470" s="85"/>
      <c r="N470" s="85"/>
      <c r="O470" s="85"/>
      <c r="P470" s="85"/>
      <c r="Q470" s="85"/>
      <c r="R470" s="85"/>
      <c r="S470" s="85"/>
      <c r="T470" s="85"/>
      <c r="U470" s="85"/>
      <c r="V470" s="85"/>
      <c r="W470" s="49"/>
      <c r="X470" s="85"/>
      <c r="Y470" s="956"/>
      <c r="Z470" s="972"/>
      <c r="AA470" s="540"/>
    </row>
    <row r="471" spans="1:27" s="82" customFormat="1" ht="27.75" hidden="1" customHeight="1">
      <c r="A471" s="980"/>
      <c r="B471" s="554" t="s">
        <v>442</v>
      </c>
      <c r="C471" s="337"/>
      <c r="D471" s="340"/>
      <c r="E471" s="340"/>
      <c r="F471" s="337"/>
      <c r="G471" s="337"/>
      <c r="H471" s="339"/>
      <c r="I471" s="339"/>
      <c r="J471" s="339"/>
      <c r="K471" s="339"/>
      <c r="L471" s="339"/>
      <c r="M471" s="85"/>
      <c r="N471" s="85"/>
      <c r="O471" s="85"/>
      <c r="P471" s="85"/>
      <c r="Q471" s="85"/>
      <c r="R471" s="85"/>
      <c r="S471" s="85"/>
      <c r="T471" s="85"/>
      <c r="U471" s="85"/>
      <c r="V471" s="85"/>
      <c r="W471" s="49"/>
      <c r="X471" s="85"/>
      <c r="Y471" s="956"/>
      <c r="Z471" s="972"/>
      <c r="AA471" s="540"/>
    </row>
    <row r="472" spans="1:27" s="82" customFormat="1" ht="104.25" hidden="1" customHeight="1">
      <c r="A472" s="981"/>
      <c r="B472" s="554" t="s">
        <v>454</v>
      </c>
      <c r="C472" s="337"/>
      <c r="D472" s="340"/>
      <c r="E472" s="340"/>
      <c r="F472" s="337"/>
      <c r="G472" s="337"/>
      <c r="H472" s="339"/>
      <c r="I472" s="339"/>
      <c r="J472" s="339"/>
      <c r="K472" s="339"/>
      <c r="L472" s="339"/>
      <c r="M472" s="85"/>
      <c r="N472" s="85"/>
      <c r="O472" s="85"/>
      <c r="P472" s="85"/>
      <c r="Q472" s="85"/>
      <c r="R472" s="85"/>
      <c r="S472" s="85"/>
      <c r="T472" s="85"/>
      <c r="U472" s="85"/>
      <c r="V472" s="85"/>
      <c r="W472" s="49"/>
      <c r="X472" s="85"/>
      <c r="Y472" s="957"/>
      <c r="Z472" s="973"/>
      <c r="AA472" s="540"/>
    </row>
    <row r="473" spans="1:27" s="82" customFormat="1" ht="26.45" hidden="1" customHeight="1">
      <c r="A473" s="979" t="s">
        <v>802</v>
      </c>
      <c r="B473" s="554" t="s">
        <v>670</v>
      </c>
      <c r="C473" s="337"/>
      <c r="D473" s="337"/>
      <c r="E473" s="337"/>
      <c r="F473" s="337"/>
      <c r="G473" s="337"/>
      <c r="H473" s="338"/>
      <c r="I473" s="337"/>
      <c r="J473" s="337"/>
      <c r="K473" s="337"/>
      <c r="L473" s="338"/>
      <c r="M473" s="84"/>
      <c r="N473" s="84"/>
      <c r="O473" s="84"/>
      <c r="P473" s="84"/>
      <c r="Q473" s="84"/>
      <c r="R473" s="84"/>
      <c r="S473" s="84"/>
      <c r="T473" s="84"/>
      <c r="U473" s="84"/>
      <c r="V473" s="84"/>
      <c r="W473" s="63"/>
      <c r="X473" s="84"/>
      <c r="Y473" s="955"/>
      <c r="Z473" s="955"/>
      <c r="AA473" s="540"/>
    </row>
    <row r="474" spans="1:27" s="82" customFormat="1" ht="31.5" hidden="1" customHeight="1">
      <c r="A474" s="980"/>
      <c r="B474" s="554" t="s">
        <v>500</v>
      </c>
      <c r="C474" s="337"/>
      <c r="D474" s="337"/>
      <c r="E474" s="337"/>
      <c r="F474" s="337"/>
      <c r="G474" s="337"/>
      <c r="H474" s="339"/>
      <c r="I474" s="339"/>
      <c r="J474" s="339"/>
      <c r="K474" s="339"/>
      <c r="L474" s="339"/>
      <c r="M474" s="85"/>
      <c r="N474" s="85"/>
      <c r="O474" s="85"/>
      <c r="P474" s="85"/>
      <c r="Q474" s="85"/>
      <c r="R474" s="85"/>
      <c r="S474" s="85"/>
      <c r="T474" s="85"/>
      <c r="U474" s="85"/>
      <c r="V474" s="85"/>
      <c r="W474" s="49"/>
      <c r="X474" s="85"/>
      <c r="Y474" s="956"/>
      <c r="Z474" s="956"/>
      <c r="AA474" s="540"/>
    </row>
    <row r="475" spans="1:27" s="82" customFormat="1" ht="30.75" hidden="1" customHeight="1">
      <c r="A475" s="980"/>
      <c r="B475" s="554" t="s">
        <v>501</v>
      </c>
      <c r="C475" s="337">
        <v>176</v>
      </c>
      <c r="D475" s="340" t="s">
        <v>494</v>
      </c>
      <c r="E475" s="340" t="s">
        <v>495</v>
      </c>
      <c r="F475" s="337">
        <v>6100302810</v>
      </c>
      <c r="G475" s="337">
        <v>244</v>
      </c>
      <c r="H475" s="339"/>
      <c r="I475" s="339"/>
      <c r="J475" s="339"/>
      <c r="K475" s="339"/>
      <c r="L475" s="339"/>
      <c r="M475" s="85"/>
      <c r="N475" s="85"/>
      <c r="O475" s="85"/>
      <c r="P475" s="85"/>
      <c r="Q475" s="85"/>
      <c r="R475" s="85">
        <f>R476</f>
        <v>0</v>
      </c>
      <c r="S475" s="85">
        <f>S476</f>
        <v>0</v>
      </c>
      <c r="T475" s="85"/>
      <c r="U475" s="85"/>
      <c r="V475" s="85"/>
      <c r="W475" s="49"/>
      <c r="X475" s="85"/>
      <c r="Y475" s="956"/>
      <c r="Z475" s="956"/>
      <c r="AA475" s="540"/>
    </row>
    <row r="476" spans="1:27" s="82" customFormat="1" ht="32.450000000000003" hidden="1" customHeight="1">
      <c r="A476" s="980"/>
      <c r="B476" s="555" t="s">
        <v>503</v>
      </c>
      <c r="C476" s="337">
        <v>176</v>
      </c>
      <c r="D476" s="340" t="s">
        <v>494</v>
      </c>
      <c r="E476" s="340" t="s">
        <v>495</v>
      </c>
      <c r="F476" s="337">
        <v>6100302810</v>
      </c>
      <c r="G476" s="337">
        <v>244</v>
      </c>
      <c r="H476" s="339"/>
      <c r="I476" s="339"/>
      <c r="J476" s="339"/>
      <c r="K476" s="339"/>
      <c r="L476" s="339"/>
      <c r="M476" s="85"/>
      <c r="N476" s="85"/>
      <c r="O476" s="85"/>
      <c r="P476" s="85"/>
      <c r="Q476" s="85"/>
      <c r="R476" s="85">
        <v>0</v>
      </c>
      <c r="S476" s="85">
        <v>0</v>
      </c>
      <c r="T476" s="85"/>
      <c r="U476" s="85"/>
      <c r="V476" s="85"/>
      <c r="W476" s="49"/>
      <c r="X476" s="85"/>
      <c r="Y476" s="956"/>
      <c r="Z476" s="956"/>
      <c r="AA476" s="540"/>
    </row>
    <row r="477" spans="1:27" s="82" customFormat="1" ht="30" hidden="1" customHeight="1">
      <c r="A477" s="980"/>
      <c r="B477" s="554" t="s">
        <v>443</v>
      </c>
      <c r="C477" s="337"/>
      <c r="D477" s="340"/>
      <c r="E477" s="340"/>
      <c r="F477" s="337"/>
      <c r="G477" s="337"/>
      <c r="H477" s="339"/>
      <c r="I477" s="339"/>
      <c r="J477" s="339"/>
      <c r="K477" s="339"/>
      <c r="L477" s="339"/>
      <c r="M477" s="85"/>
      <c r="N477" s="85"/>
      <c r="O477" s="85"/>
      <c r="P477" s="85"/>
      <c r="Q477" s="85"/>
      <c r="R477" s="85"/>
      <c r="S477" s="85"/>
      <c r="T477" s="85"/>
      <c r="U477" s="85"/>
      <c r="V477" s="85"/>
      <c r="W477" s="49"/>
      <c r="X477" s="85"/>
      <c r="Y477" s="956"/>
      <c r="Z477" s="956"/>
      <c r="AA477" s="540"/>
    </row>
    <row r="478" spans="1:27" s="82" customFormat="1" ht="31.5" hidden="1" customHeight="1">
      <c r="A478" s="980"/>
      <c r="B478" s="554" t="s">
        <v>442</v>
      </c>
      <c r="C478" s="337"/>
      <c r="D478" s="340"/>
      <c r="E478" s="340"/>
      <c r="F478" s="337"/>
      <c r="G478" s="337"/>
      <c r="H478" s="339"/>
      <c r="I478" s="339"/>
      <c r="J478" s="339"/>
      <c r="K478" s="339"/>
      <c r="L478" s="339"/>
      <c r="M478" s="85"/>
      <c r="N478" s="85"/>
      <c r="O478" s="85"/>
      <c r="P478" s="85"/>
      <c r="Q478" s="85"/>
      <c r="R478" s="85"/>
      <c r="S478" s="85"/>
      <c r="T478" s="85"/>
      <c r="U478" s="85"/>
      <c r="V478" s="85"/>
      <c r="W478" s="49"/>
      <c r="X478" s="85"/>
      <c r="Y478" s="956"/>
      <c r="Z478" s="956"/>
      <c r="AA478" s="540"/>
    </row>
    <row r="479" spans="1:27" s="82" customFormat="1" ht="30" hidden="1" customHeight="1">
      <c r="A479" s="981"/>
      <c r="B479" s="554" t="s">
        <v>454</v>
      </c>
      <c r="C479" s="337"/>
      <c r="D479" s="340"/>
      <c r="E479" s="340"/>
      <c r="F479" s="337"/>
      <c r="G479" s="337"/>
      <c r="H479" s="339"/>
      <c r="I479" s="339"/>
      <c r="J479" s="339"/>
      <c r="K479" s="339"/>
      <c r="L479" s="339"/>
      <c r="M479" s="85"/>
      <c r="N479" s="85"/>
      <c r="O479" s="85"/>
      <c r="P479" s="85"/>
      <c r="Q479" s="85"/>
      <c r="R479" s="85"/>
      <c r="S479" s="85"/>
      <c r="T479" s="85"/>
      <c r="U479" s="85"/>
      <c r="V479" s="85"/>
      <c r="W479" s="49"/>
      <c r="X479" s="85"/>
      <c r="Y479" s="957"/>
      <c r="Z479" s="957"/>
      <c r="AA479" s="540"/>
    </row>
    <row r="480" spans="1:27" ht="27" hidden="1" customHeight="1">
      <c r="A480" s="982" t="s">
        <v>742</v>
      </c>
      <c r="B480" s="547" t="s">
        <v>91</v>
      </c>
      <c r="C480" s="11"/>
      <c r="D480" s="127"/>
      <c r="E480" s="127"/>
      <c r="F480" s="11"/>
      <c r="G480" s="11"/>
      <c r="H480" s="34">
        <v>0</v>
      </c>
      <c r="I480" s="34">
        <v>0</v>
      </c>
      <c r="J480" s="34">
        <v>0</v>
      </c>
      <c r="K480" s="34">
        <v>0</v>
      </c>
      <c r="L480" s="34">
        <v>0</v>
      </c>
      <c r="M480" s="49" t="s">
        <v>279</v>
      </c>
      <c r="N480" s="49"/>
      <c r="O480" s="49"/>
      <c r="P480" s="49"/>
      <c r="Q480" s="49"/>
      <c r="R480" s="85">
        <f>R488</f>
        <v>0</v>
      </c>
      <c r="S480" s="85"/>
      <c r="T480" s="85"/>
      <c r="U480" s="85"/>
      <c r="V480" s="85"/>
      <c r="W480" s="49">
        <v>0</v>
      </c>
      <c r="X480" s="49">
        <v>0</v>
      </c>
      <c r="Y480" s="971" t="s">
        <v>26</v>
      </c>
      <c r="Z480" s="939" t="s">
        <v>883</v>
      </c>
    </row>
    <row r="481" spans="1:27" ht="43.5" hidden="1" customHeight="1">
      <c r="A481" s="983"/>
      <c r="B481" s="547" t="s">
        <v>24</v>
      </c>
      <c r="C481" s="11"/>
      <c r="D481" s="127"/>
      <c r="E481" s="127"/>
      <c r="F481" s="11"/>
      <c r="G481" s="11"/>
      <c r="H481" s="34">
        <v>0</v>
      </c>
      <c r="I481" s="34">
        <v>0</v>
      </c>
      <c r="J481" s="34">
        <v>0</v>
      </c>
      <c r="K481" s="34">
        <v>0</v>
      </c>
      <c r="L481" s="34">
        <v>0</v>
      </c>
      <c r="M481" s="49"/>
      <c r="N481" s="49"/>
      <c r="O481" s="49"/>
      <c r="P481" s="49"/>
      <c r="Q481" s="49"/>
      <c r="R481" s="85"/>
      <c r="S481" s="85" t="s">
        <v>496</v>
      </c>
      <c r="T481" s="85" t="s">
        <v>496</v>
      </c>
      <c r="U481" s="85" t="s">
        <v>496</v>
      </c>
      <c r="V481" s="85" t="s">
        <v>496</v>
      </c>
      <c r="W481" s="49">
        <v>0</v>
      </c>
      <c r="X481" s="85">
        <v>0</v>
      </c>
      <c r="Y481" s="972"/>
      <c r="Z481" s="974"/>
    </row>
    <row r="482" spans="1:27" ht="33.75" hidden="1" customHeight="1">
      <c r="A482" s="983"/>
      <c r="B482" s="547" t="s">
        <v>25</v>
      </c>
      <c r="C482" s="11">
        <v>176</v>
      </c>
      <c r="D482" s="127" t="s">
        <v>494</v>
      </c>
      <c r="E482" s="127" t="s">
        <v>495</v>
      </c>
      <c r="F482" s="11">
        <v>6100302810</v>
      </c>
      <c r="G482" s="11">
        <v>244</v>
      </c>
      <c r="H482" s="12">
        <f t="shared" ref="H482:V482" si="86">H484</f>
        <v>471538.50000000006</v>
      </c>
      <c r="I482" s="12">
        <f t="shared" si="86"/>
        <v>98825.3</v>
      </c>
      <c r="J482" s="12">
        <f t="shared" si="86"/>
        <v>186244.05599999995</v>
      </c>
      <c r="K482" s="12">
        <f t="shared" si="86"/>
        <v>93862.900000000023</v>
      </c>
      <c r="L482" s="12">
        <f t="shared" si="86"/>
        <v>92606.299999999974</v>
      </c>
      <c r="M482" s="49">
        <f t="shared" si="86"/>
        <v>613669.1</v>
      </c>
      <c r="N482" s="49">
        <f t="shared" si="86"/>
        <v>274168.0493502465</v>
      </c>
      <c r="O482" s="49">
        <f t="shared" si="86"/>
        <v>70347.058700493129</v>
      </c>
      <c r="P482" s="49">
        <f t="shared" si="86"/>
        <v>152928.4</v>
      </c>
      <c r="Q482" s="49">
        <f t="shared" si="86"/>
        <v>116225.60519802752</v>
      </c>
      <c r="R482" s="85">
        <f t="shared" si="86"/>
        <v>0</v>
      </c>
      <c r="S482" s="85">
        <f t="shared" si="86"/>
        <v>0</v>
      </c>
      <c r="T482" s="85">
        <f t="shared" si="86"/>
        <v>0</v>
      </c>
      <c r="U482" s="85">
        <f t="shared" si="86"/>
        <v>0</v>
      </c>
      <c r="V482" s="85">
        <f t="shared" si="86"/>
        <v>0</v>
      </c>
      <c r="W482" s="49">
        <f>W484</f>
        <v>0</v>
      </c>
      <c r="X482" s="49">
        <f>X484</f>
        <v>0</v>
      </c>
      <c r="Y482" s="972"/>
      <c r="Z482" s="974"/>
    </row>
    <row r="483" spans="1:27" hidden="1">
      <c r="A483" s="983"/>
      <c r="B483" s="547" t="s">
        <v>9</v>
      </c>
      <c r="C483" s="11"/>
      <c r="D483" s="127"/>
      <c r="E483" s="127"/>
      <c r="F483" s="11"/>
      <c r="G483" s="11"/>
      <c r="H483" s="12"/>
      <c r="I483" s="12"/>
      <c r="J483" s="12"/>
      <c r="K483" s="12"/>
      <c r="L483" s="12"/>
      <c r="M483" s="49"/>
      <c r="N483" s="49"/>
      <c r="O483" s="49"/>
      <c r="P483" s="49"/>
      <c r="Q483" s="49"/>
      <c r="R483" s="85"/>
      <c r="S483" s="85"/>
      <c r="T483" s="85"/>
      <c r="U483" s="85"/>
      <c r="V483" s="85"/>
      <c r="W483" s="49"/>
      <c r="X483" s="49"/>
      <c r="Y483" s="972"/>
      <c r="Z483" s="974"/>
    </row>
    <row r="484" spans="1:27" ht="36.75" hidden="1" customHeight="1">
      <c r="A484" s="983"/>
      <c r="B484" s="547" t="s">
        <v>10</v>
      </c>
      <c r="C484" s="11">
        <v>176</v>
      </c>
      <c r="D484" s="127" t="s">
        <v>494</v>
      </c>
      <c r="E484" s="127" t="s">
        <v>495</v>
      </c>
      <c r="F484" s="11">
        <v>6100302810</v>
      </c>
      <c r="G484" s="11">
        <v>244</v>
      </c>
      <c r="H484" s="12">
        <f>SUM(H493:H523)</f>
        <v>471538.50000000006</v>
      </c>
      <c r="I484" s="12">
        <f>SUM(I493:I523)</f>
        <v>98825.3</v>
      </c>
      <c r="J484" s="12">
        <f t="shared" ref="J484:X484" si="87">SUM(J493:J522)</f>
        <v>186244.05599999995</v>
      </c>
      <c r="K484" s="12">
        <f t="shared" si="87"/>
        <v>93862.900000000023</v>
      </c>
      <c r="L484" s="12">
        <f t="shared" si="87"/>
        <v>92606.299999999974</v>
      </c>
      <c r="M484" s="49">
        <f>SUM(M493:M523)</f>
        <v>613669.1</v>
      </c>
      <c r="N484" s="49">
        <f>SUM(N493:N523)</f>
        <v>274168.0493502465</v>
      </c>
      <c r="O484" s="49">
        <f t="shared" si="87"/>
        <v>70347.058700493129</v>
      </c>
      <c r="P484" s="49">
        <f t="shared" si="87"/>
        <v>152928.4</v>
      </c>
      <c r="Q484" s="49">
        <f t="shared" si="87"/>
        <v>116225.60519802752</v>
      </c>
      <c r="R484" s="85">
        <f>R490+R527</f>
        <v>0</v>
      </c>
      <c r="S484" s="85">
        <f t="shared" ref="S484:V484" si="88">S490+S527</f>
        <v>0</v>
      </c>
      <c r="T484" s="85">
        <f t="shared" si="88"/>
        <v>0</v>
      </c>
      <c r="U484" s="85">
        <f t="shared" si="88"/>
        <v>0</v>
      </c>
      <c r="V484" s="85">
        <f t="shared" si="88"/>
        <v>0</v>
      </c>
      <c r="W484" s="49">
        <f t="shared" si="87"/>
        <v>0</v>
      </c>
      <c r="X484" s="49">
        <f t="shared" si="87"/>
        <v>0</v>
      </c>
      <c r="Y484" s="972"/>
      <c r="Z484" s="974"/>
    </row>
    <row r="485" spans="1:27" ht="27.75" hidden="1" customHeight="1">
      <c r="A485" s="983"/>
      <c r="B485" s="547" t="s">
        <v>443</v>
      </c>
      <c r="C485" s="11"/>
      <c r="D485" s="127"/>
      <c r="E485" s="127"/>
      <c r="F485" s="11"/>
      <c r="G485" s="11"/>
      <c r="H485" s="34">
        <v>0</v>
      </c>
      <c r="I485" s="34">
        <v>0</v>
      </c>
      <c r="J485" s="34">
        <v>0</v>
      </c>
      <c r="K485" s="34">
        <v>0</v>
      </c>
      <c r="L485" s="34">
        <v>0</v>
      </c>
      <c r="M485" s="49"/>
      <c r="N485" s="49"/>
      <c r="O485" s="49"/>
      <c r="P485" s="49"/>
      <c r="Q485" s="49"/>
      <c r="R485" s="85"/>
      <c r="S485" s="85"/>
      <c r="T485" s="85"/>
      <c r="U485" s="85"/>
      <c r="V485" s="85"/>
      <c r="W485" s="49"/>
      <c r="X485" s="49"/>
      <c r="Y485" s="972"/>
      <c r="Z485" s="974"/>
    </row>
    <row r="486" spans="1:27" ht="28.5" hidden="1" customHeight="1">
      <c r="A486" s="983"/>
      <c r="B486" s="547" t="s">
        <v>442</v>
      </c>
      <c r="C486" s="11"/>
      <c r="D486" s="127"/>
      <c r="E486" s="127"/>
      <c r="F486" s="11"/>
      <c r="G486" s="11"/>
      <c r="H486" s="34">
        <v>0</v>
      </c>
      <c r="I486" s="34">
        <v>0</v>
      </c>
      <c r="J486" s="34">
        <v>0</v>
      </c>
      <c r="K486" s="34">
        <v>0</v>
      </c>
      <c r="L486" s="34">
        <v>0</v>
      </c>
      <c r="M486" s="49"/>
      <c r="N486" s="49"/>
      <c r="O486" s="49"/>
      <c r="P486" s="49"/>
      <c r="Q486" s="49"/>
      <c r="R486" s="85"/>
      <c r="S486" s="85"/>
      <c r="T486" s="85"/>
      <c r="U486" s="85"/>
      <c r="V486" s="85"/>
      <c r="W486" s="49"/>
      <c r="X486" s="49"/>
      <c r="Y486" s="972"/>
      <c r="Z486" s="974"/>
    </row>
    <row r="487" spans="1:27" ht="25.5" hidden="1" customHeight="1">
      <c r="A487" s="984"/>
      <c r="B487" s="547" t="s">
        <v>454</v>
      </c>
      <c r="C487" s="11"/>
      <c r="D487" s="127"/>
      <c r="E487" s="127"/>
      <c r="F487" s="11"/>
      <c r="G487" s="11"/>
      <c r="H487" s="34">
        <v>0</v>
      </c>
      <c r="I487" s="34">
        <v>0</v>
      </c>
      <c r="J487" s="34">
        <v>0</v>
      </c>
      <c r="K487" s="34">
        <v>0</v>
      </c>
      <c r="L487" s="34">
        <v>0</v>
      </c>
      <c r="M487" s="49"/>
      <c r="N487" s="49"/>
      <c r="O487" s="49"/>
      <c r="P487" s="49"/>
      <c r="Q487" s="49"/>
      <c r="R487" s="85"/>
      <c r="S487" s="85"/>
      <c r="T487" s="85"/>
      <c r="U487" s="85"/>
      <c r="V487" s="85"/>
      <c r="W487" s="49"/>
      <c r="X487" s="49"/>
      <c r="Y487" s="972"/>
      <c r="Z487" s="974"/>
    </row>
    <row r="488" spans="1:27" ht="33" hidden="1" customHeight="1">
      <c r="A488" s="982" t="s">
        <v>801</v>
      </c>
      <c r="B488" s="547" t="s">
        <v>91</v>
      </c>
      <c r="C488" s="11"/>
      <c r="D488" s="127"/>
      <c r="E488" s="127"/>
      <c r="F488" s="11"/>
      <c r="G488" s="11"/>
      <c r="H488" s="34"/>
      <c r="I488" s="34"/>
      <c r="J488" s="34"/>
      <c r="K488" s="34"/>
      <c r="L488" s="34"/>
      <c r="M488" s="49"/>
      <c r="N488" s="49"/>
      <c r="O488" s="49"/>
      <c r="P488" s="49"/>
      <c r="Q488" s="49"/>
      <c r="R488" s="49">
        <v>0</v>
      </c>
      <c r="S488" s="49"/>
      <c r="T488" s="49"/>
      <c r="U488" s="85"/>
      <c r="V488" s="85"/>
      <c r="W488" s="49">
        <v>0</v>
      </c>
      <c r="X488" s="49">
        <v>0</v>
      </c>
      <c r="Y488" s="972"/>
      <c r="Z488" s="974"/>
    </row>
    <row r="489" spans="1:27" ht="33" hidden="1" customHeight="1">
      <c r="A489" s="983"/>
      <c r="B489" s="547" t="s">
        <v>24</v>
      </c>
      <c r="C489" s="11">
        <v>176</v>
      </c>
      <c r="D489" s="127" t="s">
        <v>494</v>
      </c>
      <c r="E489" s="127" t="s">
        <v>495</v>
      </c>
      <c r="F489" s="11">
        <v>6100302810</v>
      </c>
      <c r="G489" s="11">
        <v>244</v>
      </c>
      <c r="H489" s="34"/>
      <c r="I489" s="34"/>
      <c r="J489" s="34"/>
      <c r="K489" s="34"/>
      <c r="L489" s="34"/>
      <c r="M489" s="49"/>
      <c r="N489" s="49"/>
      <c r="O489" s="49"/>
      <c r="P489" s="49"/>
      <c r="Q489" s="49"/>
      <c r="R489" s="85"/>
      <c r="S489" s="85" t="s">
        <v>496</v>
      </c>
      <c r="T489" s="85" t="s">
        <v>496</v>
      </c>
      <c r="U489" s="85" t="s">
        <v>496</v>
      </c>
      <c r="V489" s="85" t="s">
        <v>496</v>
      </c>
      <c r="W489" s="49">
        <v>0</v>
      </c>
      <c r="X489" s="85">
        <v>0</v>
      </c>
      <c r="Y489" s="972"/>
      <c r="Z489" s="974"/>
    </row>
    <row r="490" spans="1:27" ht="26.25" hidden="1" customHeight="1">
      <c r="A490" s="983"/>
      <c r="B490" s="547" t="s">
        <v>25</v>
      </c>
      <c r="C490" s="11">
        <v>176</v>
      </c>
      <c r="D490" s="127" t="s">
        <v>494</v>
      </c>
      <c r="E490" s="127" t="s">
        <v>495</v>
      </c>
      <c r="F490" s="11">
        <v>6100302810</v>
      </c>
      <c r="G490" s="11">
        <v>244</v>
      </c>
      <c r="H490" s="34"/>
      <c r="I490" s="34"/>
      <c r="J490" s="34"/>
      <c r="K490" s="34"/>
      <c r="L490" s="34"/>
      <c r="M490" s="49"/>
      <c r="N490" s="49"/>
      <c r="O490" s="49"/>
      <c r="P490" s="49"/>
      <c r="Q490" s="49"/>
      <c r="R490" s="49">
        <f>R491</f>
        <v>0</v>
      </c>
      <c r="S490" s="49">
        <f t="shared" ref="S490:X490" si="89">S491</f>
        <v>0</v>
      </c>
      <c r="T490" s="49">
        <f t="shared" si="89"/>
        <v>0</v>
      </c>
      <c r="U490" s="85">
        <f t="shared" si="89"/>
        <v>0</v>
      </c>
      <c r="V490" s="85">
        <f t="shared" si="89"/>
        <v>0</v>
      </c>
      <c r="W490" s="49">
        <f t="shared" si="89"/>
        <v>0</v>
      </c>
      <c r="X490" s="85">
        <f t="shared" si="89"/>
        <v>0</v>
      </c>
      <c r="Y490" s="972"/>
      <c r="Z490" s="974"/>
    </row>
    <row r="491" spans="1:27" ht="26.25" hidden="1" customHeight="1">
      <c r="A491" s="984"/>
      <c r="B491" s="547" t="s">
        <v>10</v>
      </c>
      <c r="C491" s="11">
        <v>176</v>
      </c>
      <c r="D491" s="127" t="s">
        <v>494</v>
      </c>
      <c r="E491" s="127" t="s">
        <v>495</v>
      </c>
      <c r="F491" s="11">
        <v>6100302810</v>
      </c>
      <c r="G491" s="11">
        <v>244</v>
      </c>
      <c r="H491" s="34"/>
      <c r="I491" s="34"/>
      <c r="J491" s="34"/>
      <c r="K491" s="34"/>
      <c r="L491" s="34"/>
      <c r="M491" s="49"/>
      <c r="N491" s="49"/>
      <c r="O491" s="49"/>
      <c r="P491" s="49"/>
      <c r="Q491" s="49"/>
      <c r="R491" s="49">
        <f>SUM(R493:R522)</f>
        <v>0</v>
      </c>
      <c r="S491" s="49">
        <f t="shared" ref="S491:X491" si="90">SUM(S493:S522)</f>
        <v>0</v>
      </c>
      <c r="T491" s="49">
        <f t="shared" si="90"/>
        <v>0</v>
      </c>
      <c r="U491" s="85">
        <f t="shared" si="90"/>
        <v>0</v>
      </c>
      <c r="V491" s="85">
        <f t="shared" si="90"/>
        <v>0</v>
      </c>
      <c r="W491" s="361">
        <f t="shared" si="90"/>
        <v>0</v>
      </c>
      <c r="X491" s="361">
        <f t="shared" si="90"/>
        <v>0</v>
      </c>
      <c r="Y491" s="972"/>
      <c r="Z491" s="974"/>
      <c r="AA491" s="313"/>
    </row>
    <row r="492" spans="1:27" ht="17.25" hidden="1" customHeight="1">
      <c r="A492" s="344" t="s">
        <v>41</v>
      </c>
      <c r="B492" s="546"/>
      <c r="C492" s="349"/>
      <c r="D492" s="335"/>
      <c r="E492" s="335"/>
      <c r="F492" s="349"/>
      <c r="G492" s="349"/>
      <c r="H492" s="25"/>
      <c r="I492" s="25"/>
      <c r="J492" s="25"/>
      <c r="K492" s="25"/>
      <c r="L492" s="25"/>
      <c r="M492" s="65"/>
      <c r="N492" s="65"/>
      <c r="O492" s="65"/>
      <c r="P492" s="65"/>
      <c r="Q492" s="65"/>
      <c r="R492" s="65"/>
      <c r="S492" s="65"/>
      <c r="T492" s="65"/>
      <c r="U492" s="86"/>
      <c r="V492" s="86"/>
      <c r="W492" s="65"/>
      <c r="X492" s="65"/>
      <c r="Y492" s="972"/>
      <c r="Z492" s="974"/>
    </row>
    <row r="493" spans="1:27" ht="22.5" hidden="1" customHeight="1">
      <c r="A493" s="16" t="s">
        <v>42</v>
      </c>
      <c r="B493" s="546" t="s">
        <v>33</v>
      </c>
      <c r="C493" s="349">
        <v>176</v>
      </c>
      <c r="D493" s="335" t="s">
        <v>494</v>
      </c>
      <c r="E493" s="335" t="s">
        <v>495</v>
      </c>
      <c r="F493" s="349">
        <v>6100302810</v>
      </c>
      <c r="G493" s="349">
        <v>244</v>
      </c>
      <c r="H493" s="9">
        <v>10108.200000000001</v>
      </c>
      <c r="I493" s="9">
        <f>H493*32659.8/405373</f>
        <v>814.39017980970618</v>
      </c>
      <c r="J493" s="9">
        <f>H493*186244.056/405373</f>
        <v>4644.0985631978456</v>
      </c>
      <c r="K493" s="9">
        <f>H493*93862.9/405373</f>
        <v>2340.5233347558915</v>
      </c>
      <c r="L493" s="9">
        <f>H493*92606.3/405373</f>
        <v>2309.1893186275356</v>
      </c>
      <c r="M493" s="67">
        <f>214+6003.8+2760.65</f>
        <v>8978.4500000000007</v>
      </c>
      <c r="N493" s="67">
        <f>M493*205462.55/461713.6</f>
        <v>3995.410211108142</v>
      </c>
      <c r="O493" s="67">
        <f>M493*53097.06/461713.6</f>
        <v>1032.5216722162829</v>
      </c>
      <c r="P493" s="67">
        <f>M493*115428.4/461713.6</f>
        <v>2244.6125000000002</v>
      </c>
      <c r="Q493" s="67">
        <f>M493*87725.6/461713.6</f>
        <v>1705.9058111348684</v>
      </c>
      <c r="R493" s="65">
        <v>0</v>
      </c>
      <c r="S493" s="65">
        <v>0</v>
      </c>
      <c r="T493" s="65">
        <v>0</v>
      </c>
      <c r="U493" s="86">
        <v>0</v>
      </c>
      <c r="V493" s="86">
        <f>R493-S493-T493-U493</f>
        <v>0</v>
      </c>
      <c r="W493" s="65">
        <v>0</v>
      </c>
      <c r="X493" s="65">
        <v>0</v>
      </c>
      <c r="Y493" s="972"/>
      <c r="Z493" s="974"/>
    </row>
    <row r="494" spans="1:27" hidden="1">
      <c r="A494" s="16" t="s">
        <v>43</v>
      </c>
      <c r="B494" s="546" t="s">
        <v>33</v>
      </c>
      <c r="C494" s="349">
        <v>176</v>
      </c>
      <c r="D494" s="335" t="s">
        <v>494</v>
      </c>
      <c r="E494" s="335" t="s">
        <v>495</v>
      </c>
      <c r="F494" s="349">
        <v>6100302810</v>
      </c>
      <c r="G494" s="349">
        <v>244</v>
      </c>
      <c r="H494" s="9">
        <v>4909.7</v>
      </c>
      <c r="I494" s="9">
        <f t="shared" ref="I494:I522" si="91">H494*32659.8/405373</f>
        <v>395.56117467122874</v>
      </c>
      <c r="J494" s="9">
        <f t="shared" ref="J494:J522" si="92">H494*186244.056/405373</f>
        <v>2255.7063290924657</v>
      </c>
      <c r="K494" s="9">
        <f t="shared" ref="K494:K522" si="93">H494*93862.9/405373</f>
        <v>1136.8262813014185</v>
      </c>
      <c r="L494" s="9">
        <f t="shared" ref="L494:L522" si="94">H494*92606.3/405373</f>
        <v>1121.6068931823283</v>
      </c>
      <c r="M494" s="67">
        <f>267.5+9327.5+5521.09</f>
        <v>15116.09</v>
      </c>
      <c r="N494" s="67">
        <f t="shared" ref="N494:N522" si="95">M494*205462.55/461713.6</f>
        <v>6726.6599845217897</v>
      </c>
      <c r="O494" s="67">
        <f t="shared" ref="O494:O522" si="96">M494*53097.06/461713.6</f>
        <v>1738.3502190435804</v>
      </c>
      <c r="P494" s="67">
        <f t="shared" ref="P494:P522" si="97">M494*115428.4/461713.6</f>
        <v>3779.0225</v>
      </c>
      <c r="Q494" s="67">
        <f t="shared" ref="Q494:Q522" si="98">M494*87725.6/461713.6</f>
        <v>2872.057623825679</v>
      </c>
      <c r="R494" s="65">
        <v>0</v>
      </c>
      <c r="S494" s="65">
        <v>0</v>
      </c>
      <c r="T494" s="65">
        <v>0</v>
      </c>
      <c r="U494" s="86">
        <v>0</v>
      </c>
      <c r="V494" s="86">
        <f t="shared" ref="V494:V522" si="99">R494-S494-T494-U494</f>
        <v>0</v>
      </c>
      <c r="W494" s="65">
        <v>0</v>
      </c>
      <c r="X494" s="65">
        <v>0</v>
      </c>
      <c r="Y494" s="972"/>
      <c r="Z494" s="974"/>
    </row>
    <row r="495" spans="1:27" hidden="1">
      <c r="A495" s="16" t="s">
        <v>44</v>
      </c>
      <c r="B495" s="546" t="s">
        <v>33</v>
      </c>
      <c r="C495" s="349">
        <v>176</v>
      </c>
      <c r="D495" s="335" t="s">
        <v>494</v>
      </c>
      <c r="E495" s="335" t="s">
        <v>495</v>
      </c>
      <c r="F495" s="349">
        <v>6100302810</v>
      </c>
      <c r="G495" s="349">
        <v>244</v>
      </c>
      <c r="H495" s="9">
        <v>11100.1</v>
      </c>
      <c r="I495" s="9">
        <f t="shared" si="91"/>
        <v>894.30486485286394</v>
      </c>
      <c r="J495" s="9">
        <f t="shared" si="92"/>
        <v>5099.8158387598587</v>
      </c>
      <c r="K495" s="9">
        <f t="shared" si="93"/>
        <v>2570.1947990862736</v>
      </c>
      <c r="L495" s="9">
        <f t="shared" si="94"/>
        <v>2535.7860307173892</v>
      </c>
      <c r="M495" s="67">
        <f>2889+8000+12000</f>
        <v>22889</v>
      </c>
      <c r="N495" s="67">
        <f t="shared" si="95"/>
        <v>10185.604900851957</v>
      </c>
      <c r="O495" s="67">
        <f t="shared" si="96"/>
        <v>2632.2348017039135</v>
      </c>
      <c r="P495" s="67">
        <f t="shared" si="97"/>
        <v>5722.25</v>
      </c>
      <c r="Q495" s="67">
        <f t="shared" si="98"/>
        <v>4348.9107931843464</v>
      </c>
      <c r="R495" s="65">
        <v>0</v>
      </c>
      <c r="S495" s="65">
        <v>0</v>
      </c>
      <c r="T495" s="65">
        <v>0</v>
      </c>
      <c r="U495" s="86">
        <v>0</v>
      </c>
      <c r="V495" s="86">
        <f t="shared" si="99"/>
        <v>0</v>
      </c>
      <c r="W495" s="65">
        <v>0</v>
      </c>
      <c r="X495" s="65">
        <v>0</v>
      </c>
      <c r="Y495" s="972"/>
      <c r="Z495" s="974"/>
    </row>
    <row r="496" spans="1:27" hidden="1">
      <c r="A496" s="16" t="s">
        <v>45</v>
      </c>
      <c r="B496" s="546" t="s">
        <v>33</v>
      </c>
      <c r="C496" s="349">
        <v>176</v>
      </c>
      <c r="D496" s="335" t="s">
        <v>494</v>
      </c>
      <c r="E496" s="335" t="s">
        <v>495</v>
      </c>
      <c r="F496" s="349">
        <v>6100302810</v>
      </c>
      <c r="G496" s="349">
        <v>244</v>
      </c>
      <c r="H496" s="9">
        <v>6324.2</v>
      </c>
      <c r="I496" s="9">
        <f t="shared" si="91"/>
        <v>509.5235922471403</v>
      </c>
      <c r="J496" s="9">
        <f t="shared" si="92"/>
        <v>2905.5824116435974</v>
      </c>
      <c r="K496" s="9">
        <f t="shared" si="93"/>
        <v>1464.3495057144901</v>
      </c>
      <c r="L496" s="9">
        <f t="shared" si="94"/>
        <v>1444.745364047433</v>
      </c>
      <c r="M496" s="67">
        <f>1605+6510+7500</f>
        <v>15615</v>
      </c>
      <c r="N496" s="67">
        <f t="shared" si="95"/>
        <v>6948.6749323606673</v>
      </c>
      <c r="O496" s="67">
        <f t="shared" si="96"/>
        <v>1795.7248647213337</v>
      </c>
      <c r="P496" s="67">
        <f t="shared" si="97"/>
        <v>3903.75</v>
      </c>
      <c r="Q496" s="67">
        <f t="shared" si="98"/>
        <v>2966.8505411146652</v>
      </c>
      <c r="R496" s="65">
        <v>0</v>
      </c>
      <c r="S496" s="65">
        <v>0</v>
      </c>
      <c r="T496" s="65">
        <v>0</v>
      </c>
      <c r="U496" s="86">
        <v>0</v>
      </c>
      <c r="V496" s="86">
        <f t="shared" si="99"/>
        <v>0</v>
      </c>
      <c r="W496" s="65">
        <v>0</v>
      </c>
      <c r="X496" s="65">
        <v>0</v>
      </c>
      <c r="Y496" s="972"/>
      <c r="Z496" s="974"/>
    </row>
    <row r="497" spans="1:29" hidden="1">
      <c r="A497" s="16" t="s">
        <v>46</v>
      </c>
      <c r="B497" s="546" t="s">
        <v>33</v>
      </c>
      <c r="C497" s="349">
        <v>176</v>
      </c>
      <c r="D497" s="335" t="s">
        <v>494</v>
      </c>
      <c r="E497" s="335" t="s">
        <v>495</v>
      </c>
      <c r="F497" s="349">
        <v>6100302810</v>
      </c>
      <c r="G497" s="349">
        <v>244</v>
      </c>
      <c r="H497" s="9">
        <v>7310.1</v>
      </c>
      <c r="I497" s="9">
        <f t="shared" si="91"/>
        <v>588.95487361023061</v>
      </c>
      <c r="J497" s="9">
        <f t="shared" si="92"/>
        <v>3358.5430548299964</v>
      </c>
      <c r="K497" s="9">
        <f t="shared" si="93"/>
        <v>1692.6316880749334</v>
      </c>
      <c r="L497" s="9">
        <f t="shared" si="94"/>
        <v>1669.9713933340408</v>
      </c>
      <c r="M497" s="67">
        <f>267.5+9010</f>
        <v>9277.5</v>
      </c>
      <c r="N497" s="67">
        <f t="shared" si="95"/>
        <v>4128.4874598127499</v>
      </c>
      <c r="O497" s="67">
        <f t="shared" si="96"/>
        <v>1066.9124196254995</v>
      </c>
      <c r="P497" s="67">
        <f t="shared" si="97"/>
        <v>2319.375</v>
      </c>
      <c r="Q497" s="67">
        <f t="shared" si="98"/>
        <v>1762.7253214980024</v>
      </c>
      <c r="R497" s="65">
        <v>0</v>
      </c>
      <c r="S497" s="65">
        <v>0</v>
      </c>
      <c r="T497" s="65">
        <v>0</v>
      </c>
      <c r="U497" s="86">
        <v>0</v>
      </c>
      <c r="V497" s="86">
        <f t="shared" si="99"/>
        <v>0</v>
      </c>
      <c r="W497" s="65">
        <v>0</v>
      </c>
      <c r="X497" s="65">
        <v>0</v>
      </c>
      <c r="Y497" s="972"/>
      <c r="Z497" s="974"/>
    </row>
    <row r="498" spans="1:29" hidden="1">
      <c r="A498" s="16" t="s">
        <v>47</v>
      </c>
      <c r="B498" s="546" t="s">
        <v>33</v>
      </c>
      <c r="C498" s="349">
        <v>176</v>
      </c>
      <c r="D498" s="335" t="s">
        <v>494</v>
      </c>
      <c r="E498" s="335" t="s">
        <v>495</v>
      </c>
      <c r="F498" s="349">
        <v>6100302810</v>
      </c>
      <c r="G498" s="349">
        <v>244</v>
      </c>
      <c r="H498" s="9">
        <v>10630</v>
      </c>
      <c r="I498" s="9">
        <f t="shared" si="91"/>
        <v>856.43018651957584</v>
      </c>
      <c r="J498" s="9">
        <f t="shared" si="92"/>
        <v>4883.8336921304581</v>
      </c>
      <c r="K498" s="9">
        <f t="shared" si="93"/>
        <v>2461.3445567415688</v>
      </c>
      <c r="L498" s="9">
        <f t="shared" si="94"/>
        <v>2428.3930330831113</v>
      </c>
      <c r="M498" s="67">
        <f>963+14696.8+6013.86</f>
        <v>21673.66</v>
      </c>
      <c r="N498" s="67">
        <f t="shared" si="95"/>
        <v>9644.7786061164315</v>
      </c>
      <c r="O498" s="67">
        <f t="shared" si="96"/>
        <v>2492.470712232865</v>
      </c>
      <c r="P498" s="67">
        <f t="shared" si="97"/>
        <v>5418.415</v>
      </c>
      <c r="Q498" s="67">
        <f t="shared" si="98"/>
        <v>4117.9961510685416</v>
      </c>
      <c r="R498" s="65">
        <v>0</v>
      </c>
      <c r="S498" s="65">
        <v>0</v>
      </c>
      <c r="T498" s="65">
        <v>0</v>
      </c>
      <c r="U498" s="86">
        <v>0</v>
      </c>
      <c r="V498" s="86">
        <f t="shared" si="99"/>
        <v>0</v>
      </c>
      <c r="W498" s="65">
        <v>0</v>
      </c>
      <c r="X498" s="65">
        <v>0</v>
      </c>
      <c r="Y498" s="972"/>
      <c r="Z498" s="974"/>
    </row>
    <row r="499" spans="1:29" hidden="1">
      <c r="A499" s="16" t="s">
        <v>48</v>
      </c>
      <c r="B499" s="546" t="s">
        <v>33</v>
      </c>
      <c r="C499" s="349">
        <v>176</v>
      </c>
      <c r="D499" s="335" t="s">
        <v>494</v>
      </c>
      <c r="E499" s="335" t="s">
        <v>495</v>
      </c>
      <c r="F499" s="349">
        <v>6100302810</v>
      </c>
      <c r="G499" s="349">
        <v>244</v>
      </c>
      <c r="H499" s="9">
        <v>14297.1</v>
      </c>
      <c r="I499" s="9">
        <f t="shared" si="91"/>
        <v>1151.8784590488267</v>
      </c>
      <c r="J499" s="9">
        <f t="shared" si="92"/>
        <v>6568.6414562331483</v>
      </c>
      <c r="K499" s="9">
        <f t="shared" si="93"/>
        <v>3310.4505420686623</v>
      </c>
      <c r="L499" s="9">
        <f t="shared" si="94"/>
        <v>3266.131517713316</v>
      </c>
      <c r="M499" s="67">
        <f>5350+5393</f>
        <v>10743</v>
      </c>
      <c r="N499" s="67">
        <f t="shared" si="95"/>
        <v>4780.6349534646588</v>
      </c>
      <c r="O499" s="67">
        <f t="shared" si="96"/>
        <v>1235.4449069293171</v>
      </c>
      <c r="P499" s="67">
        <f t="shared" si="97"/>
        <v>2685.7500000000005</v>
      </c>
      <c r="Q499" s="67">
        <f t="shared" si="98"/>
        <v>2041.1703722827315</v>
      </c>
      <c r="R499" s="65">
        <v>0</v>
      </c>
      <c r="S499" s="65">
        <v>0</v>
      </c>
      <c r="T499" s="65">
        <v>0</v>
      </c>
      <c r="U499" s="86">
        <v>0</v>
      </c>
      <c r="V499" s="86">
        <f t="shared" si="99"/>
        <v>0</v>
      </c>
      <c r="W499" s="65">
        <v>0</v>
      </c>
      <c r="X499" s="65">
        <v>0</v>
      </c>
      <c r="Y499" s="972"/>
      <c r="Z499" s="974"/>
    </row>
    <row r="500" spans="1:29" hidden="1">
      <c r="A500" s="16" t="s">
        <v>49</v>
      </c>
      <c r="B500" s="546" t="s">
        <v>33</v>
      </c>
      <c r="C500" s="349">
        <v>176</v>
      </c>
      <c r="D500" s="335" t="s">
        <v>494</v>
      </c>
      <c r="E500" s="335" t="s">
        <v>495</v>
      </c>
      <c r="F500" s="349">
        <v>6100302810</v>
      </c>
      <c r="G500" s="349">
        <v>244</v>
      </c>
      <c r="H500" s="9">
        <v>10412.700000000001</v>
      </c>
      <c r="I500" s="9">
        <f t="shared" si="91"/>
        <v>838.92291657313149</v>
      </c>
      <c r="J500" s="9">
        <f t="shared" si="92"/>
        <v>4783.9976562602842</v>
      </c>
      <c r="K500" s="9">
        <f t="shared" si="93"/>
        <v>2411.0293947302857</v>
      </c>
      <c r="L500" s="9">
        <f t="shared" si="94"/>
        <v>2378.7514708922404</v>
      </c>
      <c r="M500" s="67">
        <f>3210+16861.1+7959.96</f>
        <v>28031.059999999998</v>
      </c>
      <c r="N500" s="67">
        <f t="shared" si="95"/>
        <v>12473.821578578149</v>
      </c>
      <c r="O500" s="67">
        <f t="shared" si="96"/>
        <v>3223.5716571562971</v>
      </c>
      <c r="P500" s="67">
        <f t="shared" si="97"/>
        <v>7007.7649999999994</v>
      </c>
      <c r="Q500" s="67">
        <f t="shared" si="98"/>
        <v>5325.9023713748093</v>
      </c>
      <c r="R500" s="65">
        <v>0</v>
      </c>
      <c r="S500" s="65">
        <v>0</v>
      </c>
      <c r="T500" s="65">
        <v>0</v>
      </c>
      <c r="U500" s="86">
        <v>0</v>
      </c>
      <c r="V500" s="86">
        <f t="shared" si="99"/>
        <v>0</v>
      </c>
      <c r="W500" s="65">
        <v>0</v>
      </c>
      <c r="X500" s="65">
        <v>0</v>
      </c>
      <c r="Y500" s="972"/>
      <c r="Z500" s="974"/>
    </row>
    <row r="501" spans="1:29" hidden="1">
      <c r="A501" s="16" t="s">
        <v>50</v>
      </c>
      <c r="B501" s="546" t="s">
        <v>33</v>
      </c>
      <c r="C501" s="349">
        <v>176</v>
      </c>
      <c r="D501" s="335" t="s">
        <v>494</v>
      </c>
      <c r="E501" s="335" t="s">
        <v>495</v>
      </c>
      <c r="F501" s="349">
        <v>6100302810</v>
      </c>
      <c r="G501" s="349">
        <v>244</v>
      </c>
      <c r="H501" s="9">
        <v>12044.6</v>
      </c>
      <c r="I501" s="9">
        <f t="shared" si="91"/>
        <v>970.40066082348847</v>
      </c>
      <c r="J501" s="9">
        <f t="shared" si="92"/>
        <v>5533.7557185545165</v>
      </c>
      <c r="K501" s="9">
        <f t="shared" si="93"/>
        <v>2788.8909358541391</v>
      </c>
      <c r="L501" s="9">
        <f t="shared" si="94"/>
        <v>2751.5543486616029</v>
      </c>
      <c r="M501" s="67">
        <f>29914.3+6260+24887.87</f>
        <v>61062.17</v>
      </c>
      <c r="N501" s="67">
        <f t="shared" si="95"/>
        <v>27172.665385497632</v>
      </c>
      <c r="O501" s="67">
        <f t="shared" si="96"/>
        <v>7022.1490209952653</v>
      </c>
      <c r="P501" s="67">
        <f t="shared" si="97"/>
        <v>15265.5425</v>
      </c>
      <c r="Q501" s="67">
        <f t="shared" si="98"/>
        <v>11601.814416018935</v>
      </c>
      <c r="R501" s="65">
        <v>0</v>
      </c>
      <c r="S501" s="65">
        <v>0</v>
      </c>
      <c r="T501" s="65">
        <v>0</v>
      </c>
      <c r="U501" s="86">
        <v>0</v>
      </c>
      <c r="V501" s="86">
        <f t="shared" si="99"/>
        <v>0</v>
      </c>
      <c r="W501" s="65">
        <v>0</v>
      </c>
      <c r="X501" s="65">
        <v>0</v>
      </c>
      <c r="Y501" s="972"/>
      <c r="Z501" s="974"/>
      <c r="AA501" s="315"/>
      <c r="AB501" s="43"/>
      <c r="AC501" s="43"/>
    </row>
    <row r="502" spans="1:29" hidden="1">
      <c r="A502" s="16" t="s">
        <v>51</v>
      </c>
      <c r="B502" s="546" t="s">
        <v>33</v>
      </c>
      <c r="C502" s="349">
        <v>176</v>
      </c>
      <c r="D502" s="335" t="s">
        <v>494</v>
      </c>
      <c r="E502" s="335" t="s">
        <v>495</v>
      </c>
      <c r="F502" s="349">
        <v>6100302810</v>
      </c>
      <c r="G502" s="349">
        <v>244</v>
      </c>
      <c r="H502" s="9">
        <v>13399.6</v>
      </c>
      <c r="I502" s="9">
        <f t="shared" si="91"/>
        <v>1079.5693252387307</v>
      </c>
      <c r="J502" s="9">
        <f t="shared" si="92"/>
        <v>6156.295196714138</v>
      </c>
      <c r="K502" s="9">
        <f t="shared" si="93"/>
        <v>3102.6371140653173</v>
      </c>
      <c r="L502" s="9">
        <f t="shared" si="94"/>
        <v>3061.1002150611907</v>
      </c>
      <c r="M502" s="67">
        <f>12170+10135.5+11211.96</f>
        <v>33517.46</v>
      </c>
      <c r="N502" s="67">
        <f t="shared" si="95"/>
        <v>14915.269554812767</v>
      </c>
      <c r="O502" s="67">
        <f t="shared" si="96"/>
        <v>3854.5076096255343</v>
      </c>
      <c r="P502" s="67">
        <f t="shared" si="97"/>
        <v>8379.3649999999998</v>
      </c>
      <c r="Q502" s="67">
        <f t="shared" si="98"/>
        <v>6368.3185614978647</v>
      </c>
      <c r="R502" s="65">
        <v>0</v>
      </c>
      <c r="S502" s="65">
        <v>0</v>
      </c>
      <c r="T502" s="65">
        <v>0</v>
      </c>
      <c r="U502" s="86">
        <v>0</v>
      </c>
      <c r="V502" s="86">
        <f t="shared" si="99"/>
        <v>0</v>
      </c>
      <c r="W502" s="65">
        <v>0</v>
      </c>
      <c r="X502" s="65">
        <v>0</v>
      </c>
      <c r="Y502" s="972"/>
      <c r="Z502" s="974"/>
    </row>
    <row r="503" spans="1:29" hidden="1">
      <c r="A503" s="16" t="s">
        <v>52</v>
      </c>
      <c r="B503" s="546" t="s">
        <v>33</v>
      </c>
      <c r="C503" s="349">
        <v>176</v>
      </c>
      <c r="D503" s="335" t="s">
        <v>494</v>
      </c>
      <c r="E503" s="335" t="s">
        <v>495</v>
      </c>
      <c r="F503" s="349">
        <v>6100302810</v>
      </c>
      <c r="G503" s="349">
        <v>244</v>
      </c>
      <c r="H503" s="9">
        <v>13254.2</v>
      </c>
      <c r="I503" s="9">
        <f t="shared" si="91"/>
        <v>1067.8548427250953</v>
      </c>
      <c r="J503" s="9">
        <f t="shared" si="92"/>
        <v>6089.4928054784114</v>
      </c>
      <c r="K503" s="9">
        <f t="shared" si="93"/>
        <v>3068.970180993801</v>
      </c>
      <c r="L503" s="9">
        <f t="shared" si="94"/>
        <v>3027.8840017958769</v>
      </c>
      <c r="M503" s="67">
        <f>7490+9509+5655.74</f>
        <v>22654.739999999998</v>
      </c>
      <c r="N503" s="67">
        <f t="shared" si="95"/>
        <v>10081.359201866699</v>
      </c>
      <c r="O503" s="67">
        <f t="shared" si="96"/>
        <v>2605.2949037333965</v>
      </c>
      <c r="P503" s="67">
        <f t="shared" si="97"/>
        <v>5663.6849999999995</v>
      </c>
      <c r="Q503" s="67">
        <f t="shared" si="98"/>
        <v>4304.4013850664132</v>
      </c>
      <c r="R503" s="65">
        <v>0</v>
      </c>
      <c r="S503" s="65">
        <v>0</v>
      </c>
      <c r="T503" s="65">
        <v>0</v>
      </c>
      <c r="U503" s="86">
        <v>0</v>
      </c>
      <c r="V503" s="86">
        <f t="shared" si="99"/>
        <v>0</v>
      </c>
      <c r="W503" s="65">
        <v>0</v>
      </c>
      <c r="X503" s="65">
        <v>0</v>
      </c>
      <c r="Y503" s="972"/>
      <c r="Z503" s="974"/>
    </row>
    <row r="504" spans="1:29" hidden="1">
      <c r="A504" s="16" t="s">
        <v>53</v>
      </c>
      <c r="B504" s="546" t="s">
        <v>33</v>
      </c>
      <c r="C504" s="349">
        <v>176</v>
      </c>
      <c r="D504" s="335" t="s">
        <v>494</v>
      </c>
      <c r="E504" s="335" t="s">
        <v>495</v>
      </c>
      <c r="F504" s="349">
        <v>6100302810</v>
      </c>
      <c r="G504" s="349">
        <v>244</v>
      </c>
      <c r="H504" s="9">
        <v>12672</v>
      </c>
      <c r="I504" s="9">
        <f t="shared" si="91"/>
        <v>1020.9485723025459</v>
      </c>
      <c r="J504" s="9">
        <f t="shared" si="92"/>
        <v>5822.0075772979453</v>
      </c>
      <c r="K504" s="9">
        <f t="shared" si="93"/>
        <v>2934.1635205107395</v>
      </c>
      <c r="L504" s="9">
        <f t="shared" si="94"/>
        <v>2894.8820804542979</v>
      </c>
      <c r="M504" s="67">
        <f>6580+855</f>
        <v>7435</v>
      </c>
      <c r="N504" s="67">
        <f t="shared" si="95"/>
        <v>3308.5749677938879</v>
      </c>
      <c r="O504" s="67">
        <f t="shared" si="96"/>
        <v>855.02493558777564</v>
      </c>
      <c r="P504" s="67">
        <f t="shared" si="97"/>
        <v>1858.75</v>
      </c>
      <c r="Q504" s="67">
        <f t="shared" si="98"/>
        <v>1412.6502576488977</v>
      </c>
      <c r="R504" s="65">
        <v>0</v>
      </c>
      <c r="S504" s="65">
        <v>0</v>
      </c>
      <c r="T504" s="65">
        <v>0</v>
      </c>
      <c r="U504" s="86">
        <v>0</v>
      </c>
      <c r="V504" s="86">
        <f t="shared" si="99"/>
        <v>0</v>
      </c>
      <c r="W504" s="65">
        <v>0</v>
      </c>
      <c r="X504" s="65">
        <v>0</v>
      </c>
      <c r="Y504" s="972"/>
      <c r="Z504" s="974"/>
      <c r="AA504" s="315"/>
    </row>
    <row r="505" spans="1:29" hidden="1">
      <c r="A505" s="16" t="s">
        <v>54</v>
      </c>
      <c r="B505" s="546" t="s">
        <v>33</v>
      </c>
      <c r="C505" s="349">
        <v>176</v>
      </c>
      <c r="D505" s="335" t="s">
        <v>494</v>
      </c>
      <c r="E505" s="335" t="s">
        <v>495</v>
      </c>
      <c r="F505" s="349">
        <v>6100302810</v>
      </c>
      <c r="G505" s="349">
        <v>244</v>
      </c>
      <c r="H505" s="9">
        <v>6034.9</v>
      </c>
      <c r="I505" s="9">
        <f t="shared" si="91"/>
        <v>486.21547813988593</v>
      </c>
      <c r="J505" s="9">
        <f t="shared" si="92"/>
        <v>2772.6667872660487</v>
      </c>
      <c r="K505" s="9">
        <f t="shared" si="93"/>
        <v>1397.3629600639408</v>
      </c>
      <c r="L505" s="9">
        <f t="shared" si="94"/>
        <v>1378.6556082176169</v>
      </c>
      <c r="M505" s="67">
        <f>1605+38223.7+9999.59</f>
        <v>49828.289999999994</v>
      </c>
      <c r="N505" s="67">
        <f t="shared" si="95"/>
        <v>22173.588834159309</v>
      </c>
      <c r="O505" s="67">
        <f t="shared" si="96"/>
        <v>5730.252918318628</v>
      </c>
      <c r="P505" s="67">
        <f t="shared" si="97"/>
        <v>12457.072499999998</v>
      </c>
      <c r="Q505" s="67">
        <f t="shared" si="98"/>
        <v>9467.3768267254854</v>
      </c>
      <c r="R505" s="65">
        <v>0</v>
      </c>
      <c r="S505" s="65">
        <v>0</v>
      </c>
      <c r="T505" s="65">
        <v>0</v>
      </c>
      <c r="U505" s="86">
        <v>0</v>
      </c>
      <c r="V505" s="86">
        <f t="shared" si="99"/>
        <v>0</v>
      </c>
      <c r="W505" s="65">
        <v>0</v>
      </c>
      <c r="X505" s="65">
        <v>0</v>
      </c>
      <c r="Y505" s="972"/>
      <c r="Z505" s="974"/>
    </row>
    <row r="506" spans="1:29" hidden="1">
      <c r="A506" s="16" t="s">
        <v>55</v>
      </c>
      <c r="B506" s="546" t="s">
        <v>33</v>
      </c>
      <c r="C506" s="349">
        <v>176</v>
      </c>
      <c r="D506" s="335" t="s">
        <v>494</v>
      </c>
      <c r="E506" s="335" t="s">
        <v>495</v>
      </c>
      <c r="F506" s="349">
        <v>6100302810</v>
      </c>
      <c r="G506" s="349">
        <v>244</v>
      </c>
      <c r="H506" s="9">
        <v>11407.9</v>
      </c>
      <c r="I506" s="9">
        <f t="shared" si="91"/>
        <v>919.10347364032623</v>
      </c>
      <c r="J506" s="9">
        <f t="shared" si="92"/>
        <v>5241.2310796288848</v>
      </c>
      <c r="K506" s="9">
        <f t="shared" si="93"/>
        <v>2641.4649641441333</v>
      </c>
      <c r="L506" s="9">
        <f t="shared" si="94"/>
        <v>2606.102058523878</v>
      </c>
      <c r="M506" s="67">
        <f>7490+8000+10060.73</f>
        <v>25550.73</v>
      </c>
      <c r="N506" s="67">
        <f t="shared" si="95"/>
        <v>11370.074739322168</v>
      </c>
      <c r="O506" s="67">
        <f t="shared" si="96"/>
        <v>2938.333728644337</v>
      </c>
      <c r="P506" s="67">
        <f t="shared" si="97"/>
        <v>6387.6824999999999</v>
      </c>
      <c r="Q506" s="67">
        <f t="shared" si="98"/>
        <v>4854.6395854226521</v>
      </c>
      <c r="R506" s="65">
        <v>0</v>
      </c>
      <c r="S506" s="65">
        <v>0</v>
      </c>
      <c r="T506" s="65">
        <v>0</v>
      </c>
      <c r="U506" s="86">
        <v>0</v>
      </c>
      <c r="V506" s="86">
        <f t="shared" si="99"/>
        <v>0</v>
      </c>
      <c r="W506" s="65">
        <v>0</v>
      </c>
      <c r="X506" s="65">
        <v>0</v>
      </c>
      <c r="Y506" s="972"/>
      <c r="Z506" s="974"/>
    </row>
    <row r="507" spans="1:29" hidden="1">
      <c r="A507" s="16" t="s">
        <v>56</v>
      </c>
      <c r="B507" s="546" t="s">
        <v>33</v>
      </c>
      <c r="C507" s="349">
        <v>176</v>
      </c>
      <c r="D507" s="335" t="s">
        <v>494</v>
      </c>
      <c r="E507" s="335" t="s">
        <v>495</v>
      </c>
      <c r="F507" s="349">
        <v>6100302810</v>
      </c>
      <c r="G507" s="349">
        <v>244</v>
      </c>
      <c r="H507" s="9">
        <v>11000</v>
      </c>
      <c r="I507" s="9">
        <f t="shared" si="91"/>
        <v>886.24008012373793</v>
      </c>
      <c r="J507" s="9">
        <f t="shared" si="92"/>
        <v>5053.8260219600224</v>
      </c>
      <c r="K507" s="9">
        <f t="shared" si="93"/>
        <v>2547.0169448877946</v>
      </c>
      <c r="L507" s="9">
        <f t="shared" si="94"/>
        <v>2512.9184726165777</v>
      </c>
      <c r="M507" s="67">
        <f>267.5+6510+7950</f>
        <v>14727.5</v>
      </c>
      <c r="N507" s="67">
        <f t="shared" si="95"/>
        <v>6553.7374362050414</v>
      </c>
      <c r="O507" s="67">
        <f t="shared" si="96"/>
        <v>1693.6623724100828</v>
      </c>
      <c r="P507" s="67">
        <f t="shared" si="97"/>
        <v>3681.875</v>
      </c>
      <c r="Q507" s="67">
        <f t="shared" si="98"/>
        <v>2798.225510359669</v>
      </c>
      <c r="R507" s="65">
        <v>0</v>
      </c>
      <c r="S507" s="65">
        <v>0</v>
      </c>
      <c r="T507" s="65">
        <v>0</v>
      </c>
      <c r="U507" s="86">
        <v>0</v>
      </c>
      <c r="V507" s="86">
        <f t="shared" si="99"/>
        <v>0</v>
      </c>
      <c r="W507" s="65">
        <v>0</v>
      </c>
      <c r="X507" s="65">
        <v>0</v>
      </c>
      <c r="Y507" s="972"/>
      <c r="Z507" s="974"/>
    </row>
    <row r="508" spans="1:29" hidden="1">
      <c r="A508" s="16" t="s">
        <v>57</v>
      </c>
      <c r="B508" s="546" t="s">
        <v>33</v>
      </c>
      <c r="C508" s="349">
        <v>176</v>
      </c>
      <c r="D508" s="335" t="s">
        <v>494</v>
      </c>
      <c r="E508" s="335" t="s">
        <v>495</v>
      </c>
      <c r="F508" s="349">
        <v>6100302810</v>
      </c>
      <c r="G508" s="349">
        <v>244</v>
      </c>
      <c r="H508" s="9">
        <v>19949.3</v>
      </c>
      <c r="I508" s="9">
        <f t="shared" si="91"/>
        <v>1607.2608391284077</v>
      </c>
      <c r="J508" s="9">
        <f t="shared" si="92"/>
        <v>9165.481041807916</v>
      </c>
      <c r="K508" s="9">
        <f t="shared" si="93"/>
        <v>4619.2004671500072</v>
      </c>
      <c r="L508" s="9">
        <f t="shared" si="94"/>
        <v>4557.3604077972632</v>
      </c>
      <c r="M508" s="67">
        <f>9095+10714+14000.08</f>
        <v>33809.08</v>
      </c>
      <c r="N508" s="67">
        <f t="shared" si="95"/>
        <v>15045.04045354956</v>
      </c>
      <c r="O508" s="67">
        <f t="shared" si="96"/>
        <v>3888.0439070991197</v>
      </c>
      <c r="P508" s="67">
        <f t="shared" si="97"/>
        <v>8452.27</v>
      </c>
      <c r="Q508" s="67">
        <f t="shared" si="98"/>
        <v>6423.7263716035231</v>
      </c>
      <c r="R508" s="65">
        <v>0</v>
      </c>
      <c r="S508" s="65">
        <v>0</v>
      </c>
      <c r="T508" s="65">
        <v>0</v>
      </c>
      <c r="U508" s="86">
        <v>0</v>
      </c>
      <c r="V508" s="86">
        <f t="shared" si="99"/>
        <v>0</v>
      </c>
      <c r="W508" s="65">
        <v>0</v>
      </c>
      <c r="X508" s="65">
        <v>0</v>
      </c>
      <c r="Y508" s="972"/>
      <c r="Z508" s="974"/>
    </row>
    <row r="509" spans="1:29" hidden="1">
      <c r="A509" s="16" t="s">
        <v>58</v>
      </c>
      <c r="B509" s="546" t="s">
        <v>33</v>
      </c>
      <c r="C509" s="349">
        <v>176</v>
      </c>
      <c r="D509" s="335" t="s">
        <v>494</v>
      </c>
      <c r="E509" s="335" t="s">
        <v>495</v>
      </c>
      <c r="F509" s="349">
        <v>6100302810</v>
      </c>
      <c r="G509" s="349">
        <v>244</v>
      </c>
      <c r="H509" s="9">
        <v>15290</v>
      </c>
      <c r="I509" s="9">
        <f t="shared" si="91"/>
        <v>1231.8737113719956</v>
      </c>
      <c r="J509" s="9">
        <f t="shared" si="92"/>
        <v>7024.8181705244315</v>
      </c>
      <c r="K509" s="9">
        <f t="shared" si="93"/>
        <v>3540.3535533940344</v>
      </c>
      <c r="L509" s="9">
        <f t="shared" si="94"/>
        <v>3492.9566769370431</v>
      </c>
      <c r="M509" s="67">
        <f>3210+8396.6+2992.38</f>
        <v>14598.98</v>
      </c>
      <c r="N509" s="67">
        <f t="shared" si="95"/>
        <v>6496.5460367617507</v>
      </c>
      <c r="O509" s="67">
        <f t="shared" si="96"/>
        <v>1678.8825735235002</v>
      </c>
      <c r="P509" s="67">
        <f t="shared" si="97"/>
        <v>3649.7449999999999</v>
      </c>
      <c r="Q509" s="67">
        <f t="shared" si="98"/>
        <v>2773.806705905999</v>
      </c>
      <c r="R509" s="65">
        <v>0</v>
      </c>
      <c r="S509" s="65">
        <v>0</v>
      </c>
      <c r="T509" s="65">
        <v>0</v>
      </c>
      <c r="U509" s="86">
        <v>0</v>
      </c>
      <c r="V509" s="86">
        <f t="shared" si="99"/>
        <v>0</v>
      </c>
      <c r="W509" s="65">
        <v>0</v>
      </c>
      <c r="X509" s="65">
        <v>0</v>
      </c>
      <c r="Y509" s="972"/>
      <c r="Z509" s="974"/>
    </row>
    <row r="510" spans="1:29" hidden="1">
      <c r="A510" s="16" t="s">
        <v>59</v>
      </c>
      <c r="B510" s="546" t="s">
        <v>33</v>
      </c>
      <c r="C510" s="349">
        <v>176</v>
      </c>
      <c r="D510" s="335" t="s">
        <v>494</v>
      </c>
      <c r="E510" s="335" t="s">
        <v>495</v>
      </c>
      <c r="F510" s="349">
        <v>6100302810</v>
      </c>
      <c r="G510" s="349">
        <v>244</v>
      </c>
      <c r="H510" s="9">
        <v>17326.900000000001</v>
      </c>
      <c r="I510" s="9">
        <f t="shared" si="91"/>
        <v>1395.9812040269085</v>
      </c>
      <c r="J510" s="9">
        <f t="shared" si="92"/>
        <v>7960.6489181726474</v>
      </c>
      <c r="K510" s="9">
        <f t="shared" si="93"/>
        <v>4011.9916274887573</v>
      </c>
      <c r="L510" s="9">
        <f t="shared" si="94"/>
        <v>3958.2806439254718</v>
      </c>
      <c r="M510" s="67">
        <f>4280+8188.5+8167.37</f>
        <v>20635.87</v>
      </c>
      <c r="N510" s="67">
        <f t="shared" si="95"/>
        <v>9182.9620606118151</v>
      </c>
      <c r="O510" s="67">
        <f t="shared" si="96"/>
        <v>2373.1248712236329</v>
      </c>
      <c r="P510" s="67">
        <f t="shared" si="97"/>
        <v>5158.9674999999997</v>
      </c>
      <c r="Q510" s="67">
        <f t="shared" si="98"/>
        <v>3920.8160151054685</v>
      </c>
      <c r="R510" s="65">
        <v>0</v>
      </c>
      <c r="S510" s="65">
        <v>0</v>
      </c>
      <c r="T510" s="65">
        <v>0</v>
      </c>
      <c r="U510" s="86">
        <v>0</v>
      </c>
      <c r="V510" s="86">
        <f t="shared" si="99"/>
        <v>0</v>
      </c>
      <c r="W510" s="65">
        <v>0</v>
      </c>
      <c r="X510" s="65">
        <v>0</v>
      </c>
      <c r="Y510" s="972"/>
      <c r="Z510" s="974"/>
    </row>
    <row r="511" spans="1:29" hidden="1">
      <c r="A511" s="16" t="s">
        <v>60</v>
      </c>
      <c r="B511" s="546" t="s">
        <v>33</v>
      </c>
      <c r="C511" s="349">
        <v>176</v>
      </c>
      <c r="D511" s="335" t="s">
        <v>494</v>
      </c>
      <c r="E511" s="335" t="s">
        <v>495</v>
      </c>
      <c r="F511" s="349">
        <v>6100302810</v>
      </c>
      <c r="G511" s="349">
        <v>244</v>
      </c>
      <c r="H511" s="9">
        <v>44424.9</v>
      </c>
      <c r="I511" s="9">
        <f t="shared" si="91"/>
        <v>3579.1933577717314</v>
      </c>
      <c r="J511" s="9">
        <f t="shared" si="92"/>
        <v>20410.519603906527</v>
      </c>
      <c r="K511" s="9">
        <f t="shared" si="93"/>
        <v>10286.452097722346</v>
      </c>
      <c r="L511" s="9">
        <f t="shared" si="94"/>
        <v>10148.741077649474</v>
      </c>
      <c r="M511" s="67">
        <f>7490+11980.2</f>
        <v>19470.2</v>
      </c>
      <c r="N511" s="67">
        <f t="shared" si="95"/>
        <v>8664.2389156611371</v>
      </c>
      <c r="O511" s="67">
        <f t="shared" si="96"/>
        <v>2239.0728313222744</v>
      </c>
      <c r="P511" s="67">
        <f t="shared" si="97"/>
        <v>4867.55</v>
      </c>
      <c r="Q511" s="67">
        <f t="shared" si="98"/>
        <v>3699.3386747109034</v>
      </c>
      <c r="R511" s="65">
        <v>0</v>
      </c>
      <c r="S511" s="65">
        <v>0</v>
      </c>
      <c r="T511" s="65">
        <v>0</v>
      </c>
      <c r="U511" s="86">
        <v>0</v>
      </c>
      <c r="V511" s="86">
        <f t="shared" si="99"/>
        <v>0</v>
      </c>
      <c r="W511" s="65">
        <v>0</v>
      </c>
      <c r="X511" s="65">
        <v>0</v>
      </c>
      <c r="Y511" s="972"/>
      <c r="Z511" s="974"/>
    </row>
    <row r="512" spans="1:29" hidden="1">
      <c r="A512" s="16" t="s">
        <v>61</v>
      </c>
      <c r="B512" s="546" t="s">
        <v>33</v>
      </c>
      <c r="C512" s="349">
        <v>176</v>
      </c>
      <c r="D512" s="335" t="s">
        <v>494</v>
      </c>
      <c r="E512" s="335" t="s">
        <v>495</v>
      </c>
      <c r="F512" s="349">
        <v>6100302810</v>
      </c>
      <c r="G512" s="349">
        <v>244</v>
      </c>
      <c r="H512" s="9">
        <v>22166.9</v>
      </c>
      <c r="I512" s="9">
        <f t="shared" si="91"/>
        <v>1785.9268392813533</v>
      </c>
      <c r="J512" s="9">
        <f t="shared" si="92"/>
        <v>10184.332367835057</v>
      </c>
      <c r="K512" s="9">
        <f t="shared" si="93"/>
        <v>5132.6790832393872</v>
      </c>
      <c r="L512" s="9">
        <f t="shared" si="94"/>
        <v>5063.9647718767665</v>
      </c>
      <c r="M512" s="67">
        <f>13340+745</f>
        <v>14085</v>
      </c>
      <c r="N512" s="67">
        <f t="shared" si="95"/>
        <v>6267.8249389881521</v>
      </c>
      <c r="O512" s="67">
        <f t="shared" si="96"/>
        <v>1619.774877976304</v>
      </c>
      <c r="P512" s="67">
        <f t="shared" si="97"/>
        <v>3521.25</v>
      </c>
      <c r="Q512" s="67">
        <f t="shared" si="98"/>
        <v>2676.1504880947846</v>
      </c>
      <c r="R512" s="65">
        <v>0</v>
      </c>
      <c r="S512" s="65">
        <v>0</v>
      </c>
      <c r="T512" s="65">
        <v>0</v>
      </c>
      <c r="U512" s="86">
        <v>0</v>
      </c>
      <c r="V512" s="86">
        <f t="shared" si="99"/>
        <v>0</v>
      </c>
      <c r="W512" s="65">
        <v>0</v>
      </c>
      <c r="X512" s="65">
        <v>0</v>
      </c>
      <c r="Y512" s="972"/>
      <c r="Z512" s="974"/>
    </row>
    <row r="513" spans="1:27" hidden="1">
      <c r="A513" s="16" t="s">
        <v>62</v>
      </c>
      <c r="B513" s="546" t="s">
        <v>33</v>
      </c>
      <c r="C513" s="349">
        <v>176</v>
      </c>
      <c r="D513" s="335" t="s">
        <v>494</v>
      </c>
      <c r="E513" s="335" t="s">
        <v>495</v>
      </c>
      <c r="F513" s="349">
        <v>6100302810</v>
      </c>
      <c r="G513" s="349">
        <v>244</v>
      </c>
      <c r="H513" s="9">
        <v>17125</v>
      </c>
      <c r="I513" s="9">
        <f t="shared" si="91"/>
        <v>1379.7146701926374</v>
      </c>
      <c r="J513" s="9">
        <f t="shared" si="92"/>
        <v>7867.888238733216</v>
      </c>
      <c r="K513" s="9">
        <f t="shared" si="93"/>
        <v>3965.2422892003169</v>
      </c>
      <c r="L513" s="9">
        <f t="shared" si="94"/>
        <v>3912.1571675962632</v>
      </c>
      <c r="M513" s="67">
        <f>5350+11080.01</f>
        <v>16430.010000000002</v>
      </c>
      <c r="N513" s="67">
        <f t="shared" si="95"/>
        <v>7311.3543788302977</v>
      </c>
      <c r="O513" s="67">
        <f t="shared" si="96"/>
        <v>1889.4510076605934</v>
      </c>
      <c r="P513" s="67">
        <f t="shared" si="97"/>
        <v>4107.5025000000005</v>
      </c>
      <c r="Q513" s="67">
        <f t="shared" si="98"/>
        <v>3121.7024693576286</v>
      </c>
      <c r="R513" s="65">
        <v>0</v>
      </c>
      <c r="S513" s="65">
        <v>0</v>
      </c>
      <c r="T513" s="65">
        <v>0</v>
      </c>
      <c r="U513" s="86">
        <v>0</v>
      </c>
      <c r="V513" s="86">
        <f t="shared" si="99"/>
        <v>0</v>
      </c>
      <c r="W513" s="65">
        <v>0</v>
      </c>
      <c r="X513" s="65">
        <v>0</v>
      </c>
      <c r="Y513" s="972"/>
      <c r="Z513" s="974"/>
    </row>
    <row r="514" spans="1:27" hidden="1">
      <c r="A514" s="16" t="s">
        <v>63</v>
      </c>
      <c r="B514" s="546" t="s">
        <v>33</v>
      </c>
      <c r="C514" s="349">
        <v>176</v>
      </c>
      <c r="D514" s="335" t="s">
        <v>494</v>
      </c>
      <c r="E514" s="335" t="s">
        <v>495</v>
      </c>
      <c r="F514" s="349">
        <v>6100302810</v>
      </c>
      <c r="G514" s="349">
        <v>244</v>
      </c>
      <c r="H514" s="9">
        <v>8734.7999999999993</v>
      </c>
      <c r="I514" s="9">
        <f t="shared" si="91"/>
        <v>703.73907744225676</v>
      </c>
      <c r="J514" s="9">
        <f t="shared" si="92"/>
        <v>4013.1054124196726</v>
      </c>
      <c r="K514" s="9">
        <f t="shared" si="93"/>
        <v>2022.5166918369005</v>
      </c>
      <c r="L514" s="9">
        <f t="shared" si="94"/>
        <v>1995.4400249646621</v>
      </c>
      <c r="M514" s="67">
        <f>5350+8811.79</f>
        <v>14161.79</v>
      </c>
      <c r="N514" s="67">
        <f t="shared" si="95"/>
        <v>6301.9964886555217</v>
      </c>
      <c r="O514" s="67">
        <f t="shared" si="96"/>
        <v>1628.605727311043</v>
      </c>
      <c r="P514" s="67">
        <f t="shared" si="97"/>
        <v>3540.4475000000002</v>
      </c>
      <c r="Q514" s="67">
        <f t="shared" si="98"/>
        <v>2690.7405907558282</v>
      </c>
      <c r="R514" s="65">
        <v>0</v>
      </c>
      <c r="S514" s="65">
        <v>0</v>
      </c>
      <c r="T514" s="65">
        <v>0</v>
      </c>
      <c r="U514" s="86">
        <v>0</v>
      </c>
      <c r="V514" s="86">
        <f t="shared" si="99"/>
        <v>0</v>
      </c>
      <c r="W514" s="65">
        <v>0</v>
      </c>
      <c r="X514" s="65">
        <v>0</v>
      </c>
      <c r="Y514" s="972"/>
      <c r="Z514" s="974"/>
    </row>
    <row r="515" spans="1:27" hidden="1">
      <c r="A515" s="16" t="s">
        <v>64</v>
      </c>
      <c r="B515" s="546" t="s">
        <v>33</v>
      </c>
      <c r="C515" s="349">
        <v>176</v>
      </c>
      <c r="D515" s="335" t="s">
        <v>494</v>
      </c>
      <c r="E515" s="335" t="s">
        <v>495</v>
      </c>
      <c r="F515" s="349">
        <v>6100302810</v>
      </c>
      <c r="G515" s="349">
        <v>244</v>
      </c>
      <c r="H515" s="9">
        <v>15175</v>
      </c>
      <c r="I515" s="9">
        <f t="shared" si="91"/>
        <v>1222.608474170702</v>
      </c>
      <c r="J515" s="9">
        <f t="shared" si="92"/>
        <v>6971.9827166584855</v>
      </c>
      <c r="K515" s="9">
        <f t="shared" si="93"/>
        <v>3513.7256489702077</v>
      </c>
      <c r="L515" s="9">
        <f t="shared" si="94"/>
        <v>3466.6852565415061</v>
      </c>
      <c r="M515" s="67">
        <f>267.5+3000+7527.69</f>
        <v>10795.189999999999</v>
      </c>
      <c r="N515" s="67">
        <f t="shared" si="95"/>
        <v>4803.8595032385874</v>
      </c>
      <c r="O515" s="67">
        <f t="shared" si="96"/>
        <v>1241.4467564771753</v>
      </c>
      <c r="P515" s="67">
        <f t="shared" si="97"/>
        <v>2698.7974999999992</v>
      </c>
      <c r="Q515" s="67">
        <f t="shared" si="98"/>
        <v>2051.086474091298</v>
      </c>
      <c r="R515" s="65">
        <v>0</v>
      </c>
      <c r="S515" s="65">
        <v>0</v>
      </c>
      <c r="T515" s="65">
        <v>0</v>
      </c>
      <c r="U515" s="86">
        <v>0</v>
      </c>
      <c r="V515" s="86">
        <f t="shared" si="99"/>
        <v>0</v>
      </c>
      <c r="W515" s="65">
        <v>0</v>
      </c>
      <c r="X515" s="65">
        <v>0</v>
      </c>
      <c r="Y515" s="972"/>
      <c r="Z515" s="974"/>
    </row>
    <row r="516" spans="1:27" hidden="1">
      <c r="A516" s="16" t="s">
        <v>65</v>
      </c>
      <c r="B516" s="546" t="s">
        <v>33</v>
      </c>
      <c r="C516" s="349">
        <v>176</v>
      </c>
      <c r="D516" s="335" t="s">
        <v>494</v>
      </c>
      <c r="E516" s="335" t="s">
        <v>495</v>
      </c>
      <c r="F516" s="349">
        <v>6100302810</v>
      </c>
      <c r="G516" s="349">
        <v>244</v>
      </c>
      <c r="H516" s="9">
        <v>26650.400000000001</v>
      </c>
      <c r="I516" s="9">
        <f t="shared" si="91"/>
        <v>2147.1502392117877</v>
      </c>
      <c r="J516" s="9">
        <f t="shared" si="92"/>
        <v>12244.225910513036</v>
      </c>
      <c r="K516" s="9">
        <f t="shared" si="93"/>
        <v>6170.8200352761523</v>
      </c>
      <c r="L516" s="9">
        <f t="shared" si="94"/>
        <v>6088.2074966018954</v>
      </c>
      <c r="M516" s="67">
        <f>12305+18023.8+5164.76</f>
        <v>35493.56</v>
      </c>
      <c r="N516" s="67">
        <f t="shared" si="95"/>
        <v>15794.634046252915</v>
      </c>
      <c r="O516" s="67">
        <f t="shared" si="96"/>
        <v>4081.7590925058298</v>
      </c>
      <c r="P516" s="67">
        <f t="shared" si="97"/>
        <v>8873.39</v>
      </c>
      <c r="Q516" s="67">
        <f t="shared" si="98"/>
        <v>6743.7776299766792</v>
      </c>
      <c r="R516" s="65">
        <v>0</v>
      </c>
      <c r="S516" s="65">
        <v>0</v>
      </c>
      <c r="T516" s="65">
        <v>0</v>
      </c>
      <c r="U516" s="86">
        <v>0</v>
      </c>
      <c r="V516" s="86">
        <f t="shared" si="99"/>
        <v>0</v>
      </c>
      <c r="W516" s="65">
        <v>0</v>
      </c>
      <c r="X516" s="65">
        <v>0</v>
      </c>
      <c r="Y516" s="972"/>
      <c r="Z516" s="974"/>
    </row>
    <row r="517" spans="1:27" hidden="1">
      <c r="A517" s="16" t="s">
        <v>66</v>
      </c>
      <c r="B517" s="546" t="s">
        <v>33</v>
      </c>
      <c r="C517" s="349">
        <v>176</v>
      </c>
      <c r="D517" s="335" t="s">
        <v>494</v>
      </c>
      <c r="E517" s="335" t="s">
        <v>495</v>
      </c>
      <c r="F517" s="349">
        <v>6100302810</v>
      </c>
      <c r="G517" s="349">
        <v>244</v>
      </c>
      <c r="H517" s="9">
        <v>9217.4</v>
      </c>
      <c r="I517" s="9">
        <f t="shared" si="91"/>
        <v>742.62084677568555</v>
      </c>
      <c r="J517" s="9">
        <f t="shared" si="92"/>
        <v>4234.8305431649369</v>
      </c>
      <c r="K517" s="9">
        <f t="shared" si="93"/>
        <v>2134.2612716189778</v>
      </c>
      <c r="L517" s="9">
        <f t="shared" si="94"/>
        <v>2105.6886117723675</v>
      </c>
      <c r="M517" s="67">
        <f>802.5+6510+9950</f>
        <v>17262.5</v>
      </c>
      <c r="N517" s="67">
        <f t="shared" si="95"/>
        <v>7681.8124252242087</v>
      </c>
      <c r="O517" s="67">
        <f t="shared" si="96"/>
        <v>1985.1873504484165</v>
      </c>
      <c r="P517" s="67">
        <f t="shared" si="97"/>
        <v>4315.625</v>
      </c>
      <c r="Q517" s="67">
        <f t="shared" si="98"/>
        <v>3279.875598206334</v>
      </c>
      <c r="R517" s="65">
        <v>0</v>
      </c>
      <c r="S517" s="65">
        <v>0</v>
      </c>
      <c r="T517" s="65">
        <v>0</v>
      </c>
      <c r="U517" s="86">
        <v>0</v>
      </c>
      <c r="V517" s="86">
        <f t="shared" si="99"/>
        <v>0</v>
      </c>
      <c r="W517" s="65">
        <v>0</v>
      </c>
      <c r="X517" s="65">
        <v>0</v>
      </c>
      <c r="Y517" s="972"/>
      <c r="Z517" s="974"/>
    </row>
    <row r="518" spans="1:27" hidden="1">
      <c r="A518" s="16" t="s">
        <v>67</v>
      </c>
      <c r="B518" s="546" t="s">
        <v>33</v>
      </c>
      <c r="C518" s="349">
        <v>176</v>
      </c>
      <c r="D518" s="335" t="s">
        <v>494</v>
      </c>
      <c r="E518" s="335" t="s">
        <v>495</v>
      </c>
      <c r="F518" s="349">
        <v>6100302810</v>
      </c>
      <c r="G518" s="349">
        <v>244</v>
      </c>
      <c r="H518" s="9">
        <v>13800</v>
      </c>
      <c r="I518" s="9">
        <f t="shared" si="91"/>
        <v>1111.8284641552348</v>
      </c>
      <c r="J518" s="9">
        <f t="shared" si="92"/>
        <v>6340.2544639134831</v>
      </c>
      <c r="K518" s="9">
        <f t="shared" si="93"/>
        <v>3195.3485308592335</v>
      </c>
      <c r="L518" s="9">
        <f t="shared" si="94"/>
        <v>3152.570447464434</v>
      </c>
      <c r="M518" s="67">
        <f>4280+7505</f>
        <v>11785</v>
      </c>
      <c r="N518" s="67">
        <f t="shared" si="95"/>
        <v>5244.3249489510381</v>
      </c>
      <c r="O518" s="67">
        <f t="shared" si="96"/>
        <v>1355.2748979020762</v>
      </c>
      <c r="P518" s="67">
        <f t="shared" si="97"/>
        <v>2946.25</v>
      </c>
      <c r="Q518" s="67">
        <f t="shared" si="98"/>
        <v>2239.1504083916961</v>
      </c>
      <c r="R518" s="65">
        <v>0</v>
      </c>
      <c r="S518" s="65">
        <v>0</v>
      </c>
      <c r="T518" s="65">
        <v>0</v>
      </c>
      <c r="U518" s="86">
        <v>0</v>
      </c>
      <c r="V518" s="86">
        <f t="shared" si="99"/>
        <v>0</v>
      </c>
      <c r="W518" s="65">
        <v>0</v>
      </c>
      <c r="X518" s="65">
        <v>0</v>
      </c>
      <c r="Y518" s="972"/>
      <c r="Z518" s="974"/>
    </row>
    <row r="519" spans="1:27" hidden="1">
      <c r="A519" s="16" t="s">
        <v>68</v>
      </c>
      <c r="B519" s="546" t="s">
        <v>33</v>
      </c>
      <c r="C519" s="349">
        <v>176</v>
      </c>
      <c r="D519" s="335" t="s">
        <v>494</v>
      </c>
      <c r="E519" s="335" t="s">
        <v>495</v>
      </c>
      <c r="F519" s="349">
        <v>6100302810</v>
      </c>
      <c r="G519" s="349">
        <v>244</v>
      </c>
      <c r="H519" s="9">
        <v>6330.2</v>
      </c>
      <c r="I519" s="9">
        <f t="shared" si="91"/>
        <v>510.00699592720775</v>
      </c>
      <c r="J519" s="9">
        <f t="shared" si="92"/>
        <v>2908.3390440192115</v>
      </c>
      <c r="K519" s="9">
        <f t="shared" si="93"/>
        <v>1465.7387876844286</v>
      </c>
      <c r="L519" s="9">
        <f t="shared" si="94"/>
        <v>1446.1160468506782</v>
      </c>
      <c r="M519" s="67">
        <f>2140+8749.99</f>
        <v>10889.99</v>
      </c>
      <c r="N519" s="67">
        <f t="shared" si="95"/>
        <v>4846.045502827943</v>
      </c>
      <c r="O519" s="67">
        <f t="shared" si="96"/>
        <v>1252.3487556558871</v>
      </c>
      <c r="P519" s="67">
        <f t="shared" si="97"/>
        <v>2722.4974999999999</v>
      </c>
      <c r="Q519" s="67">
        <f t="shared" si="98"/>
        <v>2069.0984773764517</v>
      </c>
      <c r="R519" s="65">
        <v>0</v>
      </c>
      <c r="S519" s="65">
        <v>0</v>
      </c>
      <c r="T519" s="65">
        <v>0</v>
      </c>
      <c r="U519" s="86">
        <v>0</v>
      </c>
      <c r="V519" s="86">
        <f t="shared" si="99"/>
        <v>0</v>
      </c>
      <c r="W519" s="65">
        <v>0</v>
      </c>
      <c r="X519" s="65">
        <v>0</v>
      </c>
      <c r="Y519" s="972"/>
      <c r="Z519" s="974"/>
    </row>
    <row r="520" spans="1:27" hidden="1">
      <c r="A520" s="16" t="s">
        <v>69</v>
      </c>
      <c r="B520" s="546" t="s">
        <v>33</v>
      </c>
      <c r="C520" s="349">
        <v>176</v>
      </c>
      <c r="D520" s="335" t="s">
        <v>494</v>
      </c>
      <c r="E520" s="335" t="s">
        <v>495</v>
      </c>
      <c r="F520" s="349">
        <v>6100302810</v>
      </c>
      <c r="G520" s="349">
        <v>244</v>
      </c>
      <c r="H520" s="9">
        <v>19339</v>
      </c>
      <c r="I520" s="9">
        <f t="shared" si="91"/>
        <v>1558.0906281375424</v>
      </c>
      <c r="J520" s="9">
        <f t="shared" si="92"/>
        <v>8885.0855853349876</v>
      </c>
      <c r="K520" s="9">
        <f t="shared" si="93"/>
        <v>4477.8873361077331</v>
      </c>
      <c r="L520" s="9">
        <f t="shared" si="94"/>
        <v>4417.9391219938179</v>
      </c>
      <c r="M520" s="67">
        <f>12251.5+4862.6+431.18</f>
        <v>17545.28</v>
      </c>
      <c r="N520" s="67">
        <f t="shared" si="95"/>
        <v>7807.6495239992919</v>
      </c>
      <c r="O520" s="67">
        <f t="shared" si="96"/>
        <v>2017.7070479985862</v>
      </c>
      <c r="P520" s="67">
        <f t="shared" si="97"/>
        <v>4386.32</v>
      </c>
      <c r="Q520" s="67">
        <f t="shared" si="98"/>
        <v>3333.6038080056555</v>
      </c>
      <c r="R520" s="65">
        <v>0</v>
      </c>
      <c r="S520" s="65">
        <v>0</v>
      </c>
      <c r="T520" s="65">
        <v>0</v>
      </c>
      <c r="U520" s="86">
        <v>0</v>
      </c>
      <c r="V520" s="86">
        <f t="shared" si="99"/>
        <v>0</v>
      </c>
      <c r="W520" s="65">
        <v>0</v>
      </c>
      <c r="X520" s="65">
        <v>0</v>
      </c>
      <c r="Y520" s="972"/>
      <c r="Z520" s="974"/>
    </row>
    <row r="521" spans="1:27" hidden="1">
      <c r="A521" s="16" t="s">
        <v>70</v>
      </c>
      <c r="B521" s="546" t="s">
        <v>33</v>
      </c>
      <c r="C521" s="349">
        <v>176</v>
      </c>
      <c r="D521" s="335" t="s">
        <v>494</v>
      </c>
      <c r="E521" s="335" t="s">
        <v>495</v>
      </c>
      <c r="F521" s="349">
        <v>6100302810</v>
      </c>
      <c r="G521" s="349">
        <v>244</v>
      </c>
      <c r="H521" s="9">
        <v>7453.9</v>
      </c>
      <c r="I521" s="9">
        <f t="shared" si="91"/>
        <v>600.54044847584805</v>
      </c>
      <c r="J521" s="9">
        <f t="shared" si="92"/>
        <v>3424.6103440988913</v>
      </c>
      <c r="K521" s="9">
        <f t="shared" si="93"/>
        <v>1725.9281459544666</v>
      </c>
      <c r="L521" s="9">
        <f t="shared" si="94"/>
        <v>1702.8220911851552</v>
      </c>
      <c r="M521" s="67"/>
      <c r="N521" s="67"/>
      <c r="O521" s="67"/>
      <c r="P521" s="67"/>
      <c r="Q521" s="67"/>
      <c r="R521" s="65">
        <v>0</v>
      </c>
      <c r="S521" s="65">
        <v>0</v>
      </c>
      <c r="T521" s="65">
        <v>0</v>
      </c>
      <c r="U521" s="86">
        <v>0</v>
      </c>
      <c r="V521" s="86">
        <f t="shared" si="99"/>
        <v>0</v>
      </c>
      <c r="W521" s="65">
        <v>0</v>
      </c>
      <c r="X521" s="65">
        <v>0</v>
      </c>
      <c r="Y521" s="972"/>
      <c r="Z521" s="974"/>
    </row>
    <row r="522" spans="1:27" ht="24" hidden="1" customHeight="1">
      <c r="A522" s="16" t="s">
        <v>71</v>
      </c>
      <c r="B522" s="546" t="s">
        <v>33</v>
      </c>
      <c r="C522" s="349">
        <v>176</v>
      </c>
      <c r="D522" s="335" t="s">
        <v>494</v>
      </c>
      <c r="E522" s="335" t="s">
        <v>495</v>
      </c>
      <c r="F522" s="349">
        <v>6100302810</v>
      </c>
      <c r="G522" s="349">
        <v>244</v>
      </c>
      <c r="H522" s="9">
        <v>7484</v>
      </c>
      <c r="I522" s="9">
        <f t="shared" si="91"/>
        <v>602.96552360418673</v>
      </c>
      <c r="J522" s="9">
        <f t="shared" si="92"/>
        <v>3438.4394498498914</v>
      </c>
      <c r="K522" s="9">
        <f t="shared" si="93"/>
        <v>1732.8977105036593</v>
      </c>
      <c r="L522" s="9">
        <f t="shared" si="94"/>
        <v>1709.69834991477</v>
      </c>
      <c r="M522" s="67">
        <f>3210+24441.5</f>
        <v>27651.5</v>
      </c>
      <c r="N522" s="67">
        <f t="shared" si="95"/>
        <v>12304.917380222285</v>
      </c>
      <c r="O522" s="67">
        <f t="shared" si="96"/>
        <v>3179.9222604445699</v>
      </c>
      <c r="P522" s="67">
        <f t="shared" si="97"/>
        <v>6912.875</v>
      </c>
      <c r="Q522" s="67">
        <f t="shared" si="98"/>
        <v>5253.7859582217206</v>
      </c>
      <c r="R522" s="65">
        <v>0</v>
      </c>
      <c r="S522" s="65">
        <v>0</v>
      </c>
      <c r="T522" s="65">
        <v>0</v>
      </c>
      <c r="U522" s="86">
        <v>0</v>
      </c>
      <c r="V522" s="86">
        <f t="shared" si="99"/>
        <v>0</v>
      </c>
      <c r="W522" s="65">
        <v>0</v>
      </c>
      <c r="X522" s="65">
        <v>0</v>
      </c>
      <c r="Y522" s="973"/>
      <c r="Z522" s="940"/>
    </row>
    <row r="523" spans="1:27" ht="28.5" hidden="1" customHeight="1">
      <c r="A523" s="16" t="s">
        <v>498</v>
      </c>
      <c r="B523" s="546" t="s">
        <v>33</v>
      </c>
      <c r="C523" s="349">
        <v>176</v>
      </c>
      <c r="D523" s="335" t="s">
        <v>494</v>
      </c>
      <c r="E523" s="335" t="s">
        <v>495</v>
      </c>
      <c r="F523" s="349">
        <v>6100302810</v>
      </c>
      <c r="G523" s="349">
        <v>244</v>
      </c>
      <c r="H523" s="9">
        <v>66165.5</v>
      </c>
      <c r="I523" s="9">
        <v>66165.5</v>
      </c>
      <c r="J523" s="9">
        <v>0</v>
      </c>
      <c r="K523" s="9">
        <v>0</v>
      </c>
      <c r="L523" s="9">
        <v>0</v>
      </c>
      <c r="M523" s="67">
        <v>1955.5</v>
      </c>
      <c r="N523" s="67">
        <v>1955.5</v>
      </c>
      <c r="O523" s="67"/>
      <c r="P523" s="67"/>
      <c r="Q523" s="67"/>
      <c r="R523" s="65">
        <v>1250.9000000000001</v>
      </c>
      <c r="S523" s="65">
        <v>0</v>
      </c>
      <c r="T523" s="65"/>
      <c r="U523" s="86"/>
      <c r="V523" s="86"/>
      <c r="W523" s="65"/>
      <c r="X523" s="65"/>
      <c r="Y523" s="50"/>
      <c r="Z523" s="305" t="s">
        <v>499</v>
      </c>
      <c r="AA523" s="313">
        <f>R482-R523</f>
        <v>-1250.9000000000001</v>
      </c>
    </row>
    <row r="524" spans="1:27" ht="40.5" hidden="1" customHeight="1">
      <c r="A524" s="16"/>
      <c r="B524" s="546"/>
      <c r="C524" s="349"/>
      <c r="D524" s="335"/>
      <c r="E524" s="349"/>
      <c r="F524" s="349"/>
      <c r="G524" s="349"/>
      <c r="H524" s="1"/>
      <c r="I524" s="1"/>
      <c r="J524" s="1"/>
      <c r="K524" s="1"/>
      <c r="L524" s="1"/>
      <c r="M524" s="59"/>
      <c r="N524" s="59"/>
      <c r="O524" s="59"/>
      <c r="P524" s="59"/>
      <c r="Q524" s="59"/>
      <c r="R524" s="58"/>
      <c r="S524" s="58"/>
      <c r="T524" s="58"/>
      <c r="U524" s="91"/>
      <c r="V524" s="91"/>
      <c r="W524" s="58"/>
      <c r="X524" s="58"/>
      <c r="Y524" s="50"/>
      <c r="Z524" s="50"/>
    </row>
    <row r="525" spans="1:27" s="82" customFormat="1" ht="26.45" hidden="1" customHeight="1">
      <c r="A525" s="982" t="s">
        <v>802</v>
      </c>
      <c r="B525" s="547" t="s">
        <v>670</v>
      </c>
      <c r="C525" s="11"/>
      <c r="D525" s="11"/>
      <c r="E525" s="11"/>
      <c r="F525" s="11"/>
      <c r="G525" s="11"/>
      <c r="H525" s="28"/>
      <c r="I525" s="11"/>
      <c r="J525" s="11"/>
      <c r="K525" s="11"/>
      <c r="L525" s="28"/>
      <c r="M525" s="63"/>
      <c r="N525" s="63"/>
      <c r="O525" s="63"/>
      <c r="P525" s="63"/>
      <c r="Q525" s="63"/>
      <c r="R525" s="63"/>
      <c r="S525" s="63"/>
      <c r="T525" s="63"/>
      <c r="U525" s="84"/>
      <c r="V525" s="84"/>
      <c r="W525" s="63"/>
      <c r="X525" s="84"/>
      <c r="Y525" s="955" t="s">
        <v>26</v>
      </c>
      <c r="Z525" s="952" t="s">
        <v>817</v>
      </c>
      <c r="AA525" s="540"/>
    </row>
    <row r="526" spans="1:27" s="82" customFormat="1" ht="30" hidden="1" customHeight="1">
      <c r="A526" s="983"/>
      <c r="B526" s="547" t="s">
        <v>500</v>
      </c>
      <c r="C526" s="11"/>
      <c r="D526" s="11"/>
      <c r="E526" s="11"/>
      <c r="F526" s="11"/>
      <c r="G526" s="11"/>
      <c r="H526" s="12"/>
      <c r="I526" s="12"/>
      <c r="J526" s="12"/>
      <c r="K526" s="12"/>
      <c r="L526" s="12"/>
      <c r="M526" s="49"/>
      <c r="N526" s="49"/>
      <c r="O526" s="49"/>
      <c r="P526" s="49"/>
      <c r="Q526" s="49"/>
      <c r="R526" s="49" t="s">
        <v>496</v>
      </c>
      <c r="S526" s="49" t="s">
        <v>496</v>
      </c>
      <c r="T526" s="49" t="s">
        <v>496</v>
      </c>
      <c r="U526" s="85" t="s">
        <v>496</v>
      </c>
      <c r="V526" s="85" t="s">
        <v>496</v>
      </c>
      <c r="W526" s="49"/>
      <c r="X526" s="85"/>
      <c r="Y526" s="956"/>
      <c r="Z526" s="953"/>
      <c r="AA526" s="540"/>
    </row>
    <row r="527" spans="1:27" s="82" customFormat="1" ht="30.75" hidden="1" customHeight="1">
      <c r="A527" s="983"/>
      <c r="B527" s="547" t="s">
        <v>501</v>
      </c>
      <c r="C527" s="11">
        <v>176</v>
      </c>
      <c r="D527" s="127" t="s">
        <v>494</v>
      </c>
      <c r="E527" s="127" t="s">
        <v>495</v>
      </c>
      <c r="F527" s="11">
        <v>6100302810</v>
      </c>
      <c r="G527" s="11">
        <v>244</v>
      </c>
      <c r="H527" s="12"/>
      <c r="I527" s="12"/>
      <c r="J527" s="12"/>
      <c r="K527" s="12"/>
      <c r="L527" s="12"/>
      <c r="M527" s="49"/>
      <c r="N527" s="49"/>
      <c r="O527" s="49"/>
      <c r="P527" s="49"/>
      <c r="Q527" s="49"/>
      <c r="R527" s="49">
        <f>R528</f>
        <v>0</v>
      </c>
      <c r="S527" s="49">
        <f>S528</f>
        <v>0</v>
      </c>
      <c r="T527" s="49"/>
      <c r="U527" s="85"/>
      <c r="V527" s="85"/>
      <c r="W527" s="49"/>
      <c r="X527" s="85"/>
      <c r="Y527" s="956"/>
      <c r="Z527" s="953"/>
      <c r="AA527" s="540"/>
    </row>
    <row r="528" spans="1:27" s="82" customFormat="1" ht="32.450000000000003" hidden="1" customHeight="1">
      <c r="A528" s="983"/>
      <c r="B528" s="547" t="s">
        <v>503</v>
      </c>
      <c r="C528" s="11">
        <v>176</v>
      </c>
      <c r="D528" s="127" t="s">
        <v>494</v>
      </c>
      <c r="E528" s="127" t="s">
        <v>495</v>
      </c>
      <c r="F528" s="11">
        <v>6100302810</v>
      </c>
      <c r="G528" s="11">
        <v>244</v>
      </c>
      <c r="H528" s="12"/>
      <c r="I528" s="12"/>
      <c r="J528" s="12"/>
      <c r="K528" s="12"/>
      <c r="L528" s="12"/>
      <c r="M528" s="49"/>
      <c r="N528" s="49"/>
      <c r="O528" s="49"/>
      <c r="P528" s="49"/>
      <c r="Q528" s="49"/>
      <c r="R528" s="49">
        <f>S528</f>
        <v>0</v>
      </c>
      <c r="S528" s="49">
        <v>0</v>
      </c>
      <c r="T528" s="49"/>
      <c r="U528" s="85"/>
      <c r="V528" s="85"/>
      <c r="W528" s="49"/>
      <c r="X528" s="85"/>
      <c r="Y528" s="956"/>
      <c r="Z528" s="953"/>
      <c r="AA528" s="540"/>
    </row>
    <row r="529" spans="1:27" s="82" customFormat="1" ht="25.5" hidden="1" customHeight="1">
      <c r="A529" s="983"/>
      <c r="B529" s="551" t="s">
        <v>443</v>
      </c>
      <c r="C529" s="11"/>
      <c r="D529" s="127"/>
      <c r="E529" s="127"/>
      <c r="F529" s="11"/>
      <c r="G529" s="11"/>
      <c r="H529" s="12"/>
      <c r="I529" s="12"/>
      <c r="J529" s="12"/>
      <c r="K529" s="12"/>
      <c r="L529" s="12"/>
      <c r="M529" s="49"/>
      <c r="N529" s="49"/>
      <c r="O529" s="49"/>
      <c r="P529" s="49"/>
      <c r="Q529" s="49"/>
      <c r="R529" s="49"/>
      <c r="S529" s="49"/>
      <c r="T529" s="49"/>
      <c r="U529" s="85"/>
      <c r="V529" s="85"/>
      <c r="W529" s="49"/>
      <c r="X529" s="85"/>
      <c r="Y529" s="956"/>
      <c r="Z529" s="953"/>
      <c r="AA529" s="540"/>
    </row>
    <row r="530" spans="1:27" s="82" customFormat="1" ht="30" hidden="1" customHeight="1">
      <c r="A530" s="983"/>
      <c r="B530" s="547" t="s">
        <v>442</v>
      </c>
      <c r="C530" s="11"/>
      <c r="D530" s="127"/>
      <c r="E530" s="127"/>
      <c r="F530" s="11"/>
      <c r="G530" s="11"/>
      <c r="H530" s="12"/>
      <c r="I530" s="12"/>
      <c r="J530" s="12"/>
      <c r="K530" s="12"/>
      <c r="L530" s="12"/>
      <c r="M530" s="49"/>
      <c r="N530" s="49"/>
      <c r="O530" s="49"/>
      <c r="P530" s="49"/>
      <c r="Q530" s="49"/>
      <c r="R530" s="49"/>
      <c r="S530" s="49"/>
      <c r="T530" s="49"/>
      <c r="U530" s="85"/>
      <c r="V530" s="85"/>
      <c r="W530" s="49"/>
      <c r="X530" s="85"/>
      <c r="Y530" s="956"/>
      <c r="Z530" s="953"/>
      <c r="AA530" s="540"/>
    </row>
    <row r="531" spans="1:27" s="82" customFormat="1" ht="30" hidden="1" customHeight="1">
      <c r="A531" s="983"/>
      <c r="B531" s="547" t="s">
        <v>454</v>
      </c>
      <c r="C531" s="11"/>
      <c r="D531" s="127"/>
      <c r="E531" s="127"/>
      <c r="F531" s="11"/>
      <c r="G531" s="11"/>
      <c r="H531" s="12"/>
      <c r="I531" s="12"/>
      <c r="J531" s="12"/>
      <c r="K531" s="12"/>
      <c r="L531" s="12"/>
      <c r="M531" s="49"/>
      <c r="N531" s="49"/>
      <c r="O531" s="49"/>
      <c r="P531" s="49"/>
      <c r="Q531" s="49"/>
      <c r="R531" s="49"/>
      <c r="S531" s="49"/>
      <c r="T531" s="49"/>
      <c r="U531" s="85"/>
      <c r="V531" s="85"/>
      <c r="W531" s="49"/>
      <c r="X531" s="85"/>
      <c r="Y531" s="956"/>
      <c r="Z531" s="953"/>
      <c r="AA531" s="540"/>
    </row>
    <row r="532" spans="1:27" s="82" customFormat="1" ht="30" hidden="1" customHeight="1">
      <c r="A532" s="984"/>
      <c r="B532" s="547" t="s">
        <v>454</v>
      </c>
      <c r="C532" s="11"/>
      <c r="D532" s="127"/>
      <c r="E532" s="127"/>
      <c r="F532" s="11"/>
      <c r="G532" s="11"/>
      <c r="H532" s="12"/>
      <c r="I532" s="12"/>
      <c r="J532" s="12"/>
      <c r="K532" s="12"/>
      <c r="L532" s="12"/>
      <c r="M532" s="49"/>
      <c r="N532" s="49"/>
      <c r="O532" s="49"/>
      <c r="P532" s="49"/>
      <c r="Q532" s="49"/>
      <c r="R532" s="49"/>
      <c r="S532" s="49"/>
      <c r="T532" s="49"/>
      <c r="U532" s="85"/>
      <c r="V532" s="85"/>
      <c r="W532" s="49"/>
      <c r="X532" s="85"/>
      <c r="Y532" s="957"/>
      <c r="Z532" s="954"/>
      <c r="AA532" s="540"/>
    </row>
    <row r="533" spans="1:27" ht="44.45" customHeight="1">
      <c r="A533" s="1017" t="s">
        <v>736</v>
      </c>
      <c r="B533" s="547" t="s">
        <v>74</v>
      </c>
      <c r="C533" s="11"/>
      <c r="D533" s="127"/>
      <c r="E533" s="127"/>
      <c r="F533" s="11"/>
      <c r="G533" s="11"/>
      <c r="H533" s="7">
        <v>35</v>
      </c>
      <c r="I533" s="7">
        <v>30</v>
      </c>
      <c r="J533" s="7">
        <v>29</v>
      </c>
      <c r="K533" s="7">
        <v>31</v>
      </c>
      <c r="L533" s="7">
        <v>31</v>
      </c>
      <c r="M533" s="72">
        <v>35</v>
      </c>
      <c r="N533" s="72"/>
      <c r="O533" s="72"/>
      <c r="P533" s="72"/>
      <c r="Q533" s="72"/>
      <c r="R533" s="49">
        <v>35</v>
      </c>
      <c r="S533" s="49"/>
      <c r="T533" s="49"/>
      <c r="U533" s="49"/>
      <c r="V533" s="49">
        <v>35</v>
      </c>
      <c r="W533" s="49">
        <v>35</v>
      </c>
      <c r="X533" s="49">
        <v>35</v>
      </c>
      <c r="Y533" s="971" t="s">
        <v>816</v>
      </c>
      <c r="Z533" s="939" t="s">
        <v>187</v>
      </c>
      <c r="AA533" s="313"/>
    </row>
    <row r="534" spans="1:27" ht="30.75" customHeight="1">
      <c r="A534" s="1004"/>
      <c r="B534" s="547" t="s">
        <v>24</v>
      </c>
      <c r="C534" s="11"/>
      <c r="D534" s="127"/>
      <c r="E534" s="127"/>
      <c r="F534" s="11"/>
      <c r="G534" s="11"/>
      <c r="H534" s="8">
        <v>0</v>
      </c>
      <c r="I534" s="8">
        <v>0</v>
      </c>
      <c r="J534" s="8">
        <v>0</v>
      </c>
      <c r="K534" s="8">
        <v>0</v>
      </c>
      <c r="L534" s="8">
        <v>0</v>
      </c>
      <c r="M534" s="68"/>
      <c r="N534" s="68"/>
      <c r="O534" s="68"/>
      <c r="P534" s="68"/>
      <c r="Q534" s="68"/>
      <c r="R534" s="49">
        <f>R535/R533</f>
        <v>47639.332330827085</v>
      </c>
      <c r="S534" s="49" t="s">
        <v>496</v>
      </c>
      <c r="T534" s="49" t="s">
        <v>496</v>
      </c>
      <c r="U534" s="49" t="s">
        <v>496</v>
      </c>
      <c r="V534" s="49" t="s">
        <v>496</v>
      </c>
      <c r="W534" s="49">
        <f>W535/W533</f>
        <v>80623.41353383458</v>
      </c>
      <c r="X534" s="49">
        <f>X535/X533</f>
        <v>90450.77293233083</v>
      </c>
      <c r="Y534" s="972"/>
      <c r="Z534" s="974"/>
    </row>
    <row r="535" spans="1:27" ht="30" customHeight="1">
      <c r="A535" s="1004"/>
      <c r="B535" s="547" t="s">
        <v>25</v>
      </c>
      <c r="C535" s="11">
        <v>176</v>
      </c>
      <c r="D535" s="127" t="s">
        <v>494</v>
      </c>
      <c r="E535" s="127" t="s">
        <v>495</v>
      </c>
      <c r="F535" s="11" t="s">
        <v>548</v>
      </c>
      <c r="G535" s="11" t="s">
        <v>460</v>
      </c>
      <c r="H535" s="6">
        <f t="shared" ref="H535:Q535" si="100">SUM(H538:H541)</f>
        <v>338311.1</v>
      </c>
      <c r="I535" s="6">
        <f t="shared" si="100"/>
        <v>23511.642</v>
      </c>
      <c r="J535" s="6">
        <f t="shared" si="100"/>
        <v>50374.6</v>
      </c>
      <c r="K535" s="6">
        <f t="shared" si="100"/>
        <v>50374.6</v>
      </c>
      <c r="L535" s="6">
        <f t="shared" si="100"/>
        <v>214050.258</v>
      </c>
      <c r="M535" s="68" t="e">
        <f t="shared" si="100"/>
        <v>#REF!</v>
      </c>
      <c r="N535" s="68" t="e">
        <f t="shared" si="100"/>
        <v>#REF!</v>
      </c>
      <c r="O535" s="68" t="e">
        <f t="shared" si="100"/>
        <v>#REF!</v>
      </c>
      <c r="P535" s="68" t="e">
        <f t="shared" si="100"/>
        <v>#REF!</v>
      </c>
      <c r="Q535" s="68" t="e">
        <f t="shared" si="100"/>
        <v>#REF!</v>
      </c>
      <c r="R535" s="87">
        <f>R537+R538+R539</f>
        <v>1667376.6315789479</v>
      </c>
      <c r="S535" s="87">
        <f t="shared" ref="S535:X535" si="101">SUM(S537:S539)</f>
        <v>122846.81052631579</v>
      </c>
      <c r="T535" s="87">
        <f t="shared" si="101"/>
        <v>214640.98947368425</v>
      </c>
      <c r="U535" s="87">
        <f t="shared" si="101"/>
        <v>273250.69473684207</v>
      </c>
      <c r="V535" s="87">
        <f t="shared" si="101"/>
        <v>1056638.1368421053</v>
      </c>
      <c r="W535" s="68">
        <f t="shared" si="101"/>
        <v>2821819.4736842103</v>
      </c>
      <c r="X535" s="87">
        <f t="shared" si="101"/>
        <v>3165777.0526315789</v>
      </c>
      <c r="Y535" s="972"/>
      <c r="Z535" s="974"/>
    </row>
    <row r="536" spans="1:27">
      <c r="A536" s="1004"/>
      <c r="B536" s="547" t="s">
        <v>9</v>
      </c>
      <c r="C536" s="11"/>
      <c r="D536" s="127"/>
      <c r="E536" s="127"/>
      <c r="F536" s="11"/>
      <c r="G536" s="11"/>
      <c r="H536" s="6"/>
      <c r="I536" s="6"/>
      <c r="J536" s="6"/>
      <c r="K536" s="6"/>
      <c r="L536" s="6"/>
      <c r="M536" s="68"/>
      <c r="N536" s="68"/>
      <c r="O536" s="68"/>
      <c r="P536" s="68"/>
      <c r="Q536" s="68"/>
      <c r="R536" s="85"/>
      <c r="S536" s="85"/>
      <c r="T536" s="85"/>
      <c r="U536" s="85"/>
      <c r="V536" s="85"/>
      <c r="W536" s="49"/>
      <c r="X536" s="49"/>
      <c r="Y536" s="972"/>
      <c r="Z536" s="974"/>
    </row>
    <row r="537" spans="1:27" ht="25.9" customHeight="1">
      <c r="A537" s="1004"/>
      <c r="B537" s="547" t="s">
        <v>10</v>
      </c>
      <c r="C537" s="11">
        <v>176</v>
      </c>
      <c r="D537" s="127" t="s">
        <v>494</v>
      </c>
      <c r="E537" s="127" t="s">
        <v>495</v>
      </c>
      <c r="F537" s="11">
        <v>6100470760</v>
      </c>
      <c r="G537" s="11" t="s">
        <v>460</v>
      </c>
      <c r="H537" s="6"/>
      <c r="I537" s="6"/>
      <c r="J537" s="6"/>
      <c r="K537" s="6"/>
      <c r="L537" s="6"/>
      <c r="M537" s="68"/>
      <c r="N537" s="68"/>
      <c r="O537" s="68"/>
      <c r="P537" s="68"/>
      <c r="Q537" s="68"/>
      <c r="R537" s="85">
        <f>R543+R545+R547+R549+R551+R553+R555+R557+R559+R561+R563+R565+R567+R569+R571+R573+R575+R577+R579+R581+R585+R587+R589+R591+R593+R595+R597+R599+R601+R604+R608+R612+R616+R620+R621+R583</f>
        <v>1584007.8000000005</v>
      </c>
      <c r="S537" s="85">
        <f t="shared" ref="S537:V537" si="102">S543+S545+S547+S549+S551+S553+S555+S557+S559+S561+S563+S565+S567+S569+S571+S573+S575+S577+S579+S581+S585+S587+S589+S591+S593+S595+S597+S599+S601+S604+S608+S612+S616+S620+S621+S583</f>
        <v>116704.47</v>
      </c>
      <c r="T537" s="85">
        <f t="shared" si="102"/>
        <v>203908.94000000003</v>
      </c>
      <c r="U537" s="85">
        <f t="shared" si="102"/>
        <v>259588.15999999995</v>
      </c>
      <c r="V537" s="85">
        <f t="shared" si="102"/>
        <v>1003806.23</v>
      </c>
      <c r="W537" s="85">
        <f>W543+W545+W547+W549+W551+W553+W555+W557+W559+W561+W563+W565+W567+W569+W571+W573+W575+W577+W579+W581+W585+W587+W589+W591+W593+W595+W597+W599+W601+W604+W608+W612+W616+W620+W621+W583</f>
        <v>2680728.5</v>
      </c>
      <c r="X537" s="85">
        <f>X543+X545+X547+X549+X551+X553+X555+X557+X559+X561+X563+X565+X567+X569+X571+X573+X575+X577+X579+X581+X585+X587+X589+X591+X593+X595+X597+X599+X601+X604+X608+X612+X616+X620+X621+X583</f>
        <v>3007488.1999999997</v>
      </c>
      <c r="Y537" s="972"/>
      <c r="Z537" s="974"/>
    </row>
    <row r="538" spans="1:27" ht="30.75" customHeight="1">
      <c r="A538" s="1004"/>
      <c r="B538" s="547" t="s">
        <v>443</v>
      </c>
      <c r="C538" s="11">
        <v>176</v>
      </c>
      <c r="D538" s="127" t="s">
        <v>494</v>
      </c>
      <c r="E538" s="127" t="s">
        <v>495</v>
      </c>
      <c r="F538" s="11" t="s">
        <v>549</v>
      </c>
      <c r="G538" s="473" t="s">
        <v>460</v>
      </c>
      <c r="H538" s="6">
        <v>0</v>
      </c>
      <c r="I538" s="6">
        <v>0</v>
      </c>
      <c r="J538" s="6">
        <v>0</v>
      </c>
      <c r="K538" s="29">
        <v>0</v>
      </c>
      <c r="L538" s="29">
        <v>0</v>
      </c>
      <c r="M538" s="73"/>
      <c r="N538" s="73"/>
      <c r="O538" s="73"/>
      <c r="P538" s="73"/>
      <c r="Q538" s="73"/>
      <c r="R538" s="92">
        <f>R605+R609+R613+R617+R622</f>
        <v>0</v>
      </c>
      <c r="S538" s="92">
        <f t="shared" ref="S538:X538" si="103">S605+S609+S613+S617+S622</f>
        <v>0</v>
      </c>
      <c r="T538" s="92">
        <f t="shared" si="103"/>
        <v>0</v>
      </c>
      <c r="U538" s="92">
        <f t="shared" si="103"/>
        <v>0</v>
      </c>
      <c r="V538" s="92">
        <f t="shared" si="103"/>
        <v>0</v>
      </c>
      <c r="W538" s="594">
        <f t="shared" si="103"/>
        <v>0</v>
      </c>
      <c r="X538" s="92">
        <f t="shared" si="103"/>
        <v>0</v>
      </c>
      <c r="Y538" s="972"/>
      <c r="Z538" s="974"/>
    </row>
    <row r="539" spans="1:27" ht="28.5" customHeight="1">
      <c r="A539" s="1004"/>
      <c r="B539" s="547" t="s">
        <v>11</v>
      </c>
      <c r="C539" s="11"/>
      <c r="D539" s="127"/>
      <c r="E539" s="127"/>
      <c r="F539" s="11"/>
      <c r="G539" s="11"/>
      <c r="H539" s="6">
        <v>338311.1</v>
      </c>
      <c r="I539" s="6">
        <f>8011.642+15500</f>
        <v>23511.642</v>
      </c>
      <c r="J539" s="6">
        <v>50374.6</v>
      </c>
      <c r="K539" s="6">
        <v>50374.6</v>
      </c>
      <c r="L539" s="6">
        <f>H539-I539-J539-K539</f>
        <v>214050.258</v>
      </c>
      <c r="M539" s="49" t="e">
        <f>#REF!/0.95*0.05</f>
        <v>#REF!</v>
      </c>
      <c r="N539" s="49" t="e">
        <f>#REF!/0.95*0.05</f>
        <v>#REF!</v>
      </c>
      <c r="O539" s="49" t="e">
        <f>#REF!/0.95*0.05</f>
        <v>#REF!</v>
      </c>
      <c r="P539" s="49" t="e">
        <f>#REF!/0.95*0.05</f>
        <v>#REF!</v>
      </c>
      <c r="Q539" s="49" t="e">
        <f>#REF!/0.95*0.05</f>
        <v>#REF!</v>
      </c>
      <c r="R539" s="85">
        <f>(R537+R538)/0.95*0.05</f>
        <v>83368.8315789474</v>
      </c>
      <c r="S539" s="85">
        <f t="shared" ref="S539:V539" si="104">(S537+S538)/0.95*0.05</f>
        <v>6142.3405263157902</v>
      </c>
      <c r="T539" s="85">
        <f t="shared" si="104"/>
        <v>10732.049473684214</v>
      </c>
      <c r="U539" s="85">
        <f t="shared" si="104"/>
        <v>13662.534736842104</v>
      </c>
      <c r="V539" s="85">
        <f t="shared" si="104"/>
        <v>52831.906842105265</v>
      </c>
      <c r="W539" s="49">
        <f>(W537/0.95*0.05)+(W538/0.95*0.05)</f>
        <v>141090.97368421053</v>
      </c>
      <c r="X539" s="49">
        <f>X537/0.95*0.05</f>
        <v>158288.85263157895</v>
      </c>
      <c r="Y539" s="972"/>
      <c r="Z539" s="974"/>
    </row>
    <row r="540" spans="1:27" ht="28.5" customHeight="1">
      <c r="A540" s="1004"/>
      <c r="B540" s="811" t="s">
        <v>454</v>
      </c>
      <c r="C540" s="777"/>
      <c r="D540" s="127"/>
      <c r="E540" s="127"/>
      <c r="F540" s="777"/>
      <c r="G540" s="777"/>
      <c r="H540" s="6"/>
      <c r="I540" s="6"/>
      <c r="J540" s="6"/>
      <c r="K540" s="30"/>
      <c r="L540" s="30"/>
      <c r="M540" s="64"/>
      <c r="N540" s="64"/>
      <c r="O540" s="64"/>
      <c r="P540" s="64"/>
      <c r="Q540" s="64"/>
      <c r="R540" s="93"/>
      <c r="S540" s="93"/>
      <c r="T540" s="93"/>
      <c r="U540" s="93"/>
      <c r="V540" s="93"/>
      <c r="W540" s="64"/>
      <c r="X540" s="64"/>
      <c r="Y540" s="972"/>
      <c r="Z540" s="974"/>
    </row>
    <row r="541" spans="1:27" ht="23.25" customHeight="1">
      <c r="A541" s="1005"/>
      <c r="B541" s="547" t="s">
        <v>1061</v>
      </c>
      <c r="C541" s="11"/>
      <c r="D541" s="127"/>
      <c r="E541" s="127"/>
      <c r="F541" s="11"/>
      <c r="G541" s="11"/>
      <c r="H541" s="6">
        <v>0</v>
      </c>
      <c r="I541" s="6">
        <v>0</v>
      </c>
      <c r="J541" s="6">
        <v>0</v>
      </c>
      <c r="K541" s="30">
        <v>0</v>
      </c>
      <c r="L541" s="30">
        <v>0</v>
      </c>
      <c r="M541" s="74" t="s">
        <v>247</v>
      </c>
      <c r="N541" s="74"/>
      <c r="O541" s="74"/>
      <c r="P541" s="74"/>
      <c r="Q541" s="74"/>
      <c r="R541" s="93"/>
      <c r="S541" s="93"/>
      <c r="T541" s="93"/>
      <c r="U541" s="93"/>
      <c r="V541" s="93"/>
      <c r="W541" s="64"/>
      <c r="X541" s="93"/>
      <c r="Y541" s="972"/>
      <c r="Z541" s="974"/>
    </row>
    <row r="542" spans="1:27" ht="20.45" customHeight="1">
      <c r="A542" s="16" t="s">
        <v>41</v>
      </c>
      <c r="B542" s="546"/>
      <c r="C542" s="50"/>
      <c r="D542" s="335"/>
      <c r="E542" s="335"/>
      <c r="F542" s="50"/>
      <c r="G542" s="50"/>
      <c r="H542" s="5"/>
      <c r="I542" s="5"/>
      <c r="J542" s="5"/>
      <c r="K542" s="5"/>
      <c r="L542" s="5"/>
      <c r="M542" s="70"/>
      <c r="N542" s="70"/>
      <c r="O542" s="70"/>
      <c r="P542" s="70"/>
      <c r="Q542" s="70"/>
      <c r="R542" s="86"/>
      <c r="S542" s="86"/>
      <c r="T542" s="86"/>
      <c r="U542" s="86"/>
      <c r="V542" s="86"/>
      <c r="W542" s="65"/>
      <c r="X542" s="65"/>
      <c r="Y542" s="972"/>
      <c r="Z542" s="974"/>
    </row>
    <row r="543" spans="1:27" ht="19.899999999999999" customHeight="1">
      <c r="A543" s="992" t="s">
        <v>42</v>
      </c>
      <c r="B543" s="546" t="s">
        <v>10</v>
      </c>
      <c r="C543" s="50">
        <v>176</v>
      </c>
      <c r="D543" s="335" t="s">
        <v>494</v>
      </c>
      <c r="E543" s="335" t="s">
        <v>495</v>
      </c>
      <c r="F543" s="50">
        <v>6100470760</v>
      </c>
      <c r="G543" s="50" t="s">
        <v>460</v>
      </c>
      <c r="H543" s="19">
        <v>24508</v>
      </c>
      <c r="I543" s="20">
        <v>7125.1819999999998</v>
      </c>
      <c r="J543" s="19">
        <f>7500-0.0002</f>
        <v>7499.9997999999996</v>
      </c>
      <c r="K543" s="19">
        <v>9869.5759999999991</v>
      </c>
      <c r="L543" s="19">
        <f>H543-I543-J543-K543</f>
        <v>13.242200000000594</v>
      </c>
      <c r="M543" s="75">
        <v>30742.400000000001</v>
      </c>
      <c r="N543" s="75">
        <v>2663.4</v>
      </c>
      <c r="O543" s="75"/>
      <c r="P543" s="75">
        <f t="shared" ref="P543:P561" si="105">AA543-O543-N543</f>
        <v>-2663.4</v>
      </c>
      <c r="Q543" s="75">
        <f>M543-N543-O543-P543</f>
        <v>30742.400000000001</v>
      </c>
      <c r="R543" s="94">
        <v>17056.5</v>
      </c>
      <c r="S543" s="94">
        <v>1472.61</v>
      </c>
      <c r="T543" s="94">
        <v>2945.22</v>
      </c>
      <c r="U543" s="94">
        <v>4417.829999999999</v>
      </c>
      <c r="V543" s="94">
        <f>R543-S543-T543-U543</f>
        <v>8220.84</v>
      </c>
      <c r="W543" s="41">
        <v>16916.099999999999</v>
      </c>
      <c r="X543" s="41">
        <v>15259.2</v>
      </c>
      <c r="Y543" s="972"/>
      <c r="Z543" s="974"/>
      <c r="AA543" s="315"/>
    </row>
    <row r="544" spans="1:27" ht="20.45" customHeight="1">
      <c r="A544" s="993"/>
      <c r="B544" s="546" t="s">
        <v>476</v>
      </c>
      <c r="C544" s="328"/>
      <c r="D544" s="335"/>
      <c r="E544" s="335"/>
      <c r="F544" s="328"/>
      <c r="G544" s="328"/>
      <c r="H544" s="19"/>
      <c r="I544" s="20"/>
      <c r="J544" s="19"/>
      <c r="K544" s="19"/>
      <c r="L544" s="19"/>
      <c r="M544" s="75"/>
      <c r="N544" s="75"/>
      <c r="O544" s="75"/>
      <c r="P544" s="75"/>
      <c r="Q544" s="75"/>
      <c r="R544" s="94">
        <f>R543/0.95*0.05</f>
        <v>897.71052631578959</v>
      </c>
      <c r="S544" s="94">
        <f t="shared" ref="S544:X544" si="106">S543/0.95*0.05</f>
        <v>77.505789473684217</v>
      </c>
      <c r="T544" s="94">
        <f t="shared" si="106"/>
        <v>155.01157894736843</v>
      </c>
      <c r="U544" s="94">
        <f t="shared" si="106"/>
        <v>232.51736842105262</v>
      </c>
      <c r="V544" s="94">
        <f t="shared" si="106"/>
        <v>432.67578947368423</v>
      </c>
      <c r="W544" s="311">
        <f t="shared" si="106"/>
        <v>890.32105263157882</v>
      </c>
      <c r="X544" s="94">
        <f t="shared" si="106"/>
        <v>803.11578947368434</v>
      </c>
      <c r="Y544" s="972"/>
      <c r="Z544" s="974"/>
      <c r="AA544" s="315"/>
    </row>
    <row r="545" spans="1:27" ht="22.15" customHeight="1">
      <c r="A545" s="992" t="s">
        <v>43</v>
      </c>
      <c r="B545" s="546" t="s">
        <v>10</v>
      </c>
      <c r="C545" s="50">
        <v>176</v>
      </c>
      <c r="D545" s="335" t="s">
        <v>494</v>
      </c>
      <c r="E545" s="335" t="s">
        <v>495</v>
      </c>
      <c r="F545" s="50">
        <v>6100470760</v>
      </c>
      <c r="G545" s="50" t="s">
        <v>460</v>
      </c>
      <c r="H545" s="19">
        <v>19723.599999999999</v>
      </c>
      <c r="I545" s="20">
        <v>5553.4560000000001</v>
      </c>
      <c r="J545" s="19">
        <v>0</v>
      </c>
      <c r="K545" s="19">
        <v>10696</v>
      </c>
      <c r="L545" s="19">
        <f t="shared" ref="L545:L619" si="107">H545-I545-J545-K545</f>
        <v>3474.1439999999984</v>
      </c>
      <c r="M545" s="75">
        <v>30826.2</v>
      </c>
      <c r="N545" s="75">
        <v>1290.51</v>
      </c>
      <c r="O545" s="75"/>
      <c r="P545" s="75">
        <f t="shared" si="105"/>
        <v>-1290.51</v>
      </c>
      <c r="Q545" s="75">
        <f t="shared" ref="Q545:Q619" si="108">M545-N545-O545-P545</f>
        <v>30826.2</v>
      </c>
      <c r="R545" s="94">
        <v>29331.200000000001</v>
      </c>
      <c r="S545" s="94">
        <v>2524.3200000000006</v>
      </c>
      <c r="T545" s="94">
        <v>5048.6400000000012</v>
      </c>
      <c r="U545" s="94">
        <v>7572.9600000000009</v>
      </c>
      <c r="V545" s="94">
        <f>R545-S545-T545-U545</f>
        <v>14185.279999999997</v>
      </c>
      <c r="W545" s="41">
        <v>29211</v>
      </c>
      <c r="X545" s="41">
        <v>22856.5</v>
      </c>
      <c r="Y545" s="972"/>
      <c r="Z545" s="974"/>
      <c r="AA545" s="315"/>
    </row>
    <row r="546" spans="1:27" ht="21.6" customHeight="1">
      <c r="A546" s="993"/>
      <c r="B546" s="546" t="s">
        <v>476</v>
      </c>
      <c r="C546" s="328"/>
      <c r="D546" s="335"/>
      <c r="E546" s="335"/>
      <c r="F546" s="328"/>
      <c r="G546" s="328"/>
      <c r="H546" s="19"/>
      <c r="I546" s="20"/>
      <c r="J546" s="19"/>
      <c r="K546" s="19"/>
      <c r="L546" s="19"/>
      <c r="M546" s="75"/>
      <c r="N546" s="75"/>
      <c r="O546" s="75"/>
      <c r="P546" s="75"/>
      <c r="Q546" s="75"/>
      <c r="R546" s="94">
        <f>R545/0.95*0.05</f>
        <v>1543.7473684210527</v>
      </c>
      <c r="S546" s="94">
        <f t="shared" ref="S546:X546" si="109">S545/0.95*0.05</f>
        <v>132.8589473684211</v>
      </c>
      <c r="T546" s="94">
        <f t="shared" si="109"/>
        <v>265.7178947368422</v>
      </c>
      <c r="U546" s="94">
        <f t="shared" si="109"/>
        <v>398.57684210526327</v>
      </c>
      <c r="V546" s="94">
        <f t="shared" si="109"/>
        <v>746.59368421052625</v>
      </c>
      <c r="W546" s="311">
        <f t="shared" si="109"/>
        <v>1537.4210526315792</v>
      </c>
      <c r="X546" s="94">
        <f t="shared" si="109"/>
        <v>1202.9736842105265</v>
      </c>
      <c r="Y546" s="972"/>
      <c r="Z546" s="974"/>
      <c r="AA546" s="315"/>
    </row>
    <row r="547" spans="1:27" ht="18.600000000000001" customHeight="1">
      <c r="A547" s="992" t="s">
        <v>44</v>
      </c>
      <c r="B547" s="546" t="s">
        <v>10</v>
      </c>
      <c r="C547" s="50">
        <v>176</v>
      </c>
      <c r="D547" s="335" t="s">
        <v>494</v>
      </c>
      <c r="E547" s="335" t="s">
        <v>495</v>
      </c>
      <c r="F547" s="50">
        <v>6100470760</v>
      </c>
      <c r="G547" s="307" t="s">
        <v>464</v>
      </c>
      <c r="H547" s="19">
        <v>27619.3</v>
      </c>
      <c r="I547" s="20">
        <f>3566.323+0.02281</f>
        <v>3566.3458099999998</v>
      </c>
      <c r="J547" s="19">
        <v>4989.1400000000003</v>
      </c>
      <c r="K547" s="19">
        <f>10382.2+0.03-0.02281</f>
        <v>10382.207190000001</v>
      </c>
      <c r="L547" s="19">
        <f t="shared" si="107"/>
        <v>8681.607</v>
      </c>
      <c r="M547" s="75">
        <f>33974.2+9072.7</f>
        <v>43046.899999999994</v>
      </c>
      <c r="N547" s="75">
        <v>824.77</v>
      </c>
      <c r="O547" s="75">
        <v>1473.9280000000001</v>
      </c>
      <c r="P547" s="75">
        <f t="shared" si="105"/>
        <v>-2298.6980000000003</v>
      </c>
      <c r="Q547" s="75">
        <f t="shared" si="108"/>
        <v>43046.899999999994</v>
      </c>
      <c r="R547" s="94">
        <v>55546.8</v>
      </c>
      <c r="S547" s="94">
        <v>3868.88</v>
      </c>
      <c r="T547" s="94">
        <v>7737.76</v>
      </c>
      <c r="U547" s="94">
        <v>11606.64</v>
      </c>
      <c r="V547" s="94">
        <f>R547-S547-T547-U547</f>
        <v>32333.520000000004</v>
      </c>
      <c r="W547" s="41">
        <v>55285.7</v>
      </c>
      <c r="X547" s="41">
        <v>44126.6</v>
      </c>
      <c r="Y547" s="972"/>
      <c r="Z547" s="974"/>
      <c r="AA547" s="315"/>
    </row>
    <row r="548" spans="1:27" ht="17.45" customHeight="1">
      <c r="A548" s="993"/>
      <c r="B548" s="546" t="s">
        <v>476</v>
      </c>
      <c r="C548" s="328"/>
      <c r="D548" s="335"/>
      <c r="E548" s="335"/>
      <c r="F548" s="328"/>
      <c r="G548" s="328"/>
      <c r="H548" s="19"/>
      <c r="I548" s="20"/>
      <c r="J548" s="19"/>
      <c r="K548" s="19"/>
      <c r="L548" s="19"/>
      <c r="M548" s="75"/>
      <c r="N548" s="75"/>
      <c r="O548" s="75"/>
      <c r="P548" s="75"/>
      <c r="Q548" s="75"/>
      <c r="R548" s="94">
        <f>R547/0.95*0.05</f>
        <v>2923.5157894736844</v>
      </c>
      <c r="S548" s="94">
        <f t="shared" ref="S548:X548" si="110">S547/0.95*0.05</f>
        <v>203.62526315789478</v>
      </c>
      <c r="T548" s="94">
        <f t="shared" si="110"/>
        <v>407.25052631578956</v>
      </c>
      <c r="U548" s="94">
        <f t="shared" si="110"/>
        <v>610.87578947368422</v>
      </c>
      <c r="V548" s="94">
        <f t="shared" si="110"/>
        <v>1701.764210526316</v>
      </c>
      <c r="W548" s="311">
        <f t="shared" si="110"/>
        <v>2909.7736842105264</v>
      </c>
      <c r="X548" s="94">
        <f t="shared" si="110"/>
        <v>2322.4526315789476</v>
      </c>
      <c r="Y548" s="972"/>
      <c r="Z548" s="974"/>
      <c r="AA548" s="315"/>
    </row>
    <row r="549" spans="1:27" ht="23.45" customHeight="1">
      <c r="A549" s="18" t="s">
        <v>45</v>
      </c>
      <c r="B549" s="546" t="s">
        <v>10</v>
      </c>
      <c r="C549" s="50">
        <v>176</v>
      </c>
      <c r="D549" s="335" t="s">
        <v>494</v>
      </c>
      <c r="E549" s="335" t="s">
        <v>495</v>
      </c>
      <c r="F549" s="50">
        <v>6100470760</v>
      </c>
      <c r="G549" s="307" t="s">
        <v>460</v>
      </c>
      <c r="H549" s="19">
        <f>30194.7</f>
        <v>30194.7</v>
      </c>
      <c r="I549" s="20">
        <v>4034.8229999999999</v>
      </c>
      <c r="J549" s="19">
        <f>5388.581-0.003</f>
        <v>5388.5780000000004</v>
      </c>
      <c r="K549" s="19">
        <v>16782.23</v>
      </c>
      <c r="L549" s="19">
        <f t="shared" si="107"/>
        <v>3989.0689999999995</v>
      </c>
      <c r="M549" s="75">
        <f>68408.3+2500</f>
        <v>70908.3</v>
      </c>
      <c r="N549" s="75">
        <v>8302.17</v>
      </c>
      <c r="O549" s="75">
        <v>5000</v>
      </c>
      <c r="P549" s="75">
        <f t="shared" si="105"/>
        <v>-13302.17</v>
      </c>
      <c r="Q549" s="75">
        <f t="shared" si="108"/>
        <v>70908.3</v>
      </c>
      <c r="R549" s="94">
        <v>21865.7</v>
      </c>
      <c r="S549" s="94">
        <v>1872.82</v>
      </c>
      <c r="T549" s="94">
        <v>3745.64</v>
      </c>
      <c r="U549" s="94">
        <v>5618.46</v>
      </c>
      <c r="V549" s="94">
        <f>R549-S549-T549-U549</f>
        <v>10628.780000000002</v>
      </c>
      <c r="W549" s="41">
        <v>21795.9</v>
      </c>
      <c r="X549" s="41">
        <v>19514.3</v>
      </c>
      <c r="Y549" s="972"/>
      <c r="Z549" s="974"/>
      <c r="AA549" s="315"/>
    </row>
    <row r="550" spans="1:27" ht="23.45" customHeight="1">
      <c r="A550" s="18"/>
      <c r="B550" s="546" t="s">
        <v>476</v>
      </c>
      <c r="C550" s="328"/>
      <c r="D550" s="335"/>
      <c r="E550" s="335"/>
      <c r="F550" s="328"/>
      <c r="G550" s="328"/>
      <c r="H550" s="19"/>
      <c r="I550" s="20"/>
      <c r="J550" s="19"/>
      <c r="K550" s="19"/>
      <c r="L550" s="19"/>
      <c r="M550" s="75"/>
      <c r="N550" s="75"/>
      <c r="O550" s="75"/>
      <c r="P550" s="75"/>
      <c r="Q550" s="75"/>
      <c r="R550" s="94">
        <f>R549/0.95*0.05</f>
        <v>1150.8263157894739</v>
      </c>
      <c r="S550" s="94">
        <f t="shared" ref="S550:X550" si="111">S549/0.95*0.05</f>
        <v>98.569473684210536</v>
      </c>
      <c r="T550" s="94">
        <f t="shared" si="111"/>
        <v>197.13894736842107</v>
      </c>
      <c r="U550" s="94">
        <f t="shared" si="111"/>
        <v>295.70842105263159</v>
      </c>
      <c r="V550" s="94">
        <f t="shared" si="111"/>
        <v>559.40947368421064</v>
      </c>
      <c r="W550" s="311">
        <f t="shared" si="111"/>
        <v>1147.1526315789476</v>
      </c>
      <c r="X550" s="94">
        <f t="shared" si="111"/>
        <v>1027.0684210526317</v>
      </c>
      <c r="Y550" s="972"/>
      <c r="Z550" s="974"/>
      <c r="AA550" s="315"/>
    </row>
    <row r="551" spans="1:27" ht="16.899999999999999" customHeight="1">
      <c r="A551" s="992" t="s">
        <v>46</v>
      </c>
      <c r="B551" s="546" t="s">
        <v>10</v>
      </c>
      <c r="C551" s="50">
        <v>176</v>
      </c>
      <c r="D551" s="335" t="s">
        <v>494</v>
      </c>
      <c r="E551" s="335" t="s">
        <v>495</v>
      </c>
      <c r="F551" s="50">
        <v>6100470760</v>
      </c>
      <c r="G551" s="307" t="s">
        <v>460</v>
      </c>
      <c r="H551" s="19">
        <v>28039.8</v>
      </c>
      <c r="I551" s="20">
        <v>0</v>
      </c>
      <c r="J551" s="19">
        <f>949.384-0.004</f>
        <v>949.38</v>
      </c>
      <c r="K551" s="19">
        <v>13872.55</v>
      </c>
      <c r="L551" s="19">
        <f t="shared" si="107"/>
        <v>13217.869999999999</v>
      </c>
      <c r="M551" s="75">
        <v>34306.6</v>
      </c>
      <c r="N551" s="75"/>
      <c r="O551" s="75"/>
      <c r="P551" s="75">
        <f t="shared" si="105"/>
        <v>0</v>
      </c>
      <c r="Q551" s="75">
        <f t="shared" si="108"/>
        <v>34306.6</v>
      </c>
      <c r="R551" s="94">
        <v>30310.799999999999</v>
      </c>
      <c r="S551" s="94">
        <v>2306.2999999999997</v>
      </c>
      <c r="T551" s="94">
        <v>4612.5999999999995</v>
      </c>
      <c r="U551" s="94">
        <v>6918.8999999999987</v>
      </c>
      <c r="V551" s="94">
        <f>R551-S551-T551-U551</f>
        <v>16473.000000000004</v>
      </c>
      <c r="W551" s="41">
        <v>30167.599999999999</v>
      </c>
      <c r="X551" s="41">
        <v>25324.3</v>
      </c>
      <c r="Y551" s="972"/>
      <c r="Z551" s="974"/>
      <c r="AA551" s="315"/>
    </row>
    <row r="552" spans="1:27" ht="24.6" customHeight="1">
      <c r="A552" s="993"/>
      <c r="B552" s="546" t="s">
        <v>476</v>
      </c>
      <c r="C552" s="328"/>
      <c r="D552" s="335"/>
      <c r="E552" s="335"/>
      <c r="F552" s="328"/>
      <c r="G552" s="328"/>
      <c r="H552" s="19"/>
      <c r="I552" s="20"/>
      <c r="J552" s="19"/>
      <c r="K552" s="19"/>
      <c r="L552" s="19"/>
      <c r="M552" s="75"/>
      <c r="N552" s="75"/>
      <c r="O552" s="75"/>
      <c r="P552" s="75"/>
      <c r="Q552" s="75"/>
      <c r="R552" s="94">
        <f>R551/0.95*0.05</f>
        <v>1595.3052631578948</v>
      </c>
      <c r="S552" s="94">
        <f t="shared" ref="S552:X552" si="112">S551/0.95*0.05</f>
        <v>121.3842105263158</v>
      </c>
      <c r="T552" s="94">
        <f t="shared" si="112"/>
        <v>242.7684210526316</v>
      </c>
      <c r="U552" s="94">
        <f t="shared" si="112"/>
        <v>364.15263157894736</v>
      </c>
      <c r="V552" s="94">
        <f t="shared" si="112"/>
        <v>867.00000000000023</v>
      </c>
      <c r="W552" s="311">
        <f t="shared" si="112"/>
        <v>1587.7684210526315</v>
      </c>
      <c r="X552" s="94">
        <f t="shared" si="112"/>
        <v>1332.8578947368424</v>
      </c>
      <c r="Y552" s="972"/>
      <c r="Z552" s="974"/>
      <c r="AA552" s="315"/>
    </row>
    <row r="553" spans="1:27" ht="22.15" customHeight="1">
      <c r="A553" s="992" t="s">
        <v>47</v>
      </c>
      <c r="B553" s="546" t="s">
        <v>10</v>
      </c>
      <c r="C553" s="50">
        <v>176</v>
      </c>
      <c r="D553" s="335" t="s">
        <v>494</v>
      </c>
      <c r="E553" s="335" t="s">
        <v>495</v>
      </c>
      <c r="F553" s="50">
        <v>6100470760</v>
      </c>
      <c r="G553" s="307" t="s">
        <v>460</v>
      </c>
      <c r="H553" s="19">
        <v>20913.7</v>
      </c>
      <c r="I553" s="20">
        <v>59.9</v>
      </c>
      <c r="J553" s="19">
        <v>8559.0319999999992</v>
      </c>
      <c r="K553" s="19">
        <v>8112.0680000000002</v>
      </c>
      <c r="L553" s="19">
        <f t="shared" si="107"/>
        <v>4182.7</v>
      </c>
      <c r="M553" s="75">
        <v>27115.100000000002</v>
      </c>
      <c r="N553" s="75">
        <v>328.27</v>
      </c>
      <c r="O553" s="75">
        <v>3181.33</v>
      </c>
      <c r="P553" s="75">
        <f t="shared" si="105"/>
        <v>-3509.6</v>
      </c>
      <c r="Q553" s="75">
        <f t="shared" si="108"/>
        <v>27115.1</v>
      </c>
      <c r="R553" s="94">
        <v>22527.4</v>
      </c>
      <c r="S553" s="94">
        <v>1750.7100000000003</v>
      </c>
      <c r="T553" s="94">
        <v>3501.4200000000005</v>
      </c>
      <c r="U553" s="94">
        <v>5252.130000000001</v>
      </c>
      <c r="V553" s="94">
        <f>R553-S553-T553-U553</f>
        <v>12023.14</v>
      </c>
      <c r="W553" s="41">
        <v>22455.9</v>
      </c>
      <c r="X553" s="41">
        <v>19797</v>
      </c>
      <c r="Y553" s="972"/>
      <c r="Z553" s="974"/>
      <c r="AA553" s="315"/>
    </row>
    <row r="554" spans="1:27" ht="23.45" customHeight="1">
      <c r="A554" s="993"/>
      <c r="B554" s="546" t="s">
        <v>476</v>
      </c>
      <c r="C554" s="328"/>
      <c r="D554" s="335"/>
      <c r="E554" s="335"/>
      <c r="F554" s="328"/>
      <c r="G554" s="328"/>
      <c r="H554" s="19"/>
      <c r="I554" s="20"/>
      <c r="J554" s="19"/>
      <c r="K554" s="19"/>
      <c r="L554" s="19"/>
      <c r="M554" s="75"/>
      <c r="N554" s="75"/>
      <c r="O554" s="75"/>
      <c r="P554" s="75"/>
      <c r="Q554" s="75"/>
      <c r="R554" s="94">
        <f>R553/0.95*0.05</f>
        <v>1185.6526315789476</v>
      </c>
      <c r="S554" s="94">
        <f t="shared" ref="S554:X554" si="113">S553/0.95*0.05</f>
        <v>92.142631578947388</v>
      </c>
      <c r="T554" s="94">
        <f t="shared" si="113"/>
        <v>184.28526315789478</v>
      </c>
      <c r="U554" s="94">
        <f t="shared" si="113"/>
        <v>276.42789473684218</v>
      </c>
      <c r="V554" s="94">
        <f t="shared" si="113"/>
        <v>632.79684210526318</v>
      </c>
      <c r="W554" s="311">
        <f t="shared" si="113"/>
        <v>1181.8894736842108</v>
      </c>
      <c r="X554" s="94">
        <f t="shared" si="113"/>
        <v>1041.9473684210527</v>
      </c>
      <c r="Y554" s="972"/>
      <c r="Z554" s="974"/>
      <c r="AA554" s="315"/>
    </row>
    <row r="555" spans="1:27" ht="21.6" customHeight="1">
      <c r="A555" s="992" t="s">
        <v>48</v>
      </c>
      <c r="B555" s="546" t="s">
        <v>10</v>
      </c>
      <c r="C555" s="50">
        <v>176</v>
      </c>
      <c r="D555" s="335" t="s">
        <v>494</v>
      </c>
      <c r="E555" s="335" t="s">
        <v>495</v>
      </c>
      <c r="F555" s="50">
        <v>6100470760</v>
      </c>
      <c r="G555" s="307" t="s">
        <v>460</v>
      </c>
      <c r="H555" s="19">
        <v>32946.400000000001</v>
      </c>
      <c r="I555" s="20">
        <v>0</v>
      </c>
      <c r="J555" s="19">
        <v>0</v>
      </c>
      <c r="K555" s="19">
        <v>26000</v>
      </c>
      <c r="L555" s="19">
        <f t="shared" si="107"/>
        <v>6946.4000000000015</v>
      </c>
      <c r="M555" s="75">
        <v>39258.699999999997</v>
      </c>
      <c r="N555" s="75"/>
      <c r="O555" s="75"/>
      <c r="P555" s="75">
        <f t="shared" si="105"/>
        <v>0</v>
      </c>
      <c r="Q555" s="75">
        <f t="shared" si="108"/>
        <v>39258.699999999997</v>
      </c>
      <c r="R555" s="94">
        <v>106328.2</v>
      </c>
      <c r="S555" s="94">
        <v>4517.83</v>
      </c>
      <c r="T555" s="94">
        <v>9035.66</v>
      </c>
      <c r="U555" s="94">
        <v>13553.49</v>
      </c>
      <c r="V555" s="94">
        <f>R555-S555-T555-U555</f>
        <v>79221.219999999987</v>
      </c>
      <c r="W555" s="41">
        <v>41445.199999999997</v>
      </c>
      <c r="X555" s="41">
        <v>26318.1</v>
      </c>
      <c r="Y555" s="972"/>
      <c r="Z555" s="974"/>
      <c r="AA555" s="315"/>
    </row>
    <row r="556" spans="1:27" ht="22.15" customHeight="1">
      <c r="A556" s="993"/>
      <c r="B556" s="546" t="s">
        <v>476</v>
      </c>
      <c r="C556" s="328"/>
      <c r="D556" s="335"/>
      <c r="E556" s="335"/>
      <c r="F556" s="328"/>
      <c r="G556" s="328"/>
      <c r="H556" s="19"/>
      <c r="I556" s="20"/>
      <c r="J556" s="19"/>
      <c r="K556" s="19"/>
      <c r="L556" s="19"/>
      <c r="M556" s="75"/>
      <c r="N556" s="75"/>
      <c r="O556" s="75"/>
      <c r="P556" s="75"/>
      <c r="Q556" s="75"/>
      <c r="R556" s="94">
        <f>R555/0.95*0.05</f>
        <v>5596.2210526315794</v>
      </c>
      <c r="S556" s="94">
        <f t="shared" ref="S556:X556" si="114">S555/0.95*0.05</f>
        <v>237.7805263157895</v>
      </c>
      <c r="T556" s="94">
        <f t="shared" si="114"/>
        <v>475.561052631579</v>
      </c>
      <c r="U556" s="94">
        <f t="shared" si="114"/>
        <v>713.34157894736848</v>
      </c>
      <c r="V556" s="94">
        <f t="shared" si="114"/>
        <v>4169.5378947368417</v>
      </c>
      <c r="W556" s="311">
        <f t="shared" si="114"/>
        <v>2181.3263157894739</v>
      </c>
      <c r="X556" s="94">
        <f t="shared" si="114"/>
        <v>1385.163157894737</v>
      </c>
      <c r="Y556" s="972"/>
      <c r="Z556" s="974"/>
      <c r="AA556" s="315"/>
    </row>
    <row r="557" spans="1:27" ht="19.899999999999999" customHeight="1">
      <c r="A557" s="992" t="s">
        <v>49</v>
      </c>
      <c r="B557" s="546" t="s">
        <v>10</v>
      </c>
      <c r="C557" s="50">
        <v>176</v>
      </c>
      <c r="D557" s="335" t="s">
        <v>494</v>
      </c>
      <c r="E557" s="335" t="s">
        <v>495</v>
      </c>
      <c r="F557" s="50">
        <v>6100470760</v>
      </c>
      <c r="G557" s="307" t="s">
        <v>460</v>
      </c>
      <c r="H557" s="19">
        <f>21639.8</f>
        <v>21639.8</v>
      </c>
      <c r="I557" s="20">
        <v>21639.8</v>
      </c>
      <c r="J557" s="19">
        <v>0</v>
      </c>
      <c r="K557" s="19">
        <v>0</v>
      </c>
      <c r="L557" s="19">
        <f t="shared" si="107"/>
        <v>0</v>
      </c>
      <c r="M557" s="75">
        <f>28963+2000</f>
        <v>30963</v>
      </c>
      <c r="N557" s="75">
        <v>2230.1999999999998</v>
      </c>
      <c r="O557" s="75"/>
      <c r="P557" s="75">
        <f t="shared" si="105"/>
        <v>-2230.1999999999998</v>
      </c>
      <c r="Q557" s="75">
        <f t="shared" si="108"/>
        <v>30963</v>
      </c>
      <c r="R557" s="94">
        <v>40148.1</v>
      </c>
      <c r="S557" s="94">
        <v>2729.56</v>
      </c>
      <c r="T557" s="94">
        <v>5459.12</v>
      </c>
      <c r="U557" s="94">
        <v>8188.6800000000012</v>
      </c>
      <c r="V557" s="94">
        <f>R557-S557-T557-U557</f>
        <v>23770.74</v>
      </c>
      <c r="W557" s="41">
        <v>34884.199999999997</v>
      </c>
      <c r="X557" s="41">
        <v>27036.5</v>
      </c>
      <c r="Y557" s="972"/>
      <c r="Z557" s="974"/>
      <c r="AA557" s="315"/>
    </row>
    <row r="558" spans="1:27" ht="21.6" customHeight="1">
      <c r="A558" s="993"/>
      <c r="B558" s="546" t="s">
        <v>476</v>
      </c>
      <c r="C558" s="328"/>
      <c r="D558" s="335"/>
      <c r="E558" s="335"/>
      <c r="F558" s="328"/>
      <c r="G558" s="328"/>
      <c r="H558" s="19"/>
      <c r="I558" s="20"/>
      <c r="J558" s="19"/>
      <c r="K558" s="19"/>
      <c r="L558" s="19"/>
      <c r="M558" s="75"/>
      <c r="N558" s="75"/>
      <c r="O558" s="75"/>
      <c r="P558" s="75"/>
      <c r="Q558" s="75"/>
      <c r="R558" s="94">
        <f>R557/0.95*0.05</f>
        <v>2113.0578947368422</v>
      </c>
      <c r="S558" s="94">
        <f t="shared" ref="S558:X558" si="115">S557/0.95*0.05</f>
        <v>143.66105263157894</v>
      </c>
      <c r="T558" s="94">
        <f t="shared" si="115"/>
        <v>287.32210526315788</v>
      </c>
      <c r="U558" s="94">
        <f t="shared" si="115"/>
        <v>430.98315789473691</v>
      </c>
      <c r="V558" s="94">
        <f t="shared" si="115"/>
        <v>1251.0915789473686</v>
      </c>
      <c r="W558" s="311">
        <f t="shared" si="115"/>
        <v>1836.0105263157893</v>
      </c>
      <c r="X558" s="94">
        <f t="shared" si="115"/>
        <v>1422.9736842105265</v>
      </c>
      <c r="Y558" s="972"/>
      <c r="Z558" s="974"/>
      <c r="AA558" s="315"/>
    </row>
    <row r="559" spans="1:27" ht="21.6" customHeight="1">
      <c r="A559" s="992" t="s">
        <v>50</v>
      </c>
      <c r="B559" s="546" t="s">
        <v>10</v>
      </c>
      <c r="C559" s="50">
        <v>176</v>
      </c>
      <c r="D559" s="335" t="s">
        <v>494</v>
      </c>
      <c r="E559" s="335" t="s">
        <v>495</v>
      </c>
      <c r="F559" s="50">
        <v>6100470760</v>
      </c>
      <c r="G559" s="307" t="s">
        <v>460</v>
      </c>
      <c r="H559" s="19">
        <v>22060.3</v>
      </c>
      <c r="I559" s="20">
        <v>47.16</v>
      </c>
      <c r="J559" s="19">
        <v>2430.5</v>
      </c>
      <c r="K559" s="19">
        <v>14476.28</v>
      </c>
      <c r="L559" s="19">
        <f t="shared" si="107"/>
        <v>5106.3599999999988</v>
      </c>
      <c r="M559" s="75">
        <v>28181</v>
      </c>
      <c r="N559" s="75">
        <v>156.4</v>
      </c>
      <c r="O559" s="75">
        <v>11116</v>
      </c>
      <c r="P559" s="75">
        <f t="shared" si="105"/>
        <v>-11272.4</v>
      </c>
      <c r="Q559" s="75">
        <f t="shared" si="108"/>
        <v>28181</v>
      </c>
      <c r="R559" s="94">
        <v>22128.400000000001</v>
      </c>
      <c r="S559" s="94">
        <v>1785.87</v>
      </c>
      <c r="T559" s="94">
        <v>3571.74</v>
      </c>
      <c r="U559" s="94">
        <v>5357.61</v>
      </c>
      <c r="V559" s="94">
        <f>R559-S559-T559-U559</f>
        <v>11413.18</v>
      </c>
      <c r="W559" s="41">
        <v>22024.7</v>
      </c>
      <c r="X559" s="41">
        <v>19020.8</v>
      </c>
      <c r="Y559" s="972"/>
      <c r="Z559" s="974"/>
      <c r="AA559" s="315"/>
    </row>
    <row r="560" spans="1:27" ht="19.149999999999999" customHeight="1">
      <c r="A560" s="993"/>
      <c r="B560" s="546" t="s">
        <v>476</v>
      </c>
      <c r="C560" s="328"/>
      <c r="D560" s="335"/>
      <c r="E560" s="335"/>
      <c r="F560" s="328"/>
      <c r="G560" s="328"/>
      <c r="H560" s="19"/>
      <c r="I560" s="20"/>
      <c r="J560" s="19"/>
      <c r="K560" s="19"/>
      <c r="L560" s="19"/>
      <c r="M560" s="75"/>
      <c r="N560" s="75"/>
      <c r="O560" s="75"/>
      <c r="P560" s="75"/>
      <c r="Q560" s="75"/>
      <c r="R560" s="94">
        <f>R559/0.95*0.05</f>
        <v>1164.6526315789476</v>
      </c>
      <c r="S560" s="94">
        <f t="shared" ref="S560:X560" si="116">S559/0.95*0.05</f>
        <v>93.993157894736839</v>
      </c>
      <c r="T560" s="94">
        <f t="shared" si="116"/>
        <v>187.98631578947368</v>
      </c>
      <c r="U560" s="94">
        <f t="shared" si="116"/>
        <v>281.97947368421052</v>
      </c>
      <c r="V560" s="94">
        <f t="shared" si="116"/>
        <v>600.69368421052638</v>
      </c>
      <c r="W560" s="311">
        <f t="shared" si="116"/>
        <v>1159.1947368421054</v>
      </c>
      <c r="X560" s="94">
        <f t="shared" si="116"/>
        <v>1001.0947368421054</v>
      </c>
      <c r="Y560" s="972"/>
      <c r="Z560" s="974"/>
      <c r="AA560" s="315"/>
    </row>
    <row r="561" spans="1:27" ht="18.600000000000001" customHeight="1">
      <c r="A561" s="992" t="s">
        <v>51</v>
      </c>
      <c r="B561" s="546" t="s">
        <v>10</v>
      </c>
      <c r="C561" s="50">
        <v>176</v>
      </c>
      <c r="D561" s="335" t="s">
        <v>494</v>
      </c>
      <c r="E561" s="335" t="s">
        <v>495</v>
      </c>
      <c r="F561" s="50">
        <v>6100470760</v>
      </c>
      <c r="G561" s="307" t="s">
        <v>464</v>
      </c>
      <c r="H561" s="19">
        <f>24859.7</f>
        <v>24859.7</v>
      </c>
      <c r="I561" s="20">
        <v>0</v>
      </c>
      <c r="J561" s="19">
        <v>18165.41</v>
      </c>
      <c r="K561" s="19">
        <v>1722.39</v>
      </c>
      <c r="L561" s="19">
        <f t="shared" si="107"/>
        <v>4971.9000000000005</v>
      </c>
      <c r="M561" s="75">
        <f>35597.3+2500</f>
        <v>38097.300000000003</v>
      </c>
      <c r="N561" s="75">
        <v>12279.986000000001</v>
      </c>
      <c r="O561" s="75">
        <v>464.46300000000002</v>
      </c>
      <c r="P561" s="75">
        <f t="shared" si="105"/>
        <v>-12744.449000000001</v>
      </c>
      <c r="Q561" s="75">
        <f t="shared" si="108"/>
        <v>38097.300000000003</v>
      </c>
      <c r="R561" s="94">
        <v>73405.600000000006</v>
      </c>
      <c r="S561" s="94">
        <v>3212.27</v>
      </c>
      <c r="T561" s="94">
        <v>6424.54</v>
      </c>
      <c r="U561" s="94">
        <v>9636.81</v>
      </c>
      <c r="V561" s="94">
        <f>R561-S561-T561-U561</f>
        <v>54131.98</v>
      </c>
      <c r="W561" s="41">
        <v>42987</v>
      </c>
      <c r="X561" s="41">
        <v>28113.9</v>
      </c>
      <c r="Y561" s="972"/>
      <c r="Z561" s="974"/>
      <c r="AA561" s="315"/>
    </row>
    <row r="562" spans="1:27" ht="22.15" customHeight="1">
      <c r="A562" s="993"/>
      <c r="B562" s="546" t="s">
        <v>476</v>
      </c>
      <c r="C562" s="328"/>
      <c r="D562" s="335"/>
      <c r="E562" s="335"/>
      <c r="F562" s="328"/>
      <c r="G562" s="328"/>
      <c r="H562" s="19"/>
      <c r="I562" s="20"/>
      <c r="J562" s="19"/>
      <c r="K562" s="19"/>
      <c r="L562" s="19"/>
      <c r="M562" s="75"/>
      <c r="N562" s="75"/>
      <c r="O562" s="75"/>
      <c r="P562" s="75"/>
      <c r="Q562" s="75"/>
      <c r="R562" s="94">
        <f>R561/0.95*0.05</f>
        <v>3863.4526315789481</v>
      </c>
      <c r="S562" s="94">
        <f t="shared" ref="S562:X562" si="117">S561/0.95*0.05</f>
        <v>169.06684210526316</v>
      </c>
      <c r="T562" s="94">
        <f t="shared" si="117"/>
        <v>338.13368421052633</v>
      </c>
      <c r="U562" s="94">
        <f t="shared" si="117"/>
        <v>507.20052631578949</v>
      </c>
      <c r="V562" s="94">
        <f t="shared" si="117"/>
        <v>2849.0515789473689</v>
      </c>
      <c r="W562" s="311">
        <f t="shared" si="117"/>
        <v>2262.4736842105262</v>
      </c>
      <c r="X562" s="94">
        <f t="shared" si="117"/>
        <v>1479.6789473684212</v>
      </c>
      <c r="Y562" s="972"/>
      <c r="Z562" s="974"/>
      <c r="AA562" s="315"/>
    </row>
    <row r="563" spans="1:27" ht="22.15" customHeight="1">
      <c r="A563" s="992" t="s">
        <v>52</v>
      </c>
      <c r="B563" s="546" t="s">
        <v>10</v>
      </c>
      <c r="C563" s="126">
        <v>176</v>
      </c>
      <c r="D563" s="335" t="s">
        <v>494</v>
      </c>
      <c r="E563" s="335" t="s">
        <v>495</v>
      </c>
      <c r="F563" s="126">
        <v>6100470760</v>
      </c>
      <c r="G563" s="307" t="s">
        <v>460</v>
      </c>
      <c r="H563" s="19"/>
      <c r="I563" s="20"/>
      <c r="J563" s="19"/>
      <c r="K563" s="19"/>
      <c r="L563" s="19"/>
      <c r="M563" s="75"/>
      <c r="N563" s="75"/>
      <c r="O563" s="75"/>
      <c r="P563" s="75"/>
      <c r="Q563" s="75"/>
      <c r="R563" s="94">
        <v>47092.3</v>
      </c>
      <c r="S563" s="94">
        <v>3352.92</v>
      </c>
      <c r="T563" s="94">
        <v>6705.84</v>
      </c>
      <c r="U563" s="94">
        <v>10058.759999999998</v>
      </c>
      <c r="V563" s="94">
        <f>R563-S563-T563-U563</f>
        <v>26974.78000000001</v>
      </c>
      <c r="W563" s="41">
        <v>43653.7</v>
      </c>
      <c r="X563" s="41">
        <v>29812.6</v>
      </c>
      <c r="Y563" s="972"/>
      <c r="Z563" s="974"/>
      <c r="AA563" s="315"/>
    </row>
    <row r="564" spans="1:27" ht="21" customHeight="1">
      <c r="A564" s="993"/>
      <c r="B564" s="546" t="s">
        <v>476</v>
      </c>
      <c r="C564" s="328"/>
      <c r="D564" s="335"/>
      <c r="E564" s="335"/>
      <c r="F564" s="328"/>
      <c r="G564" s="328"/>
      <c r="H564" s="19"/>
      <c r="I564" s="20"/>
      <c r="J564" s="19"/>
      <c r="K564" s="19"/>
      <c r="L564" s="19"/>
      <c r="M564" s="75"/>
      <c r="N564" s="75"/>
      <c r="O564" s="75"/>
      <c r="P564" s="75"/>
      <c r="Q564" s="75"/>
      <c r="R564" s="94">
        <f>R563/0.95*0.05</f>
        <v>2478.5421052631582</v>
      </c>
      <c r="S564" s="94">
        <f t="shared" ref="S564:X564" si="118">S563/0.95*0.05</f>
        <v>176.46947368421056</v>
      </c>
      <c r="T564" s="94">
        <f t="shared" si="118"/>
        <v>352.93894736842111</v>
      </c>
      <c r="U564" s="94">
        <f t="shared" si="118"/>
        <v>529.40842105263152</v>
      </c>
      <c r="V564" s="94">
        <f t="shared" si="118"/>
        <v>1419.7252631578954</v>
      </c>
      <c r="W564" s="311">
        <f t="shared" si="118"/>
        <v>2297.5631578947368</v>
      </c>
      <c r="X564" s="94">
        <f t="shared" si="118"/>
        <v>1569.0842105263159</v>
      </c>
      <c r="Y564" s="972"/>
      <c r="Z564" s="974"/>
      <c r="AA564" s="315"/>
    </row>
    <row r="565" spans="1:27" ht="18" customHeight="1">
      <c r="A565" s="992" t="s">
        <v>53</v>
      </c>
      <c r="B565" s="546" t="s">
        <v>10</v>
      </c>
      <c r="C565" s="50">
        <v>176</v>
      </c>
      <c r="D565" s="335" t="s">
        <v>494</v>
      </c>
      <c r="E565" s="335" t="s">
        <v>495</v>
      </c>
      <c r="F565" s="50">
        <v>6100470760</v>
      </c>
      <c r="G565" s="307" t="s">
        <v>464</v>
      </c>
      <c r="H565" s="19">
        <f>30287.4</f>
        <v>30287.4</v>
      </c>
      <c r="I565" s="20">
        <v>15039.482</v>
      </c>
      <c r="J565" s="19">
        <v>4831.6940000000004</v>
      </c>
      <c r="K565" s="19">
        <v>7844.8710000000001</v>
      </c>
      <c r="L565" s="19">
        <f t="shared" si="107"/>
        <v>2571.3530000000019</v>
      </c>
      <c r="M565" s="75">
        <f>22044.5+3852.8</f>
        <v>25897.3</v>
      </c>
      <c r="N565" s="75">
        <v>9294.5849999999991</v>
      </c>
      <c r="O565" s="75">
        <v>87.68</v>
      </c>
      <c r="P565" s="75">
        <f t="shared" ref="P565:P583" si="119">AA565-O565-N565</f>
        <v>-9382.2649999999994</v>
      </c>
      <c r="Q565" s="75">
        <f t="shared" si="108"/>
        <v>25897.3</v>
      </c>
      <c r="R565" s="94">
        <v>71798.8</v>
      </c>
      <c r="S565" s="94">
        <v>1777.86</v>
      </c>
      <c r="T565" s="94">
        <v>3555.72</v>
      </c>
      <c r="U565" s="94">
        <v>5333.58</v>
      </c>
      <c r="V565" s="94">
        <f>R565-S565-T565-U565</f>
        <v>61131.64</v>
      </c>
      <c r="W565" s="41">
        <v>71707.100000000006</v>
      </c>
      <c r="X565" s="41">
        <v>19511.2</v>
      </c>
      <c r="Y565" s="972"/>
      <c r="Z565" s="974"/>
      <c r="AA565" s="315"/>
    </row>
    <row r="566" spans="1:27" ht="18" customHeight="1">
      <c r="A566" s="993"/>
      <c r="B566" s="546" t="s">
        <v>476</v>
      </c>
      <c r="C566" s="328"/>
      <c r="D566" s="335"/>
      <c r="E566" s="335"/>
      <c r="F566" s="328"/>
      <c r="G566" s="328"/>
      <c r="H566" s="19"/>
      <c r="I566" s="20"/>
      <c r="J566" s="19"/>
      <c r="K566" s="19"/>
      <c r="L566" s="19"/>
      <c r="M566" s="75"/>
      <c r="N566" s="75"/>
      <c r="O566" s="75"/>
      <c r="P566" s="75"/>
      <c r="Q566" s="75"/>
      <c r="R566" s="94">
        <f>R565/0.95*0.05</f>
        <v>3778.8842105263161</v>
      </c>
      <c r="S566" s="94">
        <f t="shared" ref="S566:X566" si="120">S565/0.95*0.05</f>
        <v>93.571578947368437</v>
      </c>
      <c r="T566" s="94">
        <f t="shared" si="120"/>
        <v>187.14315789473687</v>
      </c>
      <c r="U566" s="94">
        <f t="shared" si="120"/>
        <v>280.71473684210531</v>
      </c>
      <c r="V566" s="94">
        <f t="shared" si="120"/>
        <v>3217.4547368421058</v>
      </c>
      <c r="W566" s="311">
        <f t="shared" si="120"/>
        <v>3774.0578947368431</v>
      </c>
      <c r="X566" s="94">
        <f t="shared" si="120"/>
        <v>1026.905263157895</v>
      </c>
      <c r="Y566" s="972"/>
      <c r="Z566" s="974"/>
      <c r="AA566" s="315"/>
    </row>
    <row r="567" spans="1:27" ht="18.600000000000001" customHeight="1">
      <c r="A567" s="992" t="s">
        <v>54</v>
      </c>
      <c r="B567" s="546" t="s">
        <v>10</v>
      </c>
      <c r="C567" s="50">
        <v>176</v>
      </c>
      <c r="D567" s="335" t="s">
        <v>494</v>
      </c>
      <c r="E567" s="335" t="s">
        <v>495</v>
      </c>
      <c r="F567" s="50">
        <v>6100470760</v>
      </c>
      <c r="G567" s="307" t="s">
        <v>460</v>
      </c>
      <c r="H567" s="19">
        <v>30565.3</v>
      </c>
      <c r="I567" s="20">
        <v>18649.994999999999</v>
      </c>
      <c r="J567" s="19">
        <v>6928.5</v>
      </c>
      <c r="K567" s="19">
        <v>4986.8050000000003</v>
      </c>
      <c r="L567" s="19">
        <f t="shared" si="107"/>
        <v>0</v>
      </c>
      <c r="M567" s="75">
        <v>35956.300000000003</v>
      </c>
      <c r="N567" s="75">
        <v>3700.34</v>
      </c>
      <c r="O567" s="75">
        <v>7191.3059999999996</v>
      </c>
      <c r="P567" s="75">
        <f t="shared" si="119"/>
        <v>-10891.646000000001</v>
      </c>
      <c r="Q567" s="75">
        <f t="shared" si="108"/>
        <v>35956.300000000003</v>
      </c>
      <c r="R567" s="94">
        <v>40732.5</v>
      </c>
      <c r="S567" s="94">
        <v>3243.59</v>
      </c>
      <c r="T567" s="94">
        <v>6487.18</v>
      </c>
      <c r="U567" s="94">
        <v>9730.7699999999986</v>
      </c>
      <c r="V567" s="94">
        <f>R567-S567-T567-U567</f>
        <v>21270.960000000006</v>
      </c>
      <c r="W567" s="41">
        <v>40552.199999999997</v>
      </c>
      <c r="X567" s="41">
        <v>33459.300000000003</v>
      </c>
      <c r="Y567" s="972"/>
      <c r="Z567" s="974"/>
      <c r="AA567" s="315"/>
    </row>
    <row r="568" spans="1:27" ht="18.600000000000001" customHeight="1">
      <c r="A568" s="993"/>
      <c r="B568" s="546" t="s">
        <v>476</v>
      </c>
      <c r="C568" s="328"/>
      <c r="D568" s="335"/>
      <c r="E568" s="335"/>
      <c r="F568" s="328"/>
      <c r="G568" s="328"/>
      <c r="H568" s="19"/>
      <c r="I568" s="20"/>
      <c r="J568" s="19"/>
      <c r="K568" s="19"/>
      <c r="L568" s="19"/>
      <c r="M568" s="75"/>
      <c r="N568" s="75"/>
      <c r="O568" s="75"/>
      <c r="P568" s="75"/>
      <c r="Q568" s="75"/>
      <c r="R568" s="94">
        <f>R567/0.95*0.05</f>
        <v>2143.8157894736846</v>
      </c>
      <c r="S568" s="94">
        <f t="shared" ref="S568:X568" si="121">S567/0.95*0.05</f>
        <v>170.71526315789475</v>
      </c>
      <c r="T568" s="94">
        <f t="shared" si="121"/>
        <v>341.43052631578951</v>
      </c>
      <c r="U568" s="94">
        <f t="shared" si="121"/>
        <v>512.1457894736842</v>
      </c>
      <c r="V568" s="94">
        <f t="shared" si="121"/>
        <v>1119.5242105263162</v>
      </c>
      <c r="W568" s="311">
        <f t="shared" si="121"/>
        <v>2134.3263157894739</v>
      </c>
      <c r="X568" s="94">
        <f t="shared" si="121"/>
        <v>1761.0157894736844</v>
      </c>
      <c r="Y568" s="972"/>
      <c r="Z568" s="974"/>
      <c r="AA568" s="315"/>
    </row>
    <row r="569" spans="1:27" ht="24" customHeight="1">
      <c r="A569" s="992" t="s">
        <v>55</v>
      </c>
      <c r="B569" s="546" t="s">
        <v>10</v>
      </c>
      <c r="C569" s="50">
        <v>176</v>
      </c>
      <c r="D569" s="335" t="s">
        <v>494</v>
      </c>
      <c r="E569" s="335" t="s">
        <v>495</v>
      </c>
      <c r="F569" s="50">
        <v>6100470760</v>
      </c>
      <c r="G569" s="307" t="s">
        <v>460</v>
      </c>
      <c r="H569" s="19">
        <v>30658.7</v>
      </c>
      <c r="I569" s="20">
        <v>12421.8</v>
      </c>
      <c r="J569" s="19">
        <v>3312.47</v>
      </c>
      <c r="K569" s="19">
        <v>13578.2</v>
      </c>
      <c r="L569" s="19">
        <f t="shared" si="107"/>
        <v>1346.2300000000014</v>
      </c>
      <c r="M569" s="75">
        <v>67041.600000000006</v>
      </c>
      <c r="N569" s="75">
        <v>27197.643</v>
      </c>
      <c r="O569" s="75">
        <v>1446.3</v>
      </c>
      <c r="P569" s="75">
        <f t="shared" si="119"/>
        <v>-28643.942999999999</v>
      </c>
      <c r="Q569" s="75">
        <f t="shared" si="108"/>
        <v>67041.600000000006</v>
      </c>
      <c r="R569" s="94">
        <v>32660</v>
      </c>
      <c r="S569" s="94">
        <v>3141.94</v>
      </c>
      <c r="T569" s="94">
        <v>6283.88</v>
      </c>
      <c r="U569" s="94">
        <v>9425.82</v>
      </c>
      <c r="V569" s="94">
        <f>R569-S569-T569-U569</f>
        <v>13808.36</v>
      </c>
      <c r="W569" s="41">
        <v>32342.3</v>
      </c>
      <c r="X569" s="41">
        <v>24647.4</v>
      </c>
      <c r="Y569" s="972"/>
      <c r="Z569" s="974"/>
      <c r="AA569" s="315"/>
    </row>
    <row r="570" spans="1:27" ht="24.6" customHeight="1">
      <c r="A570" s="993"/>
      <c r="B570" s="546" t="s">
        <v>476</v>
      </c>
      <c r="C570" s="328"/>
      <c r="D570" s="335"/>
      <c r="E570" s="335"/>
      <c r="F570" s="328"/>
      <c r="G570" s="328"/>
      <c r="H570" s="19"/>
      <c r="I570" s="20"/>
      <c r="J570" s="19"/>
      <c r="K570" s="19"/>
      <c r="L570" s="19"/>
      <c r="M570" s="75"/>
      <c r="N570" s="75"/>
      <c r="O570" s="75"/>
      <c r="P570" s="75"/>
      <c r="Q570" s="75"/>
      <c r="R570" s="94">
        <f>R569/0.95*0.05</f>
        <v>1718.9473684210527</v>
      </c>
      <c r="S570" s="94">
        <f t="shared" ref="S570:X570" si="122">S569/0.95*0.05</f>
        <v>165.36526315789476</v>
      </c>
      <c r="T570" s="94">
        <f t="shared" si="122"/>
        <v>330.73052631578952</v>
      </c>
      <c r="U570" s="94">
        <f t="shared" si="122"/>
        <v>496.09578947368419</v>
      </c>
      <c r="V570" s="94">
        <f t="shared" si="122"/>
        <v>726.75578947368433</v>
      </c>
      <c r="W570" s="311">
        <f t="shared" si="122"/>
        <v>1702.2263157894738</v>
      </c>
      <c r="X570" s="94">
        <f t="shared" si="122"/>
        <v>1297.2315789473687</v>
      </c>
      <c r="Y570" s="972"/>
      <c r="Z570" s="974"/>
      <c r="AA570" s="315"/>
    </row>
    <row r="571" spans="1:27" ht="22.15" customHeight="1">
      <c r="A571" s="992" t="s">
        <v>56</v>
      </c>
      <c r="B571" s="546" t="s">
        <v>10</v>
      </c>
      <c r="C571" s="50">
        <v>176</v>
      </c>
      <c r="D571" s="335" t="s">
        <v>494</v>
      </c>
      <c r="E571" s="335" t="s">
        <v>495</v>
      </c>
      <c r="F571" s="50">
        <v>6100470760</v>
      </c>
      <c r="G571" s="307" t="s">
        <v>464</v>
      </c>
      <c r="H571" s="19">
        <v>22749.599999999999</v>
      </c>
      <c r="I571" s="20">
        <v>8077.2969999999996</v>
      </c>
      <c r="J571" s="19">
        <f>2923.968-0.005</f>
        <v>2923.9629999999997</v>
      </c>
      <c r="K571" s="19">
        <v>11138.74</v>
      </c>
      <c r="L571" s="19">
        <f t="shared" si="107"/>
        <v>609.60000000000036</v>
      </c>
      <c r="M571" s="75">
        <v>28968.2</v>
      </c>
      <c r="N571" s="75">
        <v>612.80899999999997</v>
      </c>
      <c r="O571" s="75">
        <v>10974.48</v>
      </c>
      <c r="P571" s="75">
        <f t="shared" si="119"/>
        <v>-11587.288999999999</v>
      </c>
      <c r="Q571" s="75">
        <f t="shared" si="108"/>
        <v>28968.199999999997</v>
      </c>
      <c r="R571" s="94">
        <v>30023.8</v>
      </c>
      <c r="S571" s="94">
        <v>2544.14</v>
      </c>
      <c r="T571" s="94">
        <v>5088.28</v>
      </c>
      <c r="U571" s="94">
        <v>7632.4199999999992</v>
      </c>
      <c r="V571" s="94">
        <f>R571-S571-T571-U571</f>
        <v>14758.960000000003</v>
      </c>
      <c r="W571" s="41">
        <v>29858</v>
      </c>
      <c r="X571" s="41">
        <v>23218</v>
      </c>
      <c r="Y571" s="972"/>
      <c r="Z571" s="974"/>
      <c r="AA571" s="315"/>
    </row>
    <row r="572" spans="1:27" ht="19.899999999999999" customHeight="1">
      <c r="A572" s="993"/>
      <c r="B572" s="546" t="s">
        <v>476</v>
      </c>
      <c r="C572" s="328"/>
      <c r="D572" s="335"/>
      <c r="E572" s="335"/>
      <c r="F572" s="328"/>
      <c r="G572" s="328"/>
      <c r="H572" s="19"/>
      <c r="I572" s="20"/>
      <c r="J572" s="19"/>
      <c r="K572" s="19"/>
      <c r="L572" s="19"/>
      <c r="M572" s="75"/>
      <c r="N572" s="75"/>
      <c r="O572" s="75"/>
      <c r="P572" s="75"/>
      <c r="Q572" s="75"/>
      <c r="R572" s="94">
        <f>R571/0.95*0.05</f>
        <v>1580.2</v>
      </c>
      <c r="S572" s="94">
        <f t="shared" ref="S572:X572" si="123">S571/0.95*0.05</f>
        <v>133.90210526315789</v>
      </c>
      <c r="T572" s="94">
        <f t="shared" si="123"/>
        <v>267.80421052631579</v>
      </c>
      <c r="U572" s="94">
        <f t="shared" si="123"/>
        <v>401.70631578947365</v>
      </c>
      <c r="V572" s="94">
        <f t="shared" si="123"/>
        <v>776.78736842105286</v>
      </c>
      <c r="W572" s="311">
        <f t="shared" si="123"/>
        <v>1571.4736842105265</v>
      </c>
      <c r="X572" s="94">
        <f t="shared" si="123"/>
        <v>1222</v>
      </c>
      <c r="Y572" s="972"/>
      <c r="Z572" s="974"/>
      <c r="AA572" s="315"/>
    </row>
    <row r="573" spans="1:27" ht="19.149999999999999" customHeight="1">
      <c r="A573" s="992" t="s">
        <v>57</v>
      </c>
      <c r="B573" s="546" t="s">
        <v>10</v>
      </c>
      <c r="C573" s="50">
        <v>176</v>
      </c>
      <c r="D573" s="335" t="s">
        <v>494</v>
      </c>
      <c r="E573" s="335" t="s">
        <v>495</v>
      </c>
      <c r="F573" s="50">
        <v>6100470760</v>
      </c>
      <c r="G573" s="307" t="s">
        <v>460</v>
      </c>
      <c r="H573" s="19">
        <v>26906.6</v>
      </c>
      <c r="I573" s="20">
        <v>6479.3050000000003</v>
      </c>
      <c r="J573" s="19">
        <v>0</v>
      </c>
      <c r="K573" s="19">
        <f>17520.69+0.005</f>
        <v>17520.695</v>
      </c>
      <c r="L573" s="19">
        <f t="shared" si="107"/>
        <v>2906.5999999999985</v>
      </c>
      <c r="M573" s="75">
        <v>33163.300000000003</v>
      </c>
      <c r="N573" s="75">
        <v>3097.68</v>
      </c>
      <c r="O573" s="75"/>
      <c r="P573" s="75">
        <f t="shared" si="119"/>
        <v>-3097.68</v>
      </c>
      <c r="Q573" s="75">
        <f t="shared" si="108"/>
        <v>33163.300000000003</v>
      </c>
      <c r="R573" s="94">
        <v>25994.3</v>
      </c>
      <c r="S573" s="94">
        <v>1936.7600000000002</v>
      </c>
      <c r="T573" s="94">
        <v>3873.5200000000004</v>
      </c>
      <c r="U573" s="94">
        <v>5810.2800000000016</v>
      </c>
      <c r="V573" s="94">
        <f>R573-S573-T573-U573</f>
        <v>14373.739999999998</v>
      </c>
      <c r="W573" s="41">
        <v>25944.1</v>
      </c>
      <c r="X573" s="41">
        <v>22613.8</v>
      </c>
      <c r="Y573" s="972"/>
      <c r="Z573" s="974"/>
      <c r="AA573" s="315"/>
    </row>
    <row r="574" spans="1:27" ht="20.45" customHeight="1">
      <c r="A574" s="993"/>
      <c r="B574" s="546" t="s">
        <v>476</v>
      </c>
      <c r="C574" s="328"/>
      <c r="D574" s="335"/>
      <c r="E574" s="335"/>
      <c r="F574" s="328"/>
      <c r="G574" s="328"/>
      <c r="H574" s="19"/>
      <c r="I574" s="20"/>
      <c r="J574" s="19"/>
      <c r="K574" s="19"/>
      <c r="L574" s="19"/>
      <c r="M574" s="75"/>
      <c r="N574" s="75"/>
      <c r="O574" s="75"/>
      <c r="P574" s="75"/>
      <c r="Q574" s="75"/>
      <c r="R574" s="94">
        <f>R573/0.95*0.05</f>
        <v>1368.121052631579</v>
      </c>
      <c r="S574" s="94">
        <f t="shared" ref="S574:X574" si="124">S573/0.95*0.05</f>
        <v>101.93473684210528</v>
      </c>
      <c r="T574" s="94">
        <f t="shared" si="124"/>
        <v>203.86947368421056</v>
      </c>
      <c r="U574" s="94">
        <f t="shared" si="124"/>
        <v>305.8042105263159</v>
      </c>
      <c r="V574" s="94">
        <f t="shared" si="124"/>
        <v>756.51263157894732</v>
      </c>
      <c r="W574" s="311">
        <f t="shared" si="124"/>
        <v>1365.4789473684211</v>
      </c>
      <c r="X574" s="94">
        <f t="shared" si="124"/>
        <v>1190.2</v>
      </c>
      <c r="Y574" s="972"/>
      <c r="Z574" s="974"/>
      <c r="AA574" s="315"/>
    </row>
    <row r="575" spans="1:27" ht="16.899999999999999" customHeight="1">
      <c r="A575" s="992" t="s">
        <v>58</v>
      </c>
      <c r="B575" s="546" t="s">
        <v>10</v>
      </c>
      <c r="C575" s="50">
        <v>176</v>
      </c>
      <c r="D575" s="335" t="s">
        <v>494</v>
      </c>
      <c r="E575" s="335" t="s">
        <v>495</v>
      </c>
      <c r="F575" s="50">
        <v>6100470760</v>
      </c>
      <c r="G575" s="307" t="s">
        <v>460</v>
      </c>
      <c r="H575" s="19">
        <v>20913.7</v>
      </c>
      <c r="I575" s="20">
        <v>7079.7997999999998</v>
      </c>
      <c r="J575" s="19">
        <f>2766.404+0.00184</f>
        <v>2766.4058399999999</v>
      </c>
      <c r="K575" s="19">
        <f>7992.76-0.00164</f>
        <v>7992.7583599999998</v>
      </c>
      <c r="L575" s="19">
        <f t="shared" si="107"/>
        <v>3074.7360000000008</v>
      </c>
      <c r="M575" s="75">
        <v>32115.1</v>
      </c>
      <c r="N575" s="75"/>
      <c r="O575" s="75"/>
      <c r="P575" s="75">
        <f t="shared" si="119"/>
        <v>0</v>
      </c>
      <c r="Q575" s="75">
        <f t="shared" si="108"/>
        <v>32115.1</v>
      </c>
      <c r="R575" s="94">
        <v>48588.9</v>
      </c>
      <c r="S575" s="94">
        <f>2518.57</f>
        <v>2518.5700000000002</v>
      </c>
      <c r="T575" s="94">
        <v>5037.1400000000003</v>
      </c>
      <c r="U575" s="94">
        <v>7555.71</v>
      </c>
      <c r="V575" s="94">
        <f>R575-S575-T575-U575</f>
        <v>33477.480000000003</v>
      </c>
      <c r="W575" s="41">
        <v>28299.5</v>
      </c>
      <c r="X575" s="41">
        <v>22925.3</v>
      </c>
      <c r="Y575" s="972"/>
      <c r="Z575" s="974"/>
      <c r="AA575" s="315"/>
    </row>
    <row r="576" spans="1:27" ht="17.45" customHeight="1">
      <c r="A576" s="993"/>
      <c r="B576" s="546" t="s">
        <v>476</v>
      </c>
      <c r="C576" s="328"/>
      <c r="D576" s="335"/>
      <c r="E576" s="335"/>
      <c r="F576" s="328"/>
      <c r="G576" s="328"/>
      <c r="H576" s="19"/>
      <c r="I576" s="20"/>
      <c r="J576" s="19"/>
      <c r="K576" s="19"/>
      <c r="L576" s="19"/>
      <c r="M576" s="75"/>
      <c r="N576" s="75"/>
      <c r="O576" s="75"/>
      <c r="P576" s="75"/>
      <c r="Q576" s="75"/>
      <c r="R576" s="94">
        <f>R575/0.95*0.05</f>
        <v>2557.31052631579</v>
      </c>
      <c r="S576" s="94">
        <f t="shared" ref="S576:X576" si="125">S575/0.95*0.05</f>
        <v>132.5563157894737</v>
      </c>
      <c r="T576" s="94">
        <f t="shared" si="125"/>
        <v>265.1126315789474</v>
      </c>
      <c r="U576" s="94">
        <f t="shared" si="125"/>
        <v>397.66894736842113</v>
      </c>
      <c r="V576" s="94">
        <f t="shared" si="125"/>
        <v>1761.9726315789478</v>
      </c>
      <c r="W576" s="311">
        <f t="shared" si="125"/>
        <v>1489.4473684210527</v>
      </c>
      <c r="X576" s="94">
        <f t="shared" si="125"/>
        <v>1206.5947368421055</v>
      </c>
      <c r="Y576" s="972"/>
      <c r="Z576" s="974"/>
      <c r="AA576" s="315"/>
    </row>
    <row r="577" spans="1:27">
      <c r="A577" s="992" t="s">
        <v>59</v>
      </c>
      <c r="B577" s="546" t="s">
        <v>10</v>
      </c>
      <c r="C577" s="50">
        <v>176</v>
      </c>
      <c r="D577" s="335" t="s">
        <v>494</v>
      </c>
      <c r="E577" s="335" t="s">
        <v>495</v>
      </c>
      <c r="F577" s="50">
        <v>6100470760</v>
      </c>
      <c r="G577" s="307" t="s">
        <v>460</v>
      </c>
      <c r="H577" s="19">
        <v>21749.200000000001</v>
      </c>
      <c r="I577" s="20">
        <v>10089.971</v>
      </c>
      <c r="J577" s="19">
        <v>3333.625</v>
      </c>
      <c r="K577" s="19">
        <v>4576.4040000000005</v>
      </c>
      <c r="L577" s="19">
        <f t="shared" si="107"/>
        <v>3749.2000000000007</v>
      </c>
      <c r="M577" s="75">
        <v>32958.9</v>
      </c>
      <c r="N577" s="75">
        <v>19104.877</v>
      </c>
      <c r="O577" s="75"/>
      <c r="P577" s="75">
        <f t="shared" si="119"/>
        <v>-19104.877</v>
      </c>
      <c r="Q577" s="75">
        <f t="shared" si="108"/>
        <v>32958.9</v>
      </c>
      <c r="R577" s="94">
        <v>37283.300000000003</v>
      </c>
      <c r="S577" s="94">
        <v>3047.32</v>
      </c>
      <c r="T577" s="94">
        <v>6094.64</v>
      </c>
      <c r="U577" s="94">
        <v>9141.9599999999991</v>
      </c>
      <c r="V577" s="94">
        <f>R577-S577-T577-U577</f>
        <v>18999.380000000005</v>
      </c>
      <c r="W577" s="41">
        <v>36687.4</v>
      </c>
      <c r="X577" s="41">
        <v>28427.200000000001</v>
      </c>
      <c r="Y577" s="972"/>
      <c r="Z577" s="974"/>
      <c r="AA577" s="315"/>
    </row>
    <row r="578" spans="1:27">
      <c r="A578" s="993"/>
      <c r="B578" s="546" t="s">
        <v>476</v>
      </c>
      <c r="C578" s="328"/>
      <c r="D578" s="335"/>
      <c r="E578" s="335"/>
      <c r="F578" s="328"/>
      <c r="G578" s="328"/>
      <c r="H578" s="19"/>
      <c r="I578" s="20"/>
      <c r="J578" s="19"/>
      <c r="K578" s="19"/>
      <c r="L578" s="19"/>
      <c r="M578" s="75"/>
      <c r="N578" s="75"/>
      <c r="O578" s="75"/>
      <c r="P578" s="75"/>
      <c r="Q578" s="75"/>
      <c r="R578" s="94">
        <f>R577/0.95*0.05</f>
        <v>1962.2789473684215</v>
      </c>
      <c r="S578" s="94">
        <f t="shared" ref="S578:X578" si="126">S577/0.95*0.05</f>
        <v>160.38526315789477</v>
      </c>
      <c r="T578" s="94">
        <f t="shared" si="126"/>
        <v>320.77052631578954</v>
      </c>
      <c r="U578" s="94">
        <f t="shared" si="126"/>
        <v>481.15578947368425</v>
      </c>
      <c r="V578" s="94">
        <f t="shared" si="126"/>
        <v>999.96736842105292</v>
      </c>
      <c r="W578" s="311">
        <f t="shared" si="126"/>
        <v>1930.9157894736845</v>
      </c>
      <c r="X578" s="94">
        <f t="shared" si="126"/>
        <v>1496.1684210526319</v>
      </c>
      <c r="Y578" s="972"/>
      <c r="Z578" s="974"/>
      <c r="AA578" s="315"/>
    </row>
    <row r="579" spans="1:27">
      <c r="A579" s="992" t="s">
        <v>60</v>
      </c>
      <c r="B579" s="546" t="s">
        <v>10</v>
      </c>
      <c r="C579" s="50">
        <v>176</v>
      </c>
      <c r="D579" s="335" t="s">
        <v>494</v>
      </c>
      <c r="E579" s="335" t="s">
        <v>495</v>
      </c>
      <c r="F579" s="50">
        <v>6100470760</v>
      </c>
      <c r="G579" s="307" t="s">
        <v>464</v>
      </c>
      <c r="H579" s="19">
        <f>42682.9</f>
        <v>42682.9</v>
      </c>
      <c r="I579" s="20">
        <v>1000</v>
      </c>
      <c r="J579" s="19">
        <v>8795.3089999999993</v>
      </c>
      <c r="K579" s="19">
        <f>28204.69+0.001</f>
        <v>28204.690999999999</v>
      </c>
      <c r="L579" s="19">
        <f t="shared" si="107"/>
        <v>4682.9000000000015</v>
      </c>
      <c r="M579" s="75">
        <v>85083.9</v>
      </c>
      <c r="N579" s="75">
        <v>6416.7479999999996</v>
      </c>
      <c r="O579" s="75">
        <v>14594.87</v>
      </c>
      <c r="P579" s="75">
        <f t="shared" si="119"/>
        <v>-21011.618000000002</v>
      </c>
      <c r="Q579" s="75">
        <f t="shared" si="108"/>
        <v>85083.9</v>
      </c>
      <c r="R579" s="94">
        <v>94604.7</v>
      </c>
      <c r="S579" s="94">
        <v>5521.28</v>
      </c>
      <c r="T579" s="94">
        <v>11042.56</v>
      </c>
      <c r="U579" s="94">
        <v>16563.84</v>
      </c>
      <c r="V579" s="94">
        <f>R579-S579-T579-U579</f>
        <v>61477.020000000004</v>
      </c>
      <c r="W579" s="41">
        <v>32323.9</v>
      </c>
      <c r="X579" s="41">
        <v>7395.6</v>
      </c>
      <c r="Y579" s="972"/>
      <c r="Z579" s="974"/>
      <c r="AA579" s="315"/>
    </row>
    <row r="580" spans="1:27">
      <c r="A580" s="993"/>
      <c r="B580" s="546" t="s">
        <v>476</v>
      </c>
      <c r="C580" s="328"/>
      <c r="D580" s="335"/>
      <c r="E580" s="335"/>
      <c r="F580" s="328"/>
      <c r="G580" s="328"/>
      <c r="H580" s="19"/>
      <c r="I580" s="20"/>
      <c r="J580" s="19"/>
      <c r="K580" s="19"/>
      <c r="L580" s="19"/>
      <c r="M580" s="75"/>
      <c r="N580" s="75"/>
      <c r="O580" s="75"/>
      <c r="P580" s="75"/>
      <c r="Q580" s="75"/>
      <c r="R580" s="94">
        <f>R579/0.95*0.05</f>
        <v>4979.1947368421061</v>
      </c>
      <c r="S580" s="94">
        <f t="shared" ref="S580:X580" si="127">S579/0.95*0.05</f>
        <v>290.59368421052631</v>
      </c>
      <c r="T580" s="94">
        <f t="shared" si="127"/>
        <v>581.18736842105261</v>
      </c>
      <c r="U580" s="94">
        <f t="shared" si="127"/>
        <v>871.78105263157909</v>
      </c>
      <c r="V580" s="94">
        <f t="shared" si="127"/>
        <v>3235.6326315789479</v>
      </c>
      <c r="W580" s="311">
        <f t="shared" si="127"/>
        <v>1701.2578947368424</v>
      </c>
      <c r="X580" s="94">
        <f t="shared" si="127"/>
        <v>389.24210526315795</v>
      </c>
      <c r="Y580" s="972"/>
      <c r="Z580" s="974"/>
      <c r="AA580" s="315"/>
    </row>
    <row r="581" spans="1:27">
      <c r="A581" s="992" t="s">
        <v>61</v>
      </c>
      <c r="B581" s="546" t="s">
        <v>10</v>
      </c>
      <c r="C581" s="50">
        <v>176</v>
      </c>
      <c r="D581" s="335" t="s">
        <v>494</v>
      </c>
      <c r="E581" s="335" t="s">
        <v>495</v>
      </c>
      <c r="F581" s="50">
        <v>6100470760</v>
      </c>
      <c r="G581" s="307" t="s">
        <v>464</v>
      </c>
      <c r="H581" s="19">
        <v>30983.3</v>
      </c>
      <c r="I581" s="20">
        <v>5142.3068000000003</v>
      </c>
      <c r="J581" s="19">
        <v>0</v>
      </c>
      <c r="K581" s="19">
        <f>19644.39+0.0032</f>
        <v>19644.393199999999</v>
      </c>
      <c r="L581" s="19">
        <f t="shared" si="107"/>
        <v>6196.5999999999985</v>
      </c>
      <c r="M581" s="75">
        <f>33148.8+14500</f>
        <v>47648.800000000003</v>
      </c>
      <c r="N581" s="75">
        <v>8087.1090000000004</v>
      </c>
      <c r="O581" s="75">
        <v>9832.85</v>
      </c>
      <c r="P581" s="75">
        <f t="shared" si="119"/>
        <v>-17919.959000000003</v>
      </c>
      <c r="Q581" s="75">
        <f t="shared" si="108"/>
        <v>47648.80000000001</v>
      </c>
      <c r="R581" s="94">
        <v>70316</v>
      </c>
      <c r="S581" s="94">
        <v>3746.32</v>
      </c>
      <c r="T581" s="94">
        <v>7492.64</v>
      </c>
      <c r="U581" s="94">
        <v>11238.96</v>
      </c>
      <c r="V581" s="94">
        <f>R581-S581-T581-U581</f>
        <v>47838.079999999994</v>
      </c>
      <c r="W581" s="41">
        <v>70831.3</v>
      </c>
      <c r="X581" s="41">
        <v>34969</v>
      </c>
      <c r="Y581" s="972"/>
      <c r="Z581" s="974"/>
      <c r="AA581" s="315"/>
    </row>
    <row r="582" spans="1:27">
      <c r="A582" s="993"/>
      <c r="B582" s="546" t="s">
        <v>476</v>
      </c>
      <c r="C582" s="328"/>
      <c r="D582" s="335"/>
      <c r="E582" s="335"/>
      <c r="F582" s="328"/>
      <c r="G582" s="328"/>
      <c r="H582" s="19"/>
      <c r="I582" s="20"/>
      <c r="J582" s="19"/>
      <c r="K582" s="19"/>
      <c r="L582" s="19"/>
      <c r="M582" s="75"/>
      <c r="N582" s="75"/>
      <c r="O582" s="75"/>
      <c r="P582" s="75"/>
      <c r="Q582" s="75"/>
      <c r="R582" s="94">
        <f>R581/0.95*0.05</f>
        <v>3700.8421052631584</v>
      </c>
      <c r="S582" s="94">
        <f t="shared" ref="S582:X582" si="128">S581/0.95*0.05</f>
        <v>197.17473684210529</v>
      </c>
      <c r="T582" s="94">
        <f t="shared" si="128"/>
        <v>394.34947368421058</v>
      </c>
      <c r="U582" s="94">
        <f t="shared" si="128"/>
        <v>591.52421052631587</v>
      </c>
      <c r="V582" s="94">
        <f t="shared" si="128"/>
        <v>2517.7936842105264</v>
      </c>
      <c r="W582" s="311">
        <f t="shared" si="128"/>
        <v>3727.9631578947374</v>
      </c>
      <c r="X582" s="94">
        <f t="shared" si="128"/>
        <v>1840.4736842105265</v>
      </c>
      <c r="Y582" s="972"/>
      <c r="Z582" s="974"/>
      <c r="AA582" s="315"/>
    </row>
    <row r="583" spans="1:27" ht="18" customHeight="1">
      <c r="A583" s="992" t="s">
        <v>62</v>
      </c>
      <c r="B583" s="546" t="s">
        <v>10</v>
      </c>
      <c r="C583" s="50">
        <v>176</v>
      </c>
      <c r="D583" s="335" t="s">
        <v>494</v>
      </c>
      <c r="E583" s="335" t="s">
        <v>495</v>
      </c>
      <c r="F583" s="50">
        <v>6100470760</v>
      </c>
      <c r="G583" s="307" t="s">
        <v>464</v>
      </c>
      <c r="H583" s="308">
        <v>22655</v>
      </c>
      <c r="I583" s="309">
        <v>2161.13</v>
      </c>
      <c r="J583" s="308">
        <v>8240.6370000000006</v>
      </c>
      <c r="K583" s="308">
        <v>7722.2330000000002</v>
      </c>
      <c r="L583" s="308">
        <f t="shared" si="107"/>
        <v>4530.9999999999982</v>
      </c>
      <c r="M583" s="310">
        <v>27817.599999999999</v>
      </c>
      <c r="N583" s="310"/>
      <c r="O583" s="310">
        <v>10968.106</v>
      </c>
      <c r="P583" s="310">
        <f t="shared" si="119"/>
        <v>-10968.106</v>
      </c>
      <c r="Q583" s="310">
        <f t="shared" si="108"/>
        <v>27817.599999999999</v>
      </c>
      <c r="R583" s="311">
        <v>20035.099999999999</v>
      </c>
      <c r="S583" s="94">
        <v>1650.33</v>
      </c>
      <c r="T583" s="94">
        <v>3300.66</v>
      </c>
      <c r="U583" s="94">
        <v>4950.99</v>
      </c>
      <c r="V583" s="94">
        <f>R583-S583-T583-U583</f>
        <v>10133.119999999997</v>
      </c>
      <c r="W583" s="41">
        <v>20000.599999999999</v>
      </c>
      <c r="X583" s="41">
        <v>17912.3</v>
      </c>
      <c r="Y583" s="972"/>
      <c r="Z583" s="974"/>
      <c r="AA583" s="315"/>
    </row>
    <row r="584" spans="1:27" ht="18" customHeight="1">
      <c r="A584" s="993"/>
      <c r="B584" s="546" t="s">
        <v>476</v>
      </c>
      <c r="C584" s="328"/>
      <c r="D584" s="335"/>
      <c r="E584" s="335"/>
      <c r="F584" s="328"/>
      <c r="G584" s="328"/>
      <c r="H584" s="308"/>
      <c r="I584" s="309"/>
      <c r="J584" s="308"/>
      <c r="K584" s="308"/>
      <c r="L584" s="308"/>
      <c r="M584" s="310"/>
      <c r="N584" s="310"/>
      <c r="O584" s="310"/>
      <c r="P584" s="310"/>
      <c r="Q584" s="310"/>
      <c r="R584" s="311">
        <f>R583/0.95*0.05</f>
        <v>1054.4789473684211</v>
      </c>
      <c r="S584" s="311">
        <f t="shared" ref="S584:X584" si="129">S583/0.95*0.05</f>
        <v>86.859473684210528</v>
      </c>
      <c r="T584" s="311">
        <f t="shared" si="129"/>
        <v>173.71894736842106</v>
      </c>
      <c r="U584" s="311">
        <f t="shared" si="129"/>
        <v>260.5784210526316</v>
      </c>
      <c r="V584" s="311">
        <f t="shared" si="129"/>
        <v>533.32210526315782</v>
      </c>
      <c r="W584" s="311">
        <f t="shared" si="129"/>
        <v>1052.663157894737</v>
      </c>
      <c r="X584" s="311">
        <f t="shared" si="129"/>
        <v>942.75263157894733</v>
      </c>
      <c r="Y584" s="972"/>
      <c r="Z584" s="974"/>
      <c r="AA584" s="315"/>
    </row>
    <row r="585" spans="1:27" ht="21.6" customHeight="1">
      <c r="A585" s="992" t="s">
        <v>63</v>
      </c>
      <c r="B585" s="546" t="s">
        <v>10</v>
      </c>
      <c r="C585" s="126">
        <v>176</v>
      </c>
      <c r="D585" s="335" t="s">
        <v>494</v>
      </c>
      <c r="E585" s="335" t="s">
        <v>495</v>
      </c>
      <c r="F585" s="126">
        <v>6100470760</v>
      </c>
      <c r="G585" s="307" t="s">
        <v>460</v>
      </c>
      <c r="H585" s="19"/>
      <c r="I585" s="20"/>
      <c r="J585" s="19"/>
      <c r="K585" s="19"/>
      <c r="L585" s="19"/>
      <c r="M585" s="75"/>
      <c r="N585" s="75"/>
      <c r="O585" s="75"/>
      <c r="P585" s="75"/>
      <c r="Q585" s="75"/>
      <c r="R585" s="94">
        <v>62397.3</v>
      </c>
      <c r="S585" s="94">
        <v>4452.6099999999997</v>
      </c>
      <c r="T585" s="94">
        <v>8905.2199999999993</v>
      </c>
      <c r="U585" s="94">
        <v>13357.83</v>
      </c>
      <c r="V585" s="94">
        <f>R585-S585-T585-U585</f>
        <v>35681.64</v>
      </c>
      <c r="W585" s="41">
        <v>62092.800000000003</v>
      </c>
      <c r="X585" s="41">
        <v>47587.1</v>
      </c>
      <c r="Y585" s="972"/>
      <c r="Z585" s="974"/>
      <c r="AA585" s="315"/>
    </row>
    <row r="586" spans="1:27" ht="21.6" customHeight="1">
      <c r="A586" s="993"/>
      <c r="B586" s="546" t="s">
        <v>476</v>
      </c>
      <c r="C586" s="328"/>
      <c r="D586" s="335"/>
      <c r="E586" s="335"/>
      <c r="F586" s="328"/>
      <c r="G586" s="328"/>
      <c r="H586" s="19"/>
      <c r="I586" s="20"/>
      <c r="J586" s="19"/>
      <c r="K586" s="19"/>
      <c r="L586" s="19"/>
      <c r="M586" s="75"/>
      <c r="N586" s="75"/>
      <c r="O586" s="75"/>
      <c r="P586" s="75"/>
      <c r="Q586" s="75"/>
      <c r="R586" s="94">
        <f>R585/0.95*0.05</f>
        <v>3284.0684210526324</v>
      </c>
      <c r="S586" s="94">
        <f t="shared" ref="S586:X586" si="130">S585/0.95*0.05</f>
        <v>234.34789473684211</v>
      </c>
      <c r="T586" s="94">
        <f t="shared" si="130"/>
        <v>468.69578947368421</v>
      </c>
      <c r="U586" s="94">
        <f t="shared" si="130"/>
        <v>703.04368421052641</v>
      </c>
      <c r="V586" s="94">
        <f t="shared" si="130"/>
        <v>1877.9810526315789</v>
      </c>
      <c r="W586" s="311">
        <f t="shared" si="130"/>
        <v>3268.0421052631586</v>
      </c>
      <c r="X586" s="94">
        <f t="shared" si="130"/>
        <v>2504.5842105263159</v>
      </c>
      <c r="Y586" s="972"/>
      <c r="Z586" s="974"/>
      <c r="AA586" s="315"/>
    </row>
    <row r="587" spans="1:27">
      <c r="A587" s="992" t="s">
        <v>64</v>
      </c>
      <c r="B587" s="546" t="s">
        <v>10</v>
      </c>
      <c r="C587" s="50">
        <v>176</v>
      </c>
      <c r="D587" s="335" t="s">
        <v>494</v>
      </c>
      <c r="E587" s="335" t="s">
        <v>495</v>
      </c>
      <c r="F587" s="50">
        <v>6100470760</v>
      </c>
      <c r="G587" s="307" t="s">
        <v>460</v>
      </c>
      <c r="H587" s="19">
        <v>32877.199999999997</v>
      </c>
      <c r="I587" s="20">
        <v>14002.699000000001</v>
      </c>
      <c r="J587" s="19">
        <v>10045.549999999999</v>
      </c>
      <c r="K587" s="19">
        <f>8346.65+0.001</f>
        <v>8346.6509999999998</v>
      </c>
      <c r="L587" s="19">
        <f t="shared" si="107"/>
        <v>482.29999999999745</v>
      </c>
      <c r="M587" s="75">
        <v>34234.400000000001</v>
      </c>
      <c r="N587" s="75">
        <v>1922.308</v>
      </c>
      <c r="O587" s="75">
        <v>11771.46</v>
      </c>
      <c r="P587" s="75">
        <f t="shared" ref="P587:P603" si="131">AA587-O587-N587</f>
        <v>-13693.768</v>
      </c>
      <c r="Q587" s="75">
        <f t="shared" si="108"/>
        <v>34234.400000000001</v>
      </c>
      <c r="R587" s="94">
        <v>31640.1</v>
      </c>
      <c r="S587" s="94">
        <v>2744.26</v>
      </c>
      <c r="T587" s="94">
        <v>5488.52</v>
      </c>
      <c r="U587" s="94">
        <v>8232.7800000000007</v>
      </c>
      <c r="V587" s="94">
        <f>R587-S587-T587-U587</f>
        <v>15174.539999999995</v>
      </c>
      <c r="W587" s="41">
        <v>31362.9</v>
      </c>
      <c r="X587" s="41">
        <v>25130.5</v>
      </c>
      <c r="Y587" s="972"/>
      <c r="Z587" s="974"/>
      <c r="AA587" s="315"/>
    </row>
    <row r="588" spans="1:27" ht="20.45" customHeight="1">
      <c r="A588" s="993"/>
      <c r="B588" s="546" t="s">
        <v>476</v>
      </c>
      <c r="C588" s="328"/>
      <c r="D588" s="335"/>
      <c r="E588" s="335"/>
      <c r="F588" s="328"/>
      <c r="G588" s="328"/>
      <c r="H588" s="19"/>
      <c r="I588" s="20"/>
      <c r="J588" s="19"/>
      <c r="K588" s="19"/>
      <c r="L588" s="19"/>
      <c r="M588" s="75"/>
      <c r="N588" s="75"/>
      <c r="O588" s="75"/>
      <c r="P588" s="75"/>
      <c r="Q588" s="75"/>
      <c r="R588" s="94">
        <f>R587/0.95*0.05</f>
        <v>1665.2684210526318</v>
      </c>
      <c r="S588" s="94">
        <f t="shared" ref="S588:X588" si="132">S587/0.95*0.05</f>
        <v>144.43473684210528</v>
      </c>
      <c r="T588" s="94">
        <f t="shared" si="132"/>
        <v>288.86947368421056</v>
      </c>
      <c r="U588" s="94">
        <f t="shared" si="132"/>
        <v>433.30421052631584</v>
      </c>
      <c r="V588" s="94">
        <f t="shared" si="132"/>
        <v>798.65999999999985</v>
      </c>
      <c r="W588" s="311">
        <f t="shared" si="132"/>
        <v>1650.6789473684214</v>
      </c>
      <c r="X588" s="94">
        <f t="shared" si="132"/>
        <v>1322.6578947368423</v>
      </c>
      <c r="Y588" s="972"/>
      <c r="Z588" s="974"/>
      <c r="AA588" s="315"/>
    </row>
    <row r="589" spans="1:27">
      <c r="A589" s="992" t="s">
        <v>65</v>
      </c>
      <c r="B589" s="546" t="s">
        <v>10</v>
      </c>
      <c r="C589" s="50">
        <v>176</v>
      </c>
      <c r="D589" s="335" t="s">
        <v>494</v>
      </c>
      <c r="E589" s="335" t="s">
        <v>495</v>
      </c>
      <c r="F589" s="50">
        <v>6100470760</v>
      </c>
      <c r="G589" s="307" t="s">
        <v>460</v>
      </c>
      <c r="H589" s="19">
        <f>40390.7+24200</f>
        <v>64590.7</v>
      </c>
      <c r="I589" s="20">
        <v>29857.859</v>
      </c>
      <c r="J589" s="19">
        <v>0</v>
      </c>
      <c r="K589" s="19">
        <f>9609.967+0.0002</f>
        <v>9609.967200000001</v>
      </c>
      <c r="L589" s="19">
        <f t="shared" si="107"/>
        <v>25122.873800000001</v>
      </c>
      <c r="M589" s="75">
        <v>56955</v>
      </c>
      <c r="N589" s="75">
        <v>30867.142</v>
      </c>
      <c r="O589" s="75">
        <v>7302.38</v>
      </c>
      <c r="P589" s="75">
        <f t="shared" si="131"/>
        <v>-38169.521999999997</v>
      </c>
      <c r="Q589" s="75">
        <f t="shared" si="108"/>
        <v>56955</v>
      </c>
      <c r="R589" s="94">
        <v>68554.5</v>
      </c>
      <c r="S589" s="94">
        <v>5278.02</v>
      </c>
      <c r="T589" s="94">
        <v>10556.04</v>
      </c>
      <c r="U589" s="94">
        <v>15834.06</v>
      </c>
      <c r="V589" s="94">
        <f>R589-S589-T589-U589</f>
        <v>36886.379999999997</v>
      </c>
      <c r="W589" s="41">
        <v>68018.600000000006</v>
      </c>
      <c r="X589" s="41">
        <v>51368.2</v>
      </c>
      <c r="Y589" s="972"/>
      <c r="Z589" s="974"/>
      <c r="AA589" s="315"/>
    </row>
    <row r="590" spans="1:27" ht="22.15" customHeight="1">
      <c r="A590" s="993"/>
      <c r="B590" s="546" t="s">
        <v>476</v>
      </c>
      <c r="C590" s="328"/>
      <c r="D590" s="335"/>
      <c r="E590" s="335"/>
      <c r="F590" s="328"/>
      <c r="G590" s="328"/>
      <c r="H590" s="19"/>
      <c r="I590" s="20"/>
      <c r="J590" s="19"/>
      <c r="K590" s="19"/>
      <c r="L590" s="19"/>
      <c r="M590" s="75"/>
      <c r="N590" s="75"/>
      <c r="O590" s="75"/>
      <c r="P590" s="75"/>
      <c r="Q590" s="75"/>
      <c r="R590" s="94">
        <f>R589/0.95*0.05</f>
        <v>3608.1315789473688</v>
      </c>
      <c r="S590" s="94">
        <f t="shared" ref="S590:X590" si="133">S589/0.95*0.05</f>
        <v>277.79052631578952</v>
      </c>
      <c r="T590" s="94">
        <f t="shared" si="133"/>
        <v>555.58105263157904</v>
      </c>
      <c r="U590" s="94">
        <f t="shared" si="133"/>
        <v>833.37157894736856</v>
      </c>
      <c r="V590" s="94">
        <f t="shared" si="133"/>
        <v>1941.3884210526314</v>
      </c>
      <c r="W590" s="311">
        <f t="shared" si="133"/>
        <v>3579.9263157894743</v>
      </c>
      <c r="X590" s="94">
        <f t="shared" si="133"/>
        <v>2703.589473684211</v>
      </c>
      <c r="Y590" s="972"/>
      <c r="Z590" s="974"/>
      <c r="AA590" s="315"/>
    </row>
    <row r="591" spans="1:27">
      <c r="A591" s="992" t="s">
        <v>66</v>
      </c>
      <c r="B591" s="546" t="s">
        <v>10</v>
      </c>
      <c r="C591" s="50">
        <v>176</v>
      </c>
      <c r="D591" s="335" t="s">
        <v>494</v>
      </c>
      <c r="E591" s="335" t="s">
        <v>495</v>
      </c>
      <c r="F591" s="50">
        <v>6100470760</v>
      </c>
      <c r="G591" s="307" t="s">
        <v>460</v>
      </c>
      <c r="H591" s="19">
        <v>28811.4</v>
      </c>
      <c r="I591" s="20">
        <v>0</v>
      </c>
      <c r="J591" s="19">
        <v>12314.44</v>
      </c>
      <c r="K591" s="19">
        <v>10734.76</v>
      </c>
      <c r="L591" s="19">
        <f t="shared" si="107"/>
        <v>5762.1999999999989</v>
      </c>
      <c r="M591" s="75">
        <v>24994</v>
      </c>
      <c r="N591" s="75"/>
      <c r="O591" s="75">
        <v>4998.8</v>
      </c>
      <c r="P591" s="75">
        <f t="shared" si="131"/>
        <v>-4998.8</v>
      </c>
      <c r="Q591" s="75">
        <f t="shared" si="108"/>
        <v>24994</v>
      </c>
      <c r="R591" s="94">
        <v>32385.4</v>
      </c>
      <c r="S591" s="94">
        <v>2209.7600000000002</v>
      </c>
      <c r="T591" s="94">
        <v>4419.5200000000004</v>
      </c>
      <c r="U591" s="94">
        <v>6629.2800000000016</v>
      </c>
      <c r="V591" s="94">
        <f>R591-S591-T591-U591</f>
        <v>19126.839999999997</v>
      </c>
      <c r="W591" s="41">
        <v>32331.8</v>
      </c>
      <c r="X591" s="41">
        <v>27505.599999999999</v>
      </c>
      <c r="Y591" s="972"/>
      <c r="Z591" s="974"/>
      <c r="AA591" s="315"/>
    </row>
    <row r="592" spans="1:27">
      <c r="A592" s="993"/>
      <c r="B592" s="546" t="s">
        <v>476</v>
      </c>
      <c r="C592" s="328"/>
      <c r="D592" s="335"/>
      <c r="E592" s="335"/>
      <c r="F592" s="328"/>
      <c r="G592" s="328"/>
      <c r="H592" s="19"/>
      <c r="I592" s="20"/>
      <c r="J592" s="19"/>
      <c r="K592" s="19"/>
      <c r="L592" s="19"/>
      <c r="M592" s="75"/>
      <c r="N592" s="75"/>
      <c r="O592" s="75"/>
      <c r="P592" s="75"/>
      <c r="Q592" s="75"/>
      <c r="R592" s="94">
        <f>R591/0.95*0.05</f>
        <v>1704.4947368421053</v>
      </c>
      <c r="S592" s="94">
        <f t="shared" ref="S592:X592" si="134">S591/0.95*0.05</f>
        <v>116.30315789473687</v>
      </c>
      <c r="T592" s="94">
        <f t="shared" si="134"/>
        <v>232.60631578947374</v>
      </c>
      <c r="U592" s="94">
        <f t="shared" si="134"/>
        <v>348.90947368421064</v>
      </c>
      <c r="V592" s="94">
        <f t="shared" si="134"/>
        <v>1006.6757894736841</v>
      </c>
      <c r="W592" s="311">
        <f t="shared" si="134"/>
        <v>1701.6736842105265</v>
      </c>
      <c r="X592" s="311">
        <f t="shared" si="134"/>
        <v>1447.663157894737</v>
      </c>
      <c r="Y592" s="972"/>
      <c r="Z592" s="974"/>
      <c r="AA592" s="315"/>
    </row>
    <row r="593" spans="1:27" ht="16.899999999999999" customHeight="1">
      <c r="A593" s="992" t="s">
        <v>67</v>
      </c>
      <c r="B593" s="546" t="s">
        <v>10</v>
      </c>
      <c r="C593" s="50">
        <v>176</v>
      </c>
      <c r="D593" s="335" t="s">
        <v>494</v>
      </c>
      <c r="E593" s="335" t="s">
        <v>495</v>
      </c>
      <c r="F593" s="50">
        <v>6100470760</v>
      </c>
      <c r="G593" s="307" t="s">
        <v>460</v>
      </c>
      <c r="H593" s="19">
        <v>23803.200000000001</v>
      </c>
      <c r="I593" s="20">
        <f>7877.528</f>
        <v>7877.5280000000002</v>
      </c>
      <c r="J593" s="19">
        <f>2572.839+250.933</f>
        <v>2823.7719999999999</v>
      </c>
      <c r="K593" s="19">
        <v>8611.3150000000005</v>
      </c>
      <c r="L593" s="19">
        <f t="shared" si="107"/>
        <v>4490.5850000000009</v>
      </c>
      <c r="M593" s="75">
        <v>28976.7</v>
      </c>
      <c r="N593" s="75"/>
      <c r="O593" s="75">
        <v>5795.34</v>
      </c>
      <c r="P593" s="75">
        <f t="shared" si="131"/>
        <v>-5795.34</v>
      </c>
      <c r="Q593" s="75">
        <f t="shared" si="108"/>
        <v>28976.7</v>
      </c>
      <c r="R593" s="94">
        <v>15825.6</v>
      </c>
      <c r="S593" s="94">
        <v>1289.75</v>
      </c>
      <c r="T593" s="94">
        <v>2579.5</v>
      </c>
      <c r="U593" s="94">
        <v>3869.25</v>
      </c>
      <c r="V593" s="94">
        <f>R593-S593-T593-U593</f>
        <v>8087.1</v>
      </c>
      <c r="W593" s="41">
        <v>15762</v>
      </c>
      <c r="X593" s="41">
        <v>14781.6</v>
      </c>
      <c r="Y593" s="972"/>
      <c r="Z593" s="974"/>
      <c r="AA593" s="315"/>
    </row>
    <row r="594" spans="1:27" ht="20.45" customHeight="1">
      <c r="A594" s="993"/>
      <c r="B594" s="546" t="s">
        <v>476</v>
      </c>
      <c r="C594" s="328"/>
      <c r="D594" s="335"/>
      <c r="E594" s="335"/>
      <c r="F594" s="328"/>
      <c r="G594" s="328"/>
      <c r="H594" s="19"/>
      <c r="I594" s="20"/>
      <c r="J594" s="19"/>
      <c r="K594" s="19"/>
      <c r="L594" s="19"/>
      <c r="M594" s="75"/>
      <c r="N594" s="75"/>
      <c r="O594" s="75"/>
      <c r="P594" s="75"/>
      <c r="Q594" s="75"/>
      <c r="R594" s="94">
        <f>R593/0.95*0.05</f>
        <v>832.92631578947373</v>
      </c>
      <c r="S594" s="94">
        <f t="shared" ref="S594:X594" si="135">S593/0.95*0.05</f>
        <v>67.881578947368425</v>
      </c>
      <c r="T594" s="94">
        <f t="shared" si="135"/>
        <v>135.76315789473685</v>
      </c>
      <c r="U594" s="94">
        <f t="shared" si="135"/>
        <v>203.64473684210529</v>
      </c>
      <c r="V594" s="94">
        <f t="shared" si="135"/>
        <v>425.63684210526321</v>
      </c>
      <c r="W594" s="311">
        <f t="shared" si="135"/>
        <v>829.57894736842127</v>
      </c>
      <c r="X594" s="94">
        <f t="shared" si="135"/>
        <v>777.97894736842113</v>
      </c>
      <c r="Y594" s="972"/>
      <c r="Z594" s="974"/>
      <c r="AA594" s="315"/>
    </row>
    <row r="595" spans="1:27">
      <c r="A595" s="992" t="s">
        <v>68</v>
      </c>
      <c r="B595" s="546" t="s">
        <v>10</v>
      </c>
      <c r="C595" s="50">
        <v>176</v>
      </c>
      <c r="D595" s="335" t="s">
        <v>494</v>
      </c>
      <c r="E595" s="335" t="s">
        <v>495</v>
      </c>
      <c r="F595" s="50">
        <v>6100470760</v>
      </c>
      <c r="G595" s="307" t="s">
        <v>464</v>
      </c>
      <c r="H595" s="19">
        <v>24594</v>
      </c>
      <c r="I595" s="20">
        <v>2473.1266999999998</v>
      </c>
      <c r="J595" s="19">
        <v>7106.9</v>
      </c>
      <c r="K595" s="19">
        <f>10095.17+0.0033</f>
        <v>10095.1733</v>
      </c>
      <c r="L595" s="19">
        <f t="shared" si="107"/>
        <v>4918.7999999999993</v>
      </c>
      <c r="M595" s="75">
        <v>30829.200000000001</v>
      </c>
      <c r="N595" s="75">
        <v>1323.0650000000001</v>
      </c>
      <c r="O595" s="75">
        <v>6165.8050000000003</v>
      </c>
      <c r="P595" s="75">
        <f t="shared" si="131"/>
        <v>-7488.8700000000008</v>
      </c>
      <c r="Q595" s="75">
        <f t="shared" si="108"/>
        <v>30829.200000000004</v>
      </c>
      <c r="R595" s="94">
        <v>27792.5</v>
      </c>
      <c r="S595" s="94">
        <v>5506.08</v>
      </c>
      <c r="T595" s="94">
        <v>11012.16</v>
      </c>
      <c r="U595" s="94">
        <v>5500</v>
      </c>
      <c r="V595" s="94">
        <f>R595-S595-T595-U595</f>
        <v>5774.2599999999984</v>
      </c>
      <c r="W595" s="41">
        <v>27650.7</v>
      </c>
      <c r="X595" s="41">
        <v>23319.8</v>
      </c>
      <c r="Y595" s="972"/>
      <c r="Z595" s="974"/>
      <c r="AA595" s="315"/>
    </row>
    <row r="596" spans="1:27" ht="19.149999999999999" customHeight="1">
      <c r="A596" s="993"/>
      <c r="B596" s="546" t="s">
        <v>476</v>
      </c>
      <c r="C596" s="328"/>
      <c r="D596" s="335"/>
      <c r="E596" s="335"/>
      <c r="F596" s="328"/>
      <c r="G596" s="328"/>
      <c r="H596" s="19"/>
      <c r="I596" s="20"/>
      <c r="J596" s="19"/>
      <c r="K596" s="19"/>
      <c r="L596" s="19"/>
      <c r="M596" s="75"/>
      <c r="N596" s="75"/>
      <c r="O596" s="75"/>
      <c r="P596" s="75"/>
      <c r="Q596" s="75"/>
      <c r="R596" s="94">
        <f>R595/0.95*0.05</f>
        <v>1462.7631578947369</v>
      </c>
      <c r="S596" s="94">
        <f t="shared" ref="S596:X596" si="136">S595/0.95*0.05</f>
        <v>289.79368421052635</v>
      </c>
      <c r="T596" s="94">
        <f t="shared" si="136"/>
        <v>579.5873684210527</v>
      </c>
      <c r="U596" s="94">
        <f t="shared" si="136"/>
        <v>289.47368421052636</v>
      </c>
      <c r="V596" s="94">
        <f t="shared" si="136"/>
        <v>303.90842105263152</v>
      </c>
      <c r="W596" s="311">
        <f t="shared" si="136"/>
        <v>1455.3000000000002</v>
      </c>
      <c r="X596" s="94">
        <f t="shared" si="136"/>
        <v>1227.3578947368421</v>
      </c>
      <c r="Y596" s="972"/>
      <c r="Z596" s="974"/>
      <c r="AA596" s="315"/>
    </row>
    <row r="597" spans="1:27" ht="19.899999999999999" customHeight="1">
      <c r="A597" s="992" t="s">
        <v>69</v>
      </c>
      <c r="B597" s="546" t="s">
        <v>10</v>
      </c>
      <c r="C597" s="50">
        <v>176</v>
      </c>
      <c r="D597" s="335" t="s">
        <v>494</v>
      </c>
      <c r="E597" s="335" t="s">
        <v>495</v>
      </c>
      <c r="F597" s="50">
        <v>6100470760</v>
      </c>
      <c r="G597" s="307" t="s">
        <v>460</v>
      </c>
      <c r="H597" s="19">
        <f>24109.4</f>
        <v>24109.4</v>
      </c>
      <c r="I597" s="20">
        <v>10199.791999999999</v>
      </c>
      <c r="J597" s="19">
        <v>962.09900000000005</v>
      </c>
      <c r="K597" s="19">
        <v>8125.7089999999998</v>
      </c>
      <c r="L597" s="19">
        <f t="shared" si="107"/>
        <v>4821.800000000002</v>
      </c>
      <c r="M597" s="75">
        <f>53340.3+15000</f>
        <v>68340.3</v>
      </c>
      <c r="N597" s="75">
        <f>39255.8</f>
        <v>39255.800000000003</v>
      </c>
      <c r="O597" s="75">
        <v>13000</v>
      </c>
      <c r="P597" s="75">
        <f t="shared" si="131"/>
        <v>-52255.8</v>
      </c>
      <c r="Q597" s="75">
        <f t="shared" si="108"/>
        <v>68340.3</v>
      </c>
      <c r="R597" s="94">
        <v>35727.599999999999</v>
      </c>
      <c r="S597" s="94">
        <v>3020.46</v>
      </c>
      <c r="T597" s="94">
        <v>6040.92</v>
      </c>
      <c r="U597" s="94">
        <v>9061.3799999999992</v>
      </c>
      <c r="V597" s="94">
        <f>R597-S597-T597-U597</f>
        <v>17604.840000000004</v>
      </c>
      <c r="W597" s="41">
        <v>35309.9</v>
      </c>
      <c r="X597" s="41">
        <v>27833</v>
      </c>
      <c r="Y597" s="972"/>
      <c r="Z597" s="974"/>
      <c r="AA597" s="315"/>
    </row>
    <row r="598" spans="1:27" ht="16.149999999999999" customHeight="1">
      <c r="A598" s="993"/>
      <c r="B598" s="546" t="s">
        <v>476</v>
      </c>
      <c r="C598" s="328"/>
      <c r="D598" s="335"/>
      <c r="E598" s="335"/>
      <c r="F598" s="328"/>
      <c r="G598" s="328"/>
      <c r="H598" s="19"/>
      <c r="I598" s="20"/>
      <c r="J598" s="19"/>
      <c r="K598" s="19"/>
      <c r="L598" s="19"/>
      <c r="M598" s="75"/>
      <c r="N598" s="75"/>
      <c r="O598" s="75"/>
      <c r="P598" s="75"/>
      <c r="Q598" s="75"/>
      <c r="R598" s="94">
        <f>R597/0.95*0.05</f>
        <v>1880.4</v>
      </c>
      <c r="S598" s="94">
        <f t="shared" ref="S598:X598" si="137">S597/0.95*0.05</f>
        <v>158.97157894736844</v>
      </c>
      <c r="T598" s="94">
        <f t="shared" si="137"/>
        <v>317.94315789473688</v>
      </c>
      <c r="U598" s="94">
        <f t="shared" si="137"/>
        <v>476.91473684210524</v>
      </c>
      <c r="V598" s="94">
        <f t="shared" si="137"/>
        <v>926.57052631578972</v>
      </c>
      <c r="W598" s="311">
        <f t="shared" si="137"/>
        <v>1858.4157894736845</v>
      </c>
      <c r="X598" s="94">
        <f t="shared" si="137"/>
        <v>1464.8947368421054</v>
      </c>
      <c r="Y598" s="972"/>
      <c r="Z598" s="974"/>
      <c r="AA598" s="315"/>
    </row>
    <row r="599" spans="1:27" ht="16.149999999999999" customHeight="1">
      <c r="A599" s="992" t="s">
        <v>70</v>
      </c>
      <c r="B599" s="546" t="s">
        <v>10</v>
      </c>
      <c r="C599" s="50">
        <v>176</v>
      </c>
      <c r="D599" s="335" t="s">
        <v>494</v>
      </c>
      <c r="E599" s="335" t="s">
        <v>495</v>
      </c>
      <c r="F599" s="50">
        <v>6100470760</v>
      </c>
      <c r="G599" s="307" t="s">
        <v>460</v>
      </c>
      <c r="H599" s="19">
        <v>22499.5</v>
      </c>
      <c r="I599" s="20">
        <v>3558.4654999999998</v>
      </c>
      <c r="J599" s="19">
        <v>0</v>
      </c>
      <c r="K599" s="19">
        <f>15941.53+0.0045</f>
        <v>15941.5345</v>
      </c>
      <c r="L599" s="19">
        <f t="shared" si="107"/>
        <v>2999.5000000000018</v>
      </c>
      <c r="M599" s="75">
        <v>28715.9</v>
      </c>
      <c r="N599" s="75">
        <v>2095.7579999999998</v>
      </c>
      <c r="O599" s="75">
        <v>9390.56</v>
      </c>
      <c r="P599" s="75">
        <f t="shared" si="131"/>
        <v>-11486.317999999999</v>
      </c>
      <c r="Q599" s="75">
        <f t="shared" si="108"/>
        <v>28715.9</v>
      </c>
      <c r="R599" s="94">
        <v>26629</v>
      </c>
      <c r="S599" s="94">
        <v>2088.2800000000002</v>
      </c>
      <c r="T599" s="94">
        <v>4176.5600000000004</v>
      </c>
      <c r="U599" s="94">
        <v>6264.84</v>
      </c>
      <c r="V599" s="94">
        <f>R599-S599-T599-U599</f>
        <v>14099.32</v>
      </c>
      <c r="W599" s="41">
        <v>26506.2</v>
      </c>
      <c r="X599" s="41">
        <v>21949.7</v>
      </c>
      <c r="Y599" s="972"/>
      <c r="Z599" s="974"/>
      <c r="AA599" s="315"/>
    </row>
    <row r="600" spans="1:27" ht="19.899999999999999" customHeight="1">
      <c r="A600" s="993"/>
      <c r="B600" s="546" t="s">
        <v>476</v>
      </c>
      <c r="C600" s="328"/>
      <c r="D600" s="335"/>
      <c r="E600" s="335"/>
      <c r="F600" s="328"/>
      <c r="G600" s="328"/>
      <c r="H600" s="19"/>
      <c r="I600" s="20"/>
      <c r="J600" s="19"/>
      <c r="K600" s="19"/>
      <c r="L600" s="19"/>
      <c r="M600" s="75"/>
      <c r="N600" s="75"/>
      <c r="O600" s="75"/>
      <c r="P600" s="75"/>
      <c r="Q600" s="75"/>
      <c r="R600" s="94">
        <f>R599/0.95*0.05</f>
        <v>1401.5263157894738</v>
      </c>
      <c r="S600" s="94">
        <f t="shared" ref="S600:X600" si="138">S599/0.95*0.05</f>
        <v>109.90947368421055</v>
      </c>
      <c r="T600" s="94">
        <f t="shared" si="138"/>
        <v>219.81894736842111</v>
      </c>
      <c r="U600" s="94">
        <f t="shared" si="138"/>
        <v>329.72842105263163</v>
      </c>
      <c r="V600" s="94">
        <f t="shared" si="138"/>
        <v>742.06947368421061</v>
      </c>
      <c r="W600" s="311">
        <f t="shared" si="138"/>
        <v>1395.0631578947371</v>
      </c>
      <c r="X600" s="94">
        <f t="shared" si="138"/>
        <v>1155.2473684210527</v>
      </c>
      <c r="Y600" s="972"/>
      <c r="Z600" s="974"/>
      <c r="AA600" s="315"/>
    </row>
    <row r="601" spans="1:27" ht="21.6" customHeight="1">
      <c r="A601" s="992" t="s">
        <v>71</v>
      </c>
      <c r="B601" s="546" t="s">
        <v>10</v>
      </c>
      <c r="C601" s="50">
        <v>176</v>
      </c>
      <c r="D601" s="335" t="s">
        <v>494</v>
      </c>
      <c r="E601" s="335" t="s">
        <v>495</v>
      </c>
      <c r="F601" s="50">
        <v>6100470760</v>
      </c>
      <c r="G601" s="307" t="s">
        <v>460</v>
      </c>
      <c r="H601" s="19">
        <v>27696.3</v>
      </c>
      <c r="I601" s="20">
        <v>823.37199999999996</v>
      </c>
      <c r="J601" s="19">
        <f>5207-0.002</f>
        <v>5206.9979999999996</v>
      </c>
      <c r="K601" s="19">
        <v>16969.63</v>
      </c>
      <c r="L601" s="19">
        <f t="shared" si="107"/>
        <v>4696.2999999999993</v>
      </c>
      <c r="M601" s="75">
        <f>31006.4+7000</f>
        <v>38006.400000000001</v>
      </c>
      <c r="N601" s="75">
        <v>8932.7455000000009</v>
      </c>
      <c r="O601" s="75">
        <v>3469.86</v>
      </c>
      <c r="P601" s="75">
        <f t="shared" si="131"/>
        <v>-12402.605500000001</v>
      </c>
      <c r="Q601" s="75">
        <f t="shared" si="108"/>
        <v>38006.400000000001</v>
      </c>
      <c r="R601" s="94">
        <v>87540.6</v>
      </c>
      <c r="S601" s="94">
        <v>2540.3100000000004</v>
      </c>
      <c r="T601" s="94">
        <v>5080.6200000000008</v>
      </c>
      <c r="U601" s="94">
        <v>7620.9300000000012</v>
      </c>
      <c r="V601" s="94">
        <f>R601-S601-T601-U601</f>
        <v>72298.740000000005</v>
      </c>
      <c r="W601" s="41">
        <v>36375.1</v>
      </c>
      <c r="X601" s="41">
        <v>26541.200000000001</v>
      </c>
      <c r="Y601" s="972"/>
      <c r="Z601" s="974"/>
      <c r="AA601" s="315"/>
    </row>
    <row r="602" spans="1:27" ht="25.15" customHeight="1">
      <c r="A602" s="993"/>
      <c r="B602" s="546" t="s">
        <v>476</v>
      </c>
      <c r="C602" s="328"/>
      <c r="D602" s="335"/>
      <c r="E602" s="335"/>
      <c r="F602" s="328"/>
      <c r="G602" s="328"/>
      <c r="H602" s="19"/>
      <c r="I602" s="20"/>
      <c r="J602" s="19"/>
      <c r="K602" s="19"/>
      <c r="L602" s="19"/>
      <c r="M602" s="75"/>
      <c r="N602" s="75"/>
      <c r="O602" s="75"/>
      <c r="P602" s="75"/>
      <c r="Q602" s="75"/>
      <c r="R602" s="94">
        <f>R601/0.95*0.05</f>
        <v>4607.4000000000005</v>
      </c>
      <c r="S602" s="94">
        <f t="shared" ref="S602:X602" si="139">S601/0.95*0.05</f>
        <v>133.70052631578952</v>
      </c>
      <c r="T602" s="94">
        <f t="shared" si="139"/>
        <v>267.40105263157903</v>
      </c>
      <c r="U602" s="94">
        <f t="shared" si="139"/>
        <v>401.10157894736852</v>
      </c>
      <c r="V602" s="94">
        <f t="shared" si="139"/>
        <v>3805.1968421052643</v>
      </c>
      <c r="W602" s="311">
        <f t="shared" si="139"/>
        <v>1914.4789473684211</v>
      </c>
      <c r="X602" s="94">
        <f t="shared" si="139"/>
        <v>1396.905263157895</v>
      </c>
      <c r="Y602" s="972"/>
      <c r="Z602" s="974"/>
      <c r="AA602" s="315"/>
    </row>
    <row r="603" spans="1:27" ht="32.450000000000003" customHeight="1">
      <c r="A603" s="992" t="s">
        <v>75</v>
      </c>
      <c r="B603" s="556" t="s">
        <v>25</v>
      </c>
      <c r="C603" s="50">
        <v>176</v>
      </c>
      <c r="D603" s="335" t="s">
        <v>494</v>
      </c>
      <c r="E603" s="335" t="s">
        <v>495</v>
      </c>
      <c r="F603" s="50" t="s">
        <v>266</v>
      </c>
      <c r="G603" s="307" t="s">
        <v>464</v>
      </c>
      <c r="H603" s="19">
        <v>78443</v>
      </c>
      <c r="I603" s="20">
        <v>18443</v>
      </c>
      <c r="J603" s="19"/>
      <c r="K603" s="19">
        <v>60000</v>
      </c>
      <c r="L603" s="19">
        <f t="shared" si="107"/>
        <v>0</v>
      </c>
      <c r="M603" s="75">
        <f>80000+50000</f>
        <v>130000</v>
      </c>
      <c r="N603" s="75">
        <v>24777</v>
      </c>
      <c r="O603" s="75">
        <v>24619.78</v>
      </c>
      <c r="P603" s="75">
        <f t="shared" si="131"/>
        <v>-49396.78</v>
      </c>
      <c r="Q603" s="75">
        <f t="shared" si="108"/>
        <v>130000</v>
      </c>
      <c r="R603" s="129">
        <f>R604+R605+R606</f>
        <v>47368.42105263158</v>
      </c>
      <c r="S603" s="129">
        <f t="shared" ref="S603:X603" si="140">S604+S605+S606</f>
        <v>0</v>
      </c>
      <c r="T603" s="129">
        <f t="shared" si="140"/>
        <v>0</v>
      </c>
      <c r="U603" s="129">
        <f t="shared" si="140"/>
        <v>0</v>
      </c>
      <c r="V603" s="129">
        <f t="shared" si="140"/>
        <v>47368.42105263158</v>
      </c>
      <c r="W603" s="595">
        <f t="shared" si="140"/>
        <v>8021.0526315789475</v>
      </c>
      <c r="X603" s="129">
        <f t="shared" si="140"/>
        <v>32737.894736842107</v>
      </c>
      <c r="Y603" s="972"/>
      <c r="Z603" s="974"/>
      <c r="AA603" s="315"/>
    </row>
    <row r="604" spans="1:27" ht="26.45" customHeight="1">
      <c r="A604" s="994"/>
      <c r="B604" s="546" t="s">
        <v>10</v>
      </c>
      <c r="C604" s="126">
        <v>176</v>
      </c>
      <c r="D604" s="335" t="s">
        <v>494</v>
      </c>
      <c r="E604" s="335" t="s">
        <v>495</v>
      </c>
      <c r="F604" s="126">
        <v>6100470760</v>
      </c>
      <c r="G604" s="307" t="s">
        <v>460</v>
      </c>
      <c r="H604" s="19">
        <v>78443</v>
      </c>
      <c r="I604" s="20">
        <v>18443</v>
      </c>
      <c r="J604" s="19"/>
      <c r="K604" s="19">
        <v>60000</v>
      </c>
      <c r="L604" s="19">
        <v>0</v>
      </c>
      <c r="M604" s="75">
        <v>130000</v>
      </c>
      <c r="N604" s="75">
        <v>24777</v>
      </c>
      <c r="O604" s="75">
        <v>24619.78</v>
      </c>
      <c r="P604" s="75">
        <v>-49396.78</v>
      </c>
      <c r="Q604" s="75">
        <v>130000</v>
      </c>
      <c r="R604" s="129">
        <v>45000</v>
      </c>
      <c r="S604" s="129">
        <v>0</v>
      </c>
      <c r="T604" s="129">
        <v>0</v>
      </c>
      <c r="U604" s="129">
        <v>0</v>
      </c>
      <c r="V604" s="94">
        <f>R604</f>
        <v>45000</v>
      </c>
      <c r="W604" s="319">
        <f>147920-140300</f>
        <v>7620</v>
      </c>
      <c r="X604" s="130">
        <f>171401-140300</f>
        <v>31101</v>
      </c>
      <c r="Y604" s="972"/>
      <c r="Z604" s="974"/>
      <c r="AA604" s="315"/>
    </row>
    <row r="605" spans="1:27" ht="26.45" hidden="1" customHeight="1">
      <c r="A605" s="994"/>
      <c r="B605" s="546" t="s">
        <v>348</v>
      </c>
      <c r="C605" s="328">
        <v>176</v>
      </c>
      <c r="D605" s="335" t="s">
        <v>494</v>
      </c>
      <c r="E605" s="335" t="s">
        <v>495</v>
      </c>
      <c r="F605" s="328">
        <v>6100053901</v>
      </c>
      <c r="G605" s="328">
        <v>521</v>
      </c>
      <c r="H605" s="19"/>
      <c r="I605" s="20"/>
      <c r="J605" s="19"/>
      <c r="K605" s="19"/>
      <c r="L605" s="19"/>
      <c r="M605" s="75"/>
      <c r="N605" s="75"/>
      <c r="O605" s="75"/>
      <c r="P605" s="75"/>
      <c r="Q605" s="75"/>
      <c r="R605" s="94"/>
      <c r="S605" s="94"/>
      <c r="T605" s="94"/>
      <c r="U605" s="94"/>
      <c r="V605" s="94"/>
      <c r="W605" s="41">
        <v>0</v>
      </c>
      <c r="X605" s="41"/>
      <c r="Y605" s="972"/>
      <c r="Z605" s="974"/>
      <c r="AA605" s="315"/>
    </row>
    <row r="606" spans="1:27" ht="19.899999999999999" customHeight="1">
      <c r="A606" s="993"/>
      <c r="B606" s="546" t="s">
        <v>476</v>
      </c>
      <c r="C606" s="126"/>
      <c r="D606" s="335"/>
      <c r="E606" s="335"/>
      <c r="F606" s="126"/>
      <c r="G606" s="307"/>
      <c r="H606" s="19"/>
      <c r="I606" s="20"/>
      <c r="J606" s="19"/>
      <c r="K606" s="19"/>
      <c r="L606" s="19"/>
      <c r="M606" s="75"/>
      <c r="N606" s="75"/>
      <c r="O606" s="75"/>
      <c r="P606" s="75"/>
      <c r="Q606" s="75"/>
      <c r="R606" s="94">
        <f>(R604+R605)/0.95*0.05</f>
        <v>2368.4210526315792</v>
      </c>
      <c r="S606" s="94">
        <f t="shared" ref="S606:X606" si="141">(S604+S605)/0.95*0.05</f>
        <v>0</v>
      </c>
      <c r="T606" s="94">
        <f t="shared" si="141"/>
        <v>0</v>
      </c>
      <c r="U606" s="94">
        <f t="shared" si="141"/>
        <v>0</v>
      </c>
      <c r="V606" s="94">
        <f t="shared" si="141"/>
        <v>2368.4210526315792</v>
      </c>
      <c r="W606" s="311">
        <f t="shared" si="141"/>
        <v>401.0526315789474</v>
      </c>
      <c r="X606" s="94">
        <f t="shared" si="141"/>
        <v>1636.8947368421054</v>
      </c>
      <c r="Y606" s="972"/>
      <c r="Z606" s="974"/>
      <c r="AA606" s="315"/>
    </row>
    <row r="607" spans="1:27" ht="19.899999999999999" customHeight="1">
      <c r="A607" s="992" t="s">
        <v>76</v>
      </c>
      <c r="B607" s="546" t="s">
        <v>25</v>
      </c>
      <c r="C607" s="50">
        <v>176</v>
      </c>
      <c r="D607" s="335" t="s">
        <v>494</v>
      </c>
      <c r="E607" s="335" t="s">
        <v>495</v>
      </c>
      <c r="F607" s="50" t="s">
        <v>266</v>
      </c>
      <c r="G607" s="50" t="s">
        <v>460</v>
      </c>
      <c r="H607" s="19">
        <f>72200.3</f>
        <v>72200.3</v>
      </c>
      <c r="I607" s="20">
        <f>40967.5287</f>
        <v>40967.528700000003</v>
      </c>
      <c r="J607" s="19">
        <f>21618.57+7500</f>
        <v>29118.57</v>
      </c>
      <c r="K607" s="19">
        <f>2114.2+0.0013</f>
        <v>2114.2012999999997</v>
      </c>
      <c r="L607" s="19">
        <f t="shared" si="107"/>
        <v>0</v>
      </c>
      <c r="M607" s="75">
        <f>96800+9301</f>
        <v>106101</v>
      </c>
      <c r="N607" s="75">
        <v>49488.398000000001</v>
      </c>
      <c r="O607" s="75">
        <v>2159.9899999999998</v>
      </c>
      <c r="P607" s="75">
        <f>AA607-O607-N607</f>
        <v>-51648.387999999999</v>
      </c>
      <c r="Q607" s="75">
        <f t="shared" si="108"/>
        <v>106101</v>
      </c>
      <c r="R607" s="94">
        <f>R608+R609+R610</f>
        <v>6312.4210526315792</v>
      </c>
      <c r="S607" s="94">
        <f t="shared" ref="S607:X607" si="142">S608+S609+S610</f>
        <v>2631.5789473684213</v>
      </c>
      <c r="T607" s="94">
        <f t="shared" si="142"/>
        <v>1578.9473684210527</v>
      </c>
      <c r="U607" s="94">
        <f t="shared" si="142"/>
        <v>1052.6315789473683</v>
      </c>
      <c r="V607" s="94">
        <f t="shared" si="142"/>
        <v>1049.2631578947371</v>
      </c>
      <c r="W607" s="311">
        <f t="shared" si="142"/>
        <v>7610.5263157894733</v>
      </c>
      <c r="X607" s="94">
        <f t="shared" si="142"/>
        <v>34203.684210526313</v>
      </c>
      <c r="Y607" s="972"/>
      <c r="Z607" s="974"/>
      <c r="AA607" s="315"/>
    </row>
    <row r="608" spans="1:27" ht="19.149999999999999" customHeight="1">
      <c r="A608" s="994"/>
      <c r="B608" s="546" t="s">
        <v>10</v>
      </c>
      <c r="C608" s="126">
        <v>176</v>
      </c>
      <c r="D608" s="335" t="s">
        <v>494</v>
      </c>
      <c r="E608" s="335" t="s">
        <v>495</v>
      </c>
      <c r="F608" s="126">
        <v>6100470760</v>
      </c>
      <c r="G608" s="126" t="s">
        <v>460</v>
      </c>
      <c r="H608" s="19">
        <v>72200.3</v>
      </c>
      <c r="I608" s="20">
        <v>40967.528700000003</v>
      </c>
      <c r="J608" s="19">
        <v>29118.57</v>
      </c>
      <c r="K608" s="19">
        <v>2114.2012999999997</v>
      </c>
      <c r="L608" s="19">
        <v>0</v>
      </c>
      <c r="M608" s="75">
        <v>106101</v>
      </c>
      <c r="N608" s="75">
        <v>49488.398000000001</v>
      </c>
      <c r="O608" s="75">
        <v>2159.9899999999998</v>
      </c>
      <c r="P608" s="75">
        <v>-51648.387999999999</v>
      </c>
      <c r="Q608" s="75">
        <v>106101</v>
      </c>
      <c r="R608" s="94">
        <v>5996.8</v>
      </c>
      <c r="S608" s="94">
        <v>2500</v>
      </c>
      <c r="T608" s="94">
        <v>1500</v>
      </c>
      <c r="U608" s="94">
        <v>1000</v>
      </c>
      <c r="V608" s="94">
        <f>R608-S608-T608-U608</f>
        <v>996.80000000000018</v>
      </c>
      <c r="W608" s="41">
        <f>102080-94850</f>
        <v>7230</v>
      </c>
      <c r="X608" s="41">
        <f>127343.5-94850</f>
        <v>32493.5</v>
      </c>
      <c r="Y608" s="972"/>
      <c r="Z608" s="974"/>
      <c r="AA608" s="315"/>
    </row>
    <row r="609" spans="1:27" ht="24.6" hidden="1" customHeight="1">
      <c r="A609" s="994"/>
      <c r="B609" s="546" t="s">
        <v>348</v>
      </c>
      <c r="C609" s="328">
        <v>176</v>
      </c>
      <c r="D609" s="335" t="s">
        <v>494</v>
      </c>
      <c r="E609" s="335" t="s">
        <v>495</v>
      </c>
      <c r="F609" s="328">
        <v>6100053901</v>
      </c>
      <c r="G609" s="328">
        <v>521</v>
      </c>
      <c r="H609" s="19"/>
      <c r="I609" s="20"/>
      <c r="J609" s="19"/>
      <c r="K609" s="19"/>
      <c r="L609" s="19"/>
      <c r="M609" s="75"/>
      <c r="N609" s="75"/>
      <c r="O609" s="75"/>
      <c r="P609" s="75"/>
      <c r="Q609" s="75"/>
      <c r="R609" s="94"/>
      <c r="S609" s="94"/>
      <c r="T609" s="94"/>
      <c r="U609" s="94"/>
      <c r="V609" s="94"/>
      <c r="W609" s="41">
        <v>0</v>
      </c>
      <c r="X609" s="41"/>
      <c r="Y609" s="972"/>
      <c r="Z609" s="974"/>
      <c r="AA609" s="315"/>
    </row>
    <row r="610" spans="1:27" ht="24.6" customHeight="1">
      <c r="A610" s="993"/>
      <c r="B610" s="546" t="s">
        <v>476</v>
      </c>
      <c r="C610" s="126"/>
      <c r="D610" s="335"/>
      <c r="E610" s="335"/>
      <c r="F610" s="126"/>
      <c r="G610" s="126"/>
      <c r="H610" s="19"/>
      <c r="I610" s="20"/>
      <c r="J610" s="19"/>
      <c r="K610" s="19"/>
      <c r="L610" s="19"/>
      <c r="M610" s="75"/>
      <c r="N610" s="75"/>
      <c r="O610" s="75"/>
      <c r="P610" s="75"/>
      <c r="Q610" s="75"/>
      <c r="R610" s="94">
        <f>(R608+R609)/0.95*0.05</f>
        <v>315.621052631579</v>
      </c>
      <c r="S610" s="94">
        <f t="shared" ref="S610:X610" si="143">(S608+S609)/0.95*0.05</f>
        <v>131.57894736842107</v>
      </c>
      <c r="T610" s="94">
        <f t="shared" si="143"/>
        <v>78.947368421052644</v>
      </c>
      <c r="U610" s="94">
        <f t="shared" si="143"/>
        <v>52.631578947368432</v>
      </c>
      <c r="V610" s="94">
        <f t="shared" si="143"/>
        <v>52.46315789473686</v>
      </c>
      <c r="W610" s="311">
        <f t="shared" si="143"/>
        <v>380.52631578947376</v>
      </c>
      <c r="X610" s="94">
        <f t="shared" si="143"/>
        <v>1710.1842105263161</v>
      </c>
      <c r="Y610" s="972"/>
      <c r="Z610" s="974"/>
      <c r="AA610" s="315"/>
    </row>
    <row r="611" spans="1:27" ht="25.9" customHeight="1">
      <c r="A611" s="992" t="s">
        <v>77</v>
      </c>
      <c r="B611" s="546" t="s">
        <v>25</v>
      </c>
      <c r="C611" s="50">
        <v>176</v>
      </c>
      <c r="D611" s="335" t="s">
        <v>494</v>
      </c>
      <c r="E611" s="335" t="s">
        <v>495</v>
      </c>
      <c r="F611" s="50" t="s">
        <v>266</v>
      </c>
      <c r="G611" s="50" t="s">
        <v>460</v>
      </c>
      <c r="H611" s="19">
        <f>4160.7</f>
        <v>4160.7</v>
      </c>
      <c r="I611" s="20">
        <v>0</v>
      </c>
      <c r="J611" s="19">
        <v>4160.7</v>
      </c>
      <c r="K611" s="19">
        <v>0</v>
      </c>
      <c r="L611" s="19">
        <f t="shared" si="107"/>
        <v>0</v>
      </c>
      <c r="M611" s="75">
        <f>17362.5+10400</f>
        <v>27762.5</v>
      </c>
      <c r="N611" s="75">
        <v>10362.5</v>
      </c>
      <c r="O611" s="75">
        <v>7000</v>
      </c>
      <c r="P611" s="75">
        <f>AA611-O611-N611</f>
        <v>-17362.5</v>
      </c>
      <c r="Q611" s="75">
        <f t="shared" si="108"/>
        <v>27762.5</v>
      </c>
      <c r="R611" s="94">
        <f>R612+R613+R614</f>
        <v>32997.894736842107</v>
      </c>
      <c r="S611" s="94">
        <f t="shared" ref="S611:X611" si="144">S612+S613+S614</f>
        <v>1052.6315789473683</v>
      </c>
      <c r="T611" s="94">
        <f t="shared" si="144"/>
        <v>1052.6315789473683</v>
      </c>
      <c r="U611" s="94">
        <f t="shared" si="144"/>
        <v>1052.6315789473683</v>
      </c>
      <c r="V611" s="94">
        <f t="shared" si="144"/>
        <v>29840</v>
      </c>
      <c r="W611" s="311">
        <f t="shared" si="144"/>
        <v>32997.894736842107</v>
      </c>
      <c r="X611" s="94">
        <f t="shared" si="144"/>
        <v>11844.631578947368</v>
      </c>
      <c r="Y611" s="972"/>
      <c r="Z611" s="974"/>
      <c r="AA611" s="315"/>
    </row>
    <row r="612" spans="1:27" ht="17.45" customHeight="1">
      <c r="A612" s="994"/>
      <c r="B612" s="546" t="s">
        <v>10</v>
      </c>
      <c r="C612" s="126">
        <v>176</v>
      </c>
      <c r="D612" s="335" t="s">
        <v>494</v>
      </c>
      <c r="E612" s="335" t="s">
        <v>495</v>
      </c>
      <c r="F612" s="126">
        <v>6100470760</v>
      </c>
      <c r="G612" s="126" t="s">
        <v>460</v>
      </c>
      <c r="H612" s="19">
        <v>4160.7</v>
      </c>
      <c r="I612" s="20">
        <v>0</v>
      </c>
      <c r="J612" s="19">
        <v>4160.7</v>
      </c>
      <c r="K612" s="19">
        <v>0</v>
      </c>
      <c r="L612" s="19">
        <v>0</v>
      </c>
      <c r="M612" s="75">
        <v>27762.5</v>
      </c>
      <c r="N612" s="75">
        <v>10362.5</v>
      </c>
      <c r="O612" s="75">
        <v>7000</v>
      </c>
      <c r="P612" s="75">
        <v>-17362.5</v>
      </c>
      <c r="Q612" s="75">
        <v>27762.5</v>
      </c>
      <c r="R612" s="94">
        <v>31348</v>
      </c>
      <c r="S612" s="94">
        <v>1000</v>
      </c>
      <c r="T612" s="94">
        <v>1000</v>
      </c>
      <c r="U612" s="94">
        <v>1000</v>
      </c>
      <c r="V612" s="94">
        <f>R612-S612-T612-U612</f>
        <v>28348</v>
      </c>
      <c r="W612" s="41">
        <v>31348</v>
      </c>
      <c r="X612" s="41">
        <v>11252.4</v>
      </c>
      <c r="Y612" s="972"/>
      <c r="Z612" s="974"/>
      <c r="AA612" s="315"/>
    </row>
    <row r="613" spans="1:27" ht="34.9" hidden="1" customHeight="1">
      <c r="A613" s="994"/>
      <c r="B613" s="546" t="s">
        <v>348</v>
      </c>
      <c r="C613" s="328">
        <v>176</v>
      </c>
      <c r="D613" s="335" t="s">
        <v>494</v>
      </c>
      <c r="E613" s="335" t="s">
        <v>495</v>
      </c>
      <c r="F613" s="328">
        <v>6100053901</v>
      </c>
      <c r="G613" s="328">
        <v>521</v>
      </c>
      <c r="H613" s="19"/>
      <c r="I613" s="20"/>
      <c r="J613" s="19"/>
      <c r="K613" s="19"/>
      <c r="L613" s="19"/>
      <c r="M613" s="75"/>
      <c r="N613" s="75"/>
      <c r="O613" s="75"/>
      <c r="P613" s="75"/>
      <c r="Q613" s="75"/>
      <c r="R613" s="94"/>
      <c r="S613" s="94"/>
      <c r="T613" s="94"/>
      <c r="U613" s="94"/>
      <c r="V613" s="94"/>
      <c r="W613" s="41">
        <v>0</v>
      </c>
      <c r="X613" s="41"/>
      <c r="Y613" s="972"/>
      <c r="Z613" s="974"/>
      <c r="AA613" s="315"/>
    </row>
    <row r="614" spans="1:27" ht="24.6" customHeight="1">
      <c r="A614" s="993"/>
      <c r="B614" s="546" t="s">
        <v>476</v>
      </c>
      <c r="C614" s="126"/>
      <c r="D614" s="335"/>
      <c r="E614" s="335"/>
      <c r="F614" s="126"/>
      <c r="G614" s="126"/>
      <c r="H614" s="19"/>
      <c r="I614" s="20"/>
      <c r="J614" s="19"/>
      <c r="K614" s="19"/>
      <c r="L614" s="19"/>
      <c r="M614" s="75"/>
      <c r="N614" s="75"/>
      <c r="O614" s="75"/>
      <c r="P614" s="75"/>
      <c r="Q614" s="75"/>
      <c r="R614" s="94">
        <f>(R612+R613)/0.95*0.05</f>
        <v>1649.8947368421054</v>
      </c>
      <c r="S614" s="94">
        <f t="shared" ref="S614:X614" si="145">(S612+S613)/0.95*0.05</f>
        <v>52.631578947368432</v>
      </c>
      <c r="T614" s="94">
        <f t="shared" si="145"/>
        <v>52.631578947368432</v>
      </c>
      <c r="U614" s="94">
        <f t="shared" si="145"/>
        <v>52.631578947368432</v>
      </c>
      <c r="V614" s="94">
        <f t="shared" si="145"/>
        <v>1492</v>
      </c>
      <c r="W614" s="311">
        <f t="shared" si="145"/>
        <v>1649.8947368421054</v>
      </c>
      <c r="X614" s="94">
        <f t="shared" si="145"/>
        <v>592.23157894736846</v>
      </c>
      <c r="Y614" s="972"/>
      <c r="Z614" s="974"/>
      <c r="AA614" s="315"/>
    </row>
    <row r="615" spans="1:27" ht="22.5" customHeight="1">
      <c r="A615" s="992" t="s">
        <v>78</v>
      </c>
      <c r="B615" s="546" t="s">
        <v>25</v>
      </c>
      <c r="C615" s="50">
        <v>176</v>
      </c>
      <c r="D615" s="335" t="s">
        <v>494</v>
      </c>
      <c r="E615" s="335" t="s">
        <v>495</v>
      </c>
      <c r="F615" s="50" t="s">
        <v>266</v>
      </c>
      <c r="G615" s="50" t="s">
        <v>460</v>
      </c>
      <c r="H615" s="19">
        <f>5768.7</f>
        <v>5768.7</v>
      </c>
      <c r="I615" s="20">
        <v>1776.1</v>
      </c>
      <c r="J615" s="19">
        <v>0</v>
      </c>
      <c r="K615" s="19">
        <v>3000</v>
      </c>
      <c r="L615" s="19">
        <f t="shared" si="107"/>
        <v>992.59999999999991</v>
      </c>
      <c r="M615" s="75">
        <v>11986.9</v>
      </c>
      <c r="N615" s="75">
        <v>955.71</v>
      </c>
      <c r="O615" s="75">
        <v>3839.06</v>
      </c>
      <c r="P615" s="75">
        <f>AA615-O615-N615</f>
        <v>-4794.7700000000004</v>
      </c>
      <c r="Q615" s="75">
        <f t="shared" si="108"/>
        <v>11986.9</v>
      </c>
      <c r="R615" s="94">
        <f>R616+R617+R618</f>
        <v>37285.052631578954</v>
      </c>
      <c r="S615" s="94">
        <f t="shared" ref="S615:W615" si="146">S616+S617+S618</f>
        <v>5491.652631578947</v>
      </c>
      <c r="T615" s="94">
        <f t="shared" si="146"/>
        <v>5720.1473684210532</v>
      </c>
      <c r="U615" s="94">
        <f t="shared" si="146"/>
        <v>5948.6421052631576</v>
      </c>
      <c r="V615" s="94">
        <f t="shared" si="146"/>
        <v>20124.610526315795</v>
      </c>
      <c r="W615" s="311">
        <f t="shared" si="146"/>
        <v>37285.052631578954</v>
      </c>
      <c r="X615" s="94">
        <f>X616+X617+X618</f>
        <v>15756.315789473685</v>
      </c>
      <c r="Y615" s="972"/>
      <c r="Z615" s="974"/>
      <c r="AA615" s="315"/>
    </row>
    <row r="616" spans="1:27" ht="21" customHeight="1">
      <c r="A616" s="994"/>
      <c r="B616" s="546" t="s">
        <v>10</v>
      </c>
      <c r="C616" s="126">
        <v>176</v>
      </c>
      <c r="D616" s="335" t="s">
        <v>494</v>
      </c>
      <c r="E616" s="335" t="s">
        <v>495</v>
      </c>
      <c r="F616" s="126">
        <v>6100470760</v>
      </c>
      <c r="G616" s="126" t="s">
        <v>460</v>
      </c>
      <c r="H616" s="19">
        <v>5768.7</v>
      </c>
      <c r="I616" s="20">
        <v>1776.1</v>
      </c>
      <c r="J616" s="19">
        <v>0</v>
      </c>
      <c r="K616" s="19">
        <v>3000</v>
      </c>
      <c r="L616" s="19">
        <v>992.59999999999991</v>
      </c>
      <c r="M616" s="75">
        <v>11986.9</v>
      </c>
      <c r="N616" s="75">
        <v>955.71</v>
      </c>
      <c r="O616" s="75">
        <v>3839.06</v>
      </c>
      <c r="P616" s="75">
        <v>-4794.7700000000004</v>
      </c>
      <c r="Q616" s="75">
        <v>11986.9</v>
      </c>
      <c r="R616" s="94">
        <v>35420.800000000003</v>
      </c>
      <c r="S616" s="94">
        <v>5217.07</v>
      </c>
      <c r="T616" s="94">
        <v>5434.14</v>
      </c>
      <c r="U616" s="94">
        <v>5651.21</v>
      </c>
      <c r="V616" s="94">
        <f>R616-S616-T616-U616</f>
        <v>19118.380000000005</v>
      </c>
      <c r="W616" s="41">
        <v>35420.800000000003</v>
      </c>
      <c r="X616" s="41">
        <v>14968.5</v>
      </c>
      <c r="Y616" s="972"/>
      <c r="Z616" s="974"/>
      <c r="AA616" s="315"/>
    </row>
    <row r="617" spans="1:27" ht="35.450000000000003" hidden="1" customHeight="1">
      <c r="A617" s="994"/>
      <c r="B617" s="546" t="s">
        <v>348</v>
      </c>
      <c r="C617" s="328">
        <v>176</v>
      </c>
      <c r="D617" s="335" t="s">
        <v>494</v>
      </c>
      <c r="E617" s="335" t="s">
        <v>495</v>
      </c>
      <c r="F617" s="328">
        <v>6100053901</v>
      </c>
      <c r="G617" s="328" t="s">
        <v>464</v>
      </c>
      <c r="H617" s="19"/>
      <c r="I617" s="20"/>
      <c r="J617" s="19"/>
      <c r="K617" s="19"/>
      <c r="L617" s="19"/>
      <c r="M617" s="75"/>
      <c r="N617" s="75"/>
      <c r="O617" s="75"/>
      <c r="P617" s="75"/>
      <c r="Q617" s="75"/>
      <c r="R617" s="94"/>
      <c r="S617" s="94"/>
      <c r="T617" s="94"/>
      <c r="U617" s="94"/>
      <c r="V617" s="94"/>
      <c r="W617" s="41">
        <v>0</v>
      </c>
      <c r="X617" s="41"/>
      <c r="Y617" s="972"/>
      <c r="Z617" s="974"/>
      <c r="AA617" s="315"/>
    </row>
    <row r="618" spans="1:27" ht="16.5" customHeight="1">
      <c r="A618" s="993"/>
      <c r="B618" s="546" t="s">
        <v>476</v>
      </c>
      <c r="C618" s="126"/>
      <c r="D618" s="335"/>
      <c r="E618" s="335"/>
      <c r="F618" s="126"/>
      <c r="G618" s="307"/>
      <c r="H618" s="19"/>
      <c r="I618" s="20"/>
      <c r="J618" s="19"/>
      <c r="K618" s="19"/>
      <c r="L618" s="19"/>
      <c r="M618" s="75"/>
      <c r="N618" s="75"/>
      <c r="O618" s="75"/>
      <c r="P618" s="75"/>
      <c r="Q618" s="75"/>
      <c r="R618" s="94">
        <f>(R616+R617)/0.95*0.05</f>
        <v>1864.2526315789478</v>
      </c>
      <c r="S618" s="94">
        <f t="shared" ref="S618:X618" si="147">(S616+S617)/0.95*0.05</f>
        <v>274.58263157894737</v>
      </c>
      <c r="T618" s="94">
        <f t="shared" si="147"/>
        <v>286.00736842105266</v>
      </c>
      <c r="U618" s="94">
        <f t="shared" si="147"/>
        <v>297.43210526315795</v>
      </c>
      <c r="V618" s="94">
        <f t="shared" si="147"/>
        <v>1006.2305263157898</v>
      </c>
      <c r="W618" s="311">
        <f t="shared" si="147"/>
        <v>1864.2526315789478</v>
      </c>
      <c r="X618" s="94">
        <f t="shared" si="147"/>
        <v>787.81578947368428</v>
      </c>
      <c r="Y618" s="972"/>
      <c r="Z618" s="974"/>
      <c r="AA618" s="315"/>
    </row>
    <row r="619" spans="1:27" ht="29.45" customHeight="1">
      <c r="A619" s="992" t="s">
        <v>79</v>
      </c>
      <c r="B619" s="546" t="s">
        <v>25</v>
      </c>
      <c r="C619" s="50">
        <v>176</v>
      </c>
      <c r="D619" s="335" t="s">
        <v>494</v>
      </c>
      <c r="E619" s="335" t="s">
        <v>495</v>
      </c>
      <c r="F619" s="50" t="s">
        <v>266</v>
      </c>
      <c r="G619" s="50" t="s">
        <v>460</v>
      </c>
      <c r="H619" s="19">
        <f>566000+52424.5</f>
        <v>618424.5</v>
      </c>
      <c r="I619" s="20">
        <v>190000</v>
      </c>
      <c r="J619" s="19">
        <v>140390.6</v>
      </c>
      <c r="K619" s="19">
        <f>H619-I619-J619</f>
        <v>288033.90000000002</v>
      </c>
      <c r="L619" s="19">
        <f t="shared" si="107"/>
        <v>0</v>
      </c>
      <c r="M619" s="75">
        <f>100000+100000+100000+20000+94452.3</f>
        <v>414452.3</v>
      </c>
      <c r="N619" s="75">
        <v>27239.88</v>
      </c>
      <c r="O619" s="75">
        <v>156696.76999999999</v>
      </c>
      <c r="P619" s="75">
        <f>AA619-O619-N619</f>
        <v>-183936.65</v>
      </c>
      <c r="Q619" s="75">
        <f t="shared" si="108"/>
        <v>414452.3</v>
      </c>
      <c r="R619" s="94">
        <f>SUM(R620:R623)</f>
        <v>147338.10526315792</v>
      </c>
      <c r="S619" s="94">
        <f t="shared" ref="S619:X619" si="148">SUM(S620:S623)</f>
        <v>21405.968421052628</v>
      </c>
      <c r="T619" s="94">
        <f t="shared" si="148"/>
        <v>21759.305263157894</v>
      </c>
      <c r="U619" s="94">
        <f t="shared" si="148"/>
        <v>0</v>
      </c>
      <c r="V619" s="94">
        <f t="shared" si="148"/>
        <v>104172.83157894739</v>
      </c>
      <c r="W619" s="311">
        <f t="shared" si="148"/>
        <v>1594027.6842105261</v>
      </c>
      <c r="X619" s="94">
        <f t="shared" si="148"/>
        <v>2251997.0526315793</v>
      </c>
      <c r="Y619" s="972"/>
      <c r="Z619" s="974"/>
      <c r="AA619" s="315"/>
    </row>
    <row r="620" spans="1:27" ht="25.5" customHeight="1">
      <c r="A620" s="994"/>
      <c r="B620" s="546" t="s">
        <v>10</v>
      </c>
      <c r="C620" s="306">
        <v>176</v>
      </c>
      <c r="D620" s="335" t="s">
        <v>494</v>
      </c>
      <c r="E620" s="335" t="s">
        <v>495</v>
      </c>
      <c r="F620" s="306">
        <v>6100470760</v>
      </c>
      <c r="G620" s="306">
        <v>522</v>
      </c>
      <c r="H620" s="19"/>
      <c r="I620" s="20"/>
      <c r="J620" s="19"/>
      <c r="K620" s="19"/>
      <c r="L620" s="19"/>
      <c r="M620" s="75"/>
      <c r="N620" s="75"/>
      <c r="O620" s="75"/>
      <c r="P620" s="75"/>
      <c r="Q620" s="75"/>
      <c r="R620" s="94"/>
      <c r="S620" s="94"/>
      <c r="T620" s="94"/>
      <c r="U620" s="94"/>
      <c r="V620" s="94">
        <f>R620</f>
        <v>0</v>
      </c>
      <c r="W620" s="311">
        <f>162812+846243.2</f>
        <v>1009055.2</v>
      </c>
      <c r="X620" s="311">
        <f>661000+978920.7</f>
        <v>1639920.7</v>
      </c>
      <c r="Y620" s="972"/>
      <c r="Z620" s="974"/>
      <c r="AA620" s="315"/>
    </row>
    <row r="621" spans="1:27" ht="20.45" customHeight="1">
      <c r="A621" s="994"/>
      <c r="B621" s="546" t="s">
        <v>10</v>
      </c>
      <c r="C621" s="126">
        <v>176</v>
      </c>
      <c r="D621" s="335" t="s">
        <v>494</v>
      </c>
      <c r="E621" s="335" t="s">
        <v>495</v>
      </c>
      <c r="F621" s="126">
        <v>6100470760</v>
      </c>
      <c r="G621" s="126">
        <v>521</v>
      </c>
      <c r="H621" s="19">
        <v>618424.5</v>
      </c>
      <c r="I621" s="20">
        <v>190000</v>
      </c>
      <c r="J621" s="19">
        <v>140390.6</v>
      </c>
      <c r="K621" s="19">
        <v>288033.90000000002</v>
      </c>
      <c r="L621" s="19">
        <v>0</v>
      </c>
      <c r="M621" s="75">
        <v>414452.3</v>
      </c>
      <c r="N621" s="75">
        <v>27239.88</v>
      </c>
      <c r="O621" s="75">
        <v>156696.76999999999</v>
      </c>
      <c r="P621" s="75">
        <v>-183936.65</v>
      </c>
      <c r="Q621" s="75">
        <v>414452.3</v>
      </c>
      <c r="R621" s="94">
        <f>65971.2+74000</f>
        <v>139971.20000000001</v>
      </c>
      <c r="S621" s="94">
        <v>20335.669999999998</v>
      </c>
      <c r="T621" s="94">
        <v>20671.34</v>
      </c>
      <c r="U621" s="94"/>
      <c r="V621" s="94">
        <f>R621-S621-T621-U621</f>
        <v>98964.190000000017</v>
      </c>
      <c r="W621" s="41">
        <v>505271.1</v>
      </c>
      <c r="X621" s="41">
        <v>499476.5</v>
      </c>
      <c r="Y621" s="972"/>
      <c r="Z621" s="974"/>
      <c r="AA621" s="315"/>
    </row>
    <row r="622" spans="1:27" ht="28.15" hidden="1" customHeight="1">
      <c r="A622" s="994"/>
      <c r="B622" s="546" t="s">
        <v>348</v>
      </c>
      <c r="C622" s="328">
        <v>176</v>
      </c>
      <c r="D622" s="335" t="s">
        <v>494</v>
      </c>
      <c r="E622" s="335" t="s">
        <v>495</v>
      </c>
      <c r="F622" s="328">
        <v>6100053901</v>
      </c>
      <c r="G622" s="328">
        <v>521</v>
      </c>
      <c r="H622" s="19"/>
      <c r="I622" s="20"/>
      <c r="J622" s="19"/>
      <c r="K622" s="19"/>
      <c r="L622" s="19"/>
      <c r="M622" s="75"/>
      <c r="N622" s="75"/>
      <c r="O622" s="75"/>
      <c r="P622" s="75"/>
      <c r="Q622" s="75"/>
      <c r="R622" s="94"/>
      <c r="S622" s="94"/>
      <c r="T622" s="94"/>
      <c r="U622" s="94"/>
      <c r="V622" s="94"/>
      <c r="W622" s="130">
        <v>0</v>
      </c>
      <c r="X622" s="41"/>
      <c r="Y622" s="972"/>
      <c r="Z622" s="974"/>
      <c r="AA622" s="315"/>
    </row>
    <row r="623" spans="1:27" ht="28.15" customHeight="1">
      <c r="A623" s="993"/>
      <c r="B623" s="546" t="s">
        <v>476</v>
      </c>
      <c r="C623" s="126"/>
      <c r="D623" s="335"/>
      <c r="E623" s="335"/>
      <c r="F623" s="126"/>
      <c r="G623" s="126"/>
      <c r="H623" s="19"/>
      <c r="I623" s="20"/>
      <c r="J623" s="19"/>
      <c r="K623" s="19"/>
      <c r="L623" s="19"/>
      <c r="M623" s="75"/>
      <c r="N623" s="75"/>
      <c r="O623" s="75"/>
      <c r="P623" s="75"/>
      <c r="Q623" s="75"/>
      <c r="R623" s="94">
        <f>(R620+R621+R622)/0.95*0.05</f>
        <v>7366.9052631578961</v>
      </c>
      <c r="S623" s="94">
        <f>(S621+S622)/0.95*0.05</f>
        <v>1070.2984210526317</v>
      </c>
      <c r="T623" s="94">
        <f t="shared" ref="T623:U623" si="149">(T621+T622)/0.95*0.05</f>
        <v>1087.9652631578949</v>
      </c>
      <c r="U623" s="94">
        <f t="shared" si="149"/>
        <v>0</v>
      </c>
      <c r="V623" s="94">
        <f>(V620+V621+V622)/0.95*0.05</f>
        <v>5208.6415789473695</v>
      </c>
      <c r="W623" s="311">
        <f>(W620+W621+W622)/0.95*0.05</f>
        <v>79701.384210526317</v>
      </c>
      <c r="X623" s="94">
        <f>(X620+X621+X622)/0.95*0.05</f>
        <v>112599.85263157898</v>
      </c>
      <c r="Y623" s="973"/>
      <c r="Z623" s="940"/>
      <c r="AA623" s="315"/>
    </row>
    <row r="624" spans="1:27" ht="37.5" customHeight="1">
      <c r="A624" s="1017" t="s">
        <v>262</v>
      </c>
      <c r="B624" s="547" t="s">
        <v>771</v>
      </c>
      <c r="C624" s="11"/>
      <c r="D624" s="127"/>
      <c r="E624" s="127"/>
      <c r="F624" s="11"/>
      <c r="G624" s="11"/>
      <c r="H624" s="6">
        <v>0</v>
      </c>
      <c r="I624" s="6">
        <v>0</v>
      </c>
      <c r="J624" s="6">
        <v>0</v>
      </c>
      <c r="K624" s="6">
        <v>0</v>
      </c>
      <c r="L624" s="6">
        <v>0</v>
      </c>
      <c r="M624" s="68" t="s">
        <v>279</v>
      </c>
      <c r="N624" s="68"/>
      <c r="O624" s="68"/>
      <c r="P624" s="68"/>
      <c r="Q624" s="68"/>
      <c r="R624" s="87" t="s">
        <v>279</v>
      </c>
      <c r="S624" s="87"/>
      <c r="T624" s="87"/>
      <c r="U624" s="87"/>
      <c r="V624" s="87"/>
      <c r="W624" s="68" t="s">
        <v>279</v>
      </c>
      <c r="X624" s="68"/>
      <c r="Y624" s="971" t="s">
        <v>189</v>
      </c>
      <c r="Z624" s="971" t="s">
        <v>261</v>
      </c>
    </row>
    <row r="625" spans="1:29" ht="33" customHeight="1">
      <c r="A625" s="1004"/>
      <c r="B625" s="547" t="s">
        <v>24</v>
      </c>
      <c r="C625" s="11"/>
      <c r="D625" s="127"/>
      <c r="E625" s="127"/>
      <c r="F625" s="11"/>
      <c r="G625" s="11"/>
      <c r="H625" s="6"/>
      <c r="I625" s="6"/>
      <c r="J625" s="6"/>
      <c r="K625" s="6"/>
      <c r="L625" s="6"/>
      <c r="M625" s="68"/>
      <c r="N625" s="68"/>
      <c r="O625" s="68"/>
      <c r="P625" s="68"/>
      <c r="Q625" s="68"/>
      <c r="R625" s="85"/>
      <c r="S625" s="85" t="s">
        <v>496</v>
      </c>
      <c r="T625" s="85" t="s">
        <v>496</v>
      </c>
      <c r="U625" s="85" t="s">
        <v>496</v>
      </c>
      <c r="V625" s="85" t="s">
        <v>496</v>
      </c>
      <c r="W625" s="49"/>
      <c r="X625" s="49"/>
      <c r="Y625" s="972"/>
      <c r="Z625" s="972"/>
    </row>
    <row r="626" spans="1:29" ht="32.25" customHeight="1">
      <c r="A626" s="14"/>
      <c r="B626" s="547" t="s">
        <v>25</v>
      </c>
      <c r="C626" s="11">
        <v>176</v>
      </c>
      <c r="D626" s="127" t="s">
        <v>494</v>
      </c>
      <c r="E626" s="127" t="s">
        <v>495</v>
      </c>
      <c r="F626" s="11">
        <v>6100502830</v>
      </c>
      <c r="G626" s="11">
        <v>244</v>
      </c>
      <c r="H626" s="6">
        <f t="shared" ref="H626:X626" si="150">H628</f>
        <v>9500</v>
      </c>
      <c r="I626" s="6">
        <f t="shared" si="150"/>
        <v>0</v>
      </c>
      <c r="J626" s="6">
        <f t="shared" si="150"/>
        <v>0</v>
      </c>
      <c r="K626" s="6">
        <f t="shared" si="150"/>
        <v>5000</v>
      </c>
      <c r="L626" s="6">
        <f t="shared" si="150"/>
        <v>4500</v>
      </c>
      <c r="M626" s="68">
        <f t="shared" si="150"/>
        <v>10000</v>
      </c>
      <c r="N626" s="68"/>
      <c r="O626" s="68">
        <f t="shared" si="150"/>
        <v>5000</v>
      </c>
      <c r="P626" s="68"/>
      <c r="Q626" s="68">
        <f t="shared" si="150"/>
        <v>5000</v>
      </c>
      <c r="R626" s="87">
        <f t="shared" si="150"/>
        <v>20000</v>
      </c>
      <c r="S626" s="87">
        <f t="shared" si="150"/>
        <v>0</v>
      </c>
      <c r="T626" s="87">
        <f t="shared" si="150"/>
        <v>8000</v>
      </c>
      <c r="U626" s="87">
        <f t="shared" si="150"/>
        <v>6000</v>
      </c>
      <c r="V626" s="87">
        <f t="shared" si="150"/>
        <v>6000</v>
      </c>
      <c r="W626" s="68">
        <f t="shared" si="150"/>
        <v>20000</v>
      </c>
      <c r="X626" s="87">
        <f t="shared" si="150"/>
        <v>20000</v>
      </c>
      <c r="Y626" s="35"/>
      <c r="Z626" s="972"/>
    </row>
    <row r="627" spans="1:29" ht="19.5" customHeight="1">
      <c r="A627" s="14"/>
      <c r="B627" s="547" t="s">
        <v>9</v>
      </c>
      <c r="C627" s="11"/>
      <c r="D627" s="127"/>
      <c r="E627" s="127"/>
      <c r="F627" s="11"/>
      <c r="G627" s="11"/>
      <c r="H627" s="6"/>
      <c r="I627" s="6"/>
      <c r="J627" s="6"/>
      <c r="K627" s="6"/>
      <c r="L627" s="6"/>
      <c r="M627" s="68"/>
      <c r="N627" s="68"/>
      <c r="O627" s="68"/>
      <c r="P627" s="68"/>
      <c r="Q627" s="68"/>
      <c r="R627" s="85"/>
      <c r="S627" s="85"/>
      <c r="T627" s="85"/>
      <c r="U627" s="85"/>
      <c r="V627" s="85"/>
      <c r="W627" s="49"/>
      <c r="X627" s="49"/>
      <c r="Y627" s="35"/>
      <c r="Z627" s="972"/>
    </row>
    <row r="628" spans="1:29" ht="18" customHeight="1">
      <c r="A628" s="14"/>
      <c r="B628" s="547" t="s">
        <v>10</v>
      </c>
      <c r="C628" s="11">
        <v>176</v>
      </c>
      <c r="D628" s="127" t="s">
        <v>494</v>
      </c>
      <c r="E628" s="127" t="s">
        <v>495</v>
      </c>
      <c r="F628" s="11">
        <v>6100502830</v>
      </c>
      <c r="G628" s="11">
        <v>244</v>
      </c>
      <c r="H628" s="6">
        <f>SUM(I628:L628)</f>
        <v>9500</v>
      </c>
      <c r="I628" s="6">
        <v>0</v>
      </c>
      <c r="J628" s="6">
        <v>0</v>
      </c>
      <c r="K628" s="6">
        <v>5000</v>
      </c>
      <c r="L628" s="6">
        <f>5000-500</f>
        <v>4500</v>
      </c>
      <c r="M628" s="68">
        <v>10000</v>
      </c>
      <c r="N628" s="68"/>
      <c r="O628" s="68">
        <v>5000</v>
      </c>
      <c r="P628" s="68"/>
      <c r="Q628" s="68">
        <v>5000</v>
      </c>
      <c r="R628" s="85">
        <v>20000</v>
      </c>
      <c r="S628" s="85">
        <v>0</v>
      </c>
      <c r="T628" s="85">
        <v>8000</v>
      </c>
      <c r="U628" s="85">
        <v>6000</v>
      </c>
      <c r="V628" s="85">
        <v>6000</v>
      </c>
      <c r="W628" s="49">
        <v>20000</v>
      </c>
      <c r="X628" s="85">
        <v>20000</v>
      </c>
      <c r="Y628" s="35"/>
      <c r="Z628" s="972"/>
    </row>
    <row r="629" spans="1:29" ht="23.25" customHeight="1">
      <c r="A629" s="14"/>
      <c r="B629" s="547" t="s">
        <v>443</v>
      </c>
      <c r="C629" s="34">
        <v>0</v>
      </c>
      <c r="D629" s="34">
        <v>0</v>
      </c>
      <c r="E629" s="34">
        <v>0</v>
      </c>
      <c r="F629" s="34">
        <v>0</v>
      </c>
      <c r="G629" s="34">
        <v>0</v>
      </c>
      <c r="H629" s="6">
        <v>0</v>
      </c>
      <c r="I629" s="6">
        <v>0</v>
      </c>
      <c r="J629" s="6">
        <v>0</v>
      </c>
      <c r="K629" s="6">
        <v>0</v>
      </c>
      <c r="L629" s="6">
        <v>0</v>
      </c>
      <c r="M629" s="68"/>
      <c r="N629" s="68"/>
      <c r="O629" s="68"/>
      <c r="P629" s="68"/>
      <c r="Q629" s="68"/>
      <c r="R629" s="85"/>
      <c r="S629" s="85"/>
      <c r="T629" s="85"/>
      <c r="U629" s="85"/>
      <c r="V629" s="85"/>
      <c r="W629" s="49"/>
      <c r="X629" s="49"/>
      <c r="Y629" s="35"/>
      <c r="Z629" s="972"/>
    </row>
    <row r="630" spans="1:29" ht="18.75" customHeight="1">
      <c r="A630" s="14"/>
      <c r="B630" s="547" t="s">
        <v>11</v>
      </c>
      <c r="C630" s="34">
        <v>0</v>
      </c>
      <c r="D630" s="34">
        <v>0</v>
      </c>
      <c r="E630" s="34">
        <v>0</v>
      </c>
      <c r="F630" s="34">
        <v>0</v>
      </c>
      <c r="G630" s="34">
        <v>0</v>
      </c>
      <c r="H630" s="6">
        <v>0</v>
      </c>
      <c r="I630" s="6">
        <v>0</v>
      </c>
      <c r="J630" s="6">
        <v>0</v>
      </c>
      <c r="K630" s="6">
        <v>0</v>
      </c>
      <c r="L630" s="6">
        <v>0</v>
      </c>
      <c r="M630" s="68"/>
      <c r="N630" s="68"/>
      <c r="O630" s="68"/>
      <c r="P630" s="68"/>
      <c r="Q630" s="68"/>
      <c r="R630" s="85"/>
      <c r="S630" s="85"/>
      <c r="T630" s="85"/>
      <c r="U630" s="85"/>
      <c r="V630" s="85"/>
      <c r="W630" s="49"/>
      <c r="X630" s="49"/>
      <c r="Y630" s="35"/>
      <c r="Z630" s="972"/>
    </row>
    <row r="631" spans="1:29" ht="24" customHeight="1">
      <c r="A631" s="14"/>
      <c r="B631" s="811" t="s">
        <v>454</v>
      </c>
      <c r="C631" s="34"/>
      <c r="D631" s="34"/>
      <c r="E631" s="34"/>
      <c r="F631" s="34"/>
      <c r="G631" s="34"/>
      <c r="H631" s="6"/>
      <c r="I631" s="6"/>
      <c r="J631" s="6"/>
      <c r="K631" s="6"/>
      <c r="L631" s="6"/>
      <c r="M631" s="68"/>
      <c r="N631" s="68"/>
      <c r="O631" s="68"/>
      <c r="P631" s="68"/>
      <c r="Q631" s="68"/>
      <c r="R631" s="85"/>
      <c r="S631" s="85"/>
      <c r="T631" s="85"/>
      <c r="U631" s="85"/>
      <c r="V631" s="85"/>
      <c r="W631" s="49"/>
      <c r="X631" s="49"/>
      <c r="Y631" s="35"/>
      <c r="Z631" s="972"/>
    </row>
    <row r="632" spans="1:29" ht="19.5" customHeight="1">
      <c r="A632" s="15"/>
      <c r="B632" s="547" t="s">
        <v>1061</v>
      </c>
      <c r="C632" s="34">
        <v>0</v>
      </c>
      <c r="D632" s="34">
        <v>0</v>
      </c>
      <c r="E632" s="34">
        <v>0</v>
      </c>
      <c r="F632" s="34">
        <v>0</v>
      </c>
      <c r="G632" s="34">
        <v>0</v>
      </c>
      <c r="H632" s="6">
        <v>0</v>
      </c>
      <c r="I632" s="6">
        <v>0</v>
      </c>
      <c r="J632" s="6">
        <v>0</v>
      </c>
      <c r="K632" s="6">
        <v>0</v>
      </c>
      <c r="L632" s="6">
        <v>0</v>
      </c>
      <c r="M632" s="68"/>
      <c r="N632" s="68"/>
      <c r="O632" s="68"/>
      <c r="P632" s="68"/>
      <c r="Q632" s="68"/>
      <c r="R632" s="85"/>
      <c r="S632" s="85"/>
      <c r="T632" s="85"/>
      <c r="U632" s="85"/>
      <c r="V632" s="85"/>
      <c r="W632" s="49"/>
      <c r="X632" s="49"/>
      <c r="Y632" s="36"/>
      <c r="Z632" s="973"/>
    </row>
    <row r="633" spans="1:29" ht="33.75" customHeight="1">
      <c r="A633" s="1017" t="s">
        <v>1095</v>
      </c>
      <c r="B633" s="547" t="s">
        <v>25</v>
      </c>
      <c r="C633" s="11">
        <v>176</v>
      </c>
      <c r="D633" s="127" t="s">
        <v>494</v>
      </c>
      <c r="E633" s="127" t="s">
        <v>495</v>
      </c>
      <c r="F633" s="11" t="s">
        <v>549</v>
      </c>
      <c r="G633" s="11" t="s">
        <v>28</v>
      </c>
      <c r="H633" s="6" t="e">
        <f t="shared" ref="H633:Q633" si="151">SUM(H635:H647)</f>
        <v>#REF!</v>
      </c>
      <c r="I633" s="6" t="e">
        <f t="shared" si="151"/>
        <v>#REF!</v>
      </c>
      <c r="J633" s="6" t="e">
        <f t="shared" si="151"/>
        <v>#REF!</v>
      </c>
      <c r="K633" s="6" t="e">
        <f t="shared" si="151"/>
        <v>#REF!</v>
      </c>
      <c r="L633" s="6" t="e">
        <f t="shared" si="151"/>
        <v>#REF!</v>
      </c>
      <c r="M633" s="68" t="e">
        <f t="shared" si="151"/>
        <v>#REF!</v>
      </c>
      <c r="N633" s="68" t="e">
        <f t="shared" si="151"/>
        <v>#REF!</v>
      </c>
      <c r="O633" s="68" t="e">
        <f t="shared" si="151"/>
        <v>#REF!</v>
      </c>
      <c r="P633" s="68" t="e">
        <f t="shared" si="151"/>
        <v>#REF!</v>
      </c>
      <c r="Q633" s="68" t="e">
        <f t="shared" si="151"/>
        <v>#REF!</v>
      </c>
      <c r="R633" s="68">
        <f>R635+R641+R645+R647</f>
        <v>7471967.43157895</v>
      </c>
      <c r="S633" s="68">
        <f t="shared" ref="S633:X633" si="152">S635+S641+S645+S647</f>
        <v>1121572.8809863159</v>
      </c>
      <c r="T633" s="68">
        <f t="shared" si="152"/>
        <v>1215677.5754236842</v>
      </c>
      <c r="U633" s="68">
        <f t="shared" si="152"/>
        <v>1245739.980046842</v>
      </c>
      <c r="V633" s="68">
        <f t="shared" si="152"/>
        <v>3888976.9951221063</v>
      </c>
      <c r="W633" s="68">
        <f t="shared" si="152"/>
        <v>7302784.1736842105</v>
      </c>
      <c r="X633" s="68">
        <f t="shared" si="152"/>
        <v>10485574.952631578</v>
      </c>
      <c r="Y633" s="50"/>
      <c r="Z633" s="50"/>
    </row>
    <row r="634" spans="1:29" ht="17.25" customHeight="1">
      <c r="A634" s="1004"/>
      <c r="B634" s="547" t="s">
        <v>9</v>
      </c>
      <c r="C634" s="11"/>
      <c r="D634" s="127"/>
      <c r="E634" s="127"/>
      <c r="F634" s="11"/>
      <c r="G634" s="11"/>
      <c r="H634" s="6"/>
      <c r="I634" s="6"/>
      <c r="J634" s="6"/>
      <c r="K634" s="6"/>
      <c r="L634" s="6"/>
      <c r="M634" s="68"/>
      <c r="N634" s="68"/>
      <c r="O634" s="68"/>
      <c r="P634" s="68"/>
      <c r="Q634" s="68"/>
      <c r="R634" s="49"/>
      <c r="S634" s="85"/>
      <c r="T634" s="85"/>
      <c r="U634" s="85"/>
      <c r="V634" s="85"/>
      <c r="W634" s="49"/>
      <c r="X634" s="49"/>
      <c r="Y634" s="50"/>
      <c r="Z634" s="50"/>
    </row>
    <row r="635" spans="1:29" ht="36.75" customHeight="1">
      <c r="A635" s="1004"/>
      <c r="B635" s="547" t="s">
        <v>564</v>
      </c>
      <c r="C635" s="11">
        <v>176</v>
      </c>
      <c r="D635" s="127" t="s">
        <v>494</v>
      </c>
      <c r="E635" s="127" t="s">
        <v>495</v>
      </c>
      <c r="F635" s="11" t="s">
        <v>549</v>
      </c>
      <c r="G635" s="11" t="s">
        <v>28</v>
      </c>
      <c r="H635" s="6" t="e">
        <f>H233+#REF!+H628</f>
        <v>#REF!</v>
      </c>
      <c r="I635" s="6" t="e">
        <f>I233+#REF!+I628</f>
        <v>#REF!</v>
      </c>
      <c r="J635" s="6" t="e">
        <f>J233+#REF!+J628</f>
        <v>#REF!</v>
      </c>
      <c r="K635" s="6" t="e">
        <f>K233+#REF!+K628</f>
        <v>#REF!</v>
      </c>
      <c r="L635" s="6" t="e">
        <f>L233+#REF!+L628</f>
        <v>#REF!</v>
      </c>
      <c r="M635" s="68" t="e">
        <f>M233+#REF!+M628</f>
        <v>#REF!</v>
      </c>
      <c r="N635" s="68" t="e">
        <f>N233+#REF!+N628</f>
        <v>#REF!</v>
      </c>
      <c r="O635" s="68" t="e">
        <f>O233+#REF!+O628</f>
        <v>#REF!</v>
      </c>
      <c r="P635" s="68" t="e">
        <f>P233+#REF!+P628</f>
        <v>#REF!</v>
      </c>
      <c r="Q635" s="68" t="e">
        <f>Q233+#REF!+Q628</f>
        <v>#REF!</v>
      </c>
      <c r="R635" s="68">
        <f>R636+R637+R638+R639+R640</f>
        <v>7388598.6000000024</v>
      </c>
      <c r="S635" s="68">
        <f t="shared" ref="S635:X635" si="153">S636+S637+S638+S639+S640</f>
        <v>1115430.54046</v>
      </c>
      <c r="T635" s="68">
        <f t="shared" si="153"/>
        <v>1204945.5259499999</v>
      </c>
      <c r="U635" s="68">
        <f t="shared" si="153"/>
        <v>1232077.4453099999</v>
      </c>
      <c r="V635" s="68">
        <f t="shared" si="153"/>
        <v>3836145.0882800012</v>
      </c>
      <c r="W635" s="68">
        <f t="shared" si="153"/>
        <v>7161693.2000000002</v>
      </c>
      <c r="X635" s="68">
        <f t="shared" si="153"/>
        <v>10327286.1</v>
      </c>
      <c r="Y635" s="50"/>
      <c r="Z635" s="50"/>
      <c r="AA635" s="313"/>
      <c r="AB635" s="76"/>
      <c r="AC635" s="76">
        <f>X635-3000</f>
        <v>10324286.1</v>
      </c>
    </row>
    <row r="636" spans="1:29" ht="30" hidden="1" customHeight="1">
      <c r="A636" s="1004"/>
      <c r="B636" s="547" t="s">
        <v>663</v>
      </c>
      <c r="C636" s="11">
        <v>176</v>
      </c>
      <c r="D636" s="127" t="s">
        <v>494</v>
      </c>
      <c r="E636" s="127" t="s">
        <v>495</v>
      </c>
      <c r="F636" s="11" t="s">
        <v>662</v>
      </c>
      <c r="G636" s="11" t="s">
        <v>660</v>
      </c>
      <c r="H636" s="6"/>
      <c r="I636" s="6"/>
      <c r="J636" s="6"/>
      <c r="K636" s="6"/>
      <c r="L636" s="6"/>
      <c r="M636" s="68"/>
      <c r="N636" s="68"/>
      <c r="O636" s="68"/>
      <c r="P636" s="68"/>
      <c r="Q636" s="68"/>
      <c r="R636" s="68">
        <v>0</v>
      </c>
      <c r="S636" s="68">
        <v>0</v>
      </c>
      <c r="T636" s="68">
        <f>'Подробный перечень(БКАД)'!$I$775+'Подробный перечень(БКАД)'!$I$450</f>
        <v>0</v>
      </c>
      <c r="U636" s="68">
        <v>0</v>
      </c>
      <c r="V636" s="68">
        <v>0</v>
      </c>
      <c r="W636" s="68">
        <v>0</v>
      </c>
      <c r="X636" s="68">
        <v>0</v>
      </c>
      <c r="Y636" s="374"/>
      <c r="Z636" s="374"/>
      <c r="AA636" s="313"/>
      <c r="AB636" s="76"/>
      <c r="AC636" s="76"/>
    </row>
    <row r="637" spans="1:29" ht="30" hidden="1" customHeight="1">
      <c r="A637" s="1004"/>
      <c r="B637" s="547" t="s">
        <v>672</v>
      </c>
      <c r="C637" s="11">
        <v>176</v>
      </c>
      <c r="D637" s="127" t="s">
        <v>494</v>
      </c>
      <c r="E637" s="127" t="s">
        <v>495</v>
      </c>
      <c r="F637" s="11" t="s">
        <v>661</v>
      </c>
      <c r="G637" s="11" t="s">
        <v>460</v>
      </c>
      <c r="H637" s="6"/>
      <c r="I637" s="6"/>
      <c r="J637" s="6"/>
      <c r="K637" s="6"/>
      <c r="L637" s="6"/>
      <c r="M637" s="68"/>
      <c r="N637" s="68"/>
      <c r="O637" s="68"/>
      <c r="P637" s="68"/>
      <c r="Q637" s="68"/>
      <c r="R637" s="68">
        <v>0</v>
      </c>
      <c r="S637" s="68">
        <f>'Подробный перечень(БКАД)'!$H$1163</f>
        <v>0</v>
      </c>
      <c r="T637" s="68">
        <f>'Подробный перечень(БКАД)'!$I$1168</f>
        <v>0</v>
      </c>
      <c r="U637" s="68">
        <f>'Подробный перечень(БКАД)'!$J$1163</f>
        <v>0</v>
      </c>
      <c r="V637" s="68">
        <v>0</v>
      </c>
      <c r="W637" s="68">
        <v>0</v>
      </c>
      <c r="X637" s="68">
        <v>0</v>
      </c>
      <c r="Y637" s="375"/>
      <c r="Z637" s="375"/>
      <c r="AA637" s="313"/>
      <c r="AB637" s="76"/>
      <c r="AC637" s="76"/>
    </row>
    <row r="638" spans="1:29" ht="30" customHeight="1">
      <c r="A638" s="1004"/>
      <c r="B638" s="547" t="s">
        <v>10</v>
      </c>
      <c r="C638" s="11">
        <v>176</v>
      </c>
      <c r="D638" s="127" t="s">
        <v>494</v>
      </c>
      <c r="E638" s="127" t="s">
        <v>495</v>
      </c>
      <c r="F638" s="11">
        <v>6100470760</v>
      </c>
      <c r="G638" s="11" t="s">
        <v>460</v>
      </c>
      <c r="H638" s="6"/>
      <c r="I638" s="6"/>
      <c r="J638" s="6"/>
      <c r="K638" s="6"/>
      <c r="L638" s="6"/>
      <c r="M638" s="68"/>
      <c r="N638" s="68"/>
      <c r="O638" s="68"/>
      <c r="P638" s="68"/>
      <c r="Q638" s="68"/>
      <c r="R638" s="68">
        <f>R537</f>
        <v>1584007.8000000005</v>
      </c>
      <c r="S638" s="68">
        <f t="shared" ref="S638:X638" si="154">S537</f>
        <v>116704.47</v>
      </c>
      <c r="T638" s="68">
        <f t="shared" si="154"/>
        <v>203908.94000000003</v>
      </c>
      <c r="U638" s="68">
        <f t="shared" si="154"/>
        <v>259588.15999999995</v>
      </c>
      <c r="V638" s="68">
        <f t="shared" si="154"/>
        <v>1003806.23</v>
      </c>
      <c r="W638" s="68">
        <f t="shared" si="154"/>
        <v>2680728.5</v>
      </c>
      <c r="X638" s="68">
        <f t="shared" si="154"/>
        <v>3007488.1999999997</v>
      </c>
      <c r="Y638" s="374"/>
      <c r="Z638" s="374"/>
      <c r="AA638" s="313"/>
      <c r="AB638" s="76"/>
      <c r="AC638" s="76"/>
    </row>
    <row r="639" spans="1:29" ht="30" customHeight="1">
      <c r="A639" s="1004"/>
      <c r="B639" s="547" t="s">
        <v>10</v>
      </c>
      <c r="C639" s="11">
        <v>176</v>
      </c>
      <c r="D639" s="127" t="s">
        <v>494</v>
      </c>
      <c r="E639" s="127" t="s">
        <v>495</v>
      </c>
      <c r="F639" s="11">
        <v>6100502830</v>
      </c>
      <c r="G639" s="11">
        <v>244</v>
      </c>
      <c r="H639" s="6"/>
      <c r="I639" s="6"/>
      <c r="J639" s="6"/>
      <c r="K639" s="6"/>
      <c r="L639" s="6"/>
      <c r="M639" s="68"/>
      <c r="N639" s="68"/>
      <c r="O639" s="68"/>
      <c r="P639" s="68"/>
      <c r="Q639" s="68"/>
      <c r="R639" s="68">
        <f>R628</f>
        <v>20000</v>
      </c>
      <c r="S639" s="68">
        <f t="shared" ref="S639:X639" si="155">S628</f>
        <v>0</v>
      </c>
      <c r="T639" s="68">
        <f t="shared" si="155"/>
        <v>8000</v>
      </c>
      <c r="U639" s="68">
        <f t="shared" si="155"/>
        <v>6000</v>
      </c>
      <c r="V639" s="68">
        <f t="shared" si="155"/>
        <v>6000</v>
      </c>
      <c r="W639" s="68">
        <f t="shared" si="155"/>
        <v>20000</v>
      </c>
      <c r="X639" s="68">
        <f t="shared" si="155"/>
        <v>20000</v>
      </c>
      <c r="Y639" s="374"/>
      <c r="Z639" s="374"/>
      <c r="AA639" s="313"/>
      <c r="AB639" s="76"/>
      <c r="AC639" s="76"/>
    </row>
    <row r="640" spans="1:29" ht="30" customHeight="1">
      <c r="A640" s="1004"/>
      <c r="B640" s="547" t="s">
        <v>10</v>
      </c>
      <c r="C640" s="11">
        <v>176</v>
      </c>
      <c r="D640" s="127" t="s">
        <v>494</v>
      </c>
      <c r="E640" s="127" t="s">
        <v>495</v>
      </c>
      <c r="F640" s="11">
        <v>6100302810</v>
      </c>
      <c r="G640" s="11" t="s">
        <v>660</v>
      </c>
      <c r="H640" s="6"/>
      <c r="I640" s="6"/>
      <c r="J640" s="6"/>
      <c r="K640" s="6"/>
      <c r="L640" s="6"/>
      <c r="M640" s="68"/>
      <c r="N640" s="68"/>
      <c r="O640" s="68"/>
      <c r="P640" s="68"/>
      <c r="Q640" s="68"/>
      <c r="R640" s="68">
        <f t="shared" ref="R640:X641" si="156">R233</f>
        <v>5784590.8000000017</v>
      </c>
      <c r="S640" s="68">
        <f t="shared" si="156"/>
        <v>998726.07045999996</v>
      </c>
      <c r="T640" s="68">
        <f t="shared" si="156"/>
        <v>993036.58594999998</v>
      </c>
      <c r="U640" s="68">
        <f t="shared" si="156"/>
        <v>966489.28530999995</v>
      </c>
      <c r="V640" s="68">
        <f t="shared" si="156"/>
        <v>2826338.8582800012</v>
      </c>
      <c r="W640" s="68">
        <f t="shared" si="156"/>
        <v>4460964.7</v>
      </c>
      <c r="X640" s="68">
        <f t="shared" si="156"/>
        <v>7299797.9000000004</v>
      </c>
      <c r="Y640" s="374"/>
      <c r="Z640" s="374"/>
      <c r="AA640" s="313"/>
      <c r="AB640" s="76"/>
      <c r="AC640" s="76"/>
    </row>
    <row r="641" spans="1:26" ht="34.5" customHeight="1">
      <c r="A641" s="1004"/>
      <c r="B641" s="551" t="s">
        <v>502</v>
      </c>
      <c r="C641" s="11">
        <v>176</v>
      </c>
      <c r="D641" s="127" t="s">
        <v>494</v>
      </c>
      <c r="E641" s="127" t="s">
        <v>495</v>
      </c>
      <c r="F641" s="11">
        <v>6100353902</v>
      </c>
      <c r="G641" s="11" t="s">
        <v>660</v>
      </c>
      <c r="H641" s="6">
        <f>H234</f>
        <v>45736.5</v>
      </c>
      <c r="I641" s="6">
        <f>I234</f>
        <v>0</v>
      </c>
      <c r="J641" s="6" t="e">
        <f>J234</f>
        <v>#REF!</v>
      </c>
      <c r="K641" s="6" t="e">
        <f>K234</f>
        <v>#REF!</v>
      </c>
      <c r="L641" s="6">
        <f>L234</f>
        <v>0</v>
      </c>
      <c r="M641" s="68"/>
      <c r="N641" s="68"/>
      <c r="O641" s="68"/>
      <c r="P641" s="68"/>
      <c r="Q641" s="68"/>
      <c r="R641" s="68">
        <f t="shared" si="156"/>
        <v>0</v>
      </c>
      <c r="S641" s="68">
        <f t="shared" si="156"/>
        <v>0</v>
      </c>
      <c r="T641" s="68">
        <f t="shared" si="156"/>
        <v>0</v>
      </c>
      <c r="U641" s="68">
        <f t="shared" si="156"/>
        <v>0</v>
      </c>
      <c r="V641" s="68">
        <f t="shared" si="156"/>
        <v>0</v>
      </c>
      <c r="W641" s="68">
        <f t="shared" si="156"/>
        <v>0</v>
      </c>
      <c r="X641" s="68">
        <f t="shared" si="156"/>
        <v>0</v>
      </c>
      <c r="Y641" s="50"/>
      <c r="Z641" s="50"/>
    </row>
    <row r="642" spans="1:26" ht="34.5" hidden="1" customHeight="1">
      <c r="A642" s="1004"/>
      <c r="B642" s="547" t="s">
        <v>671</v>
      </c>
      <c r="C642" s="11">
        <v>176</v>
      </c>
      <c r="D642" s="127" t="s">
        <v>494</v>
      </c>
      <c r="E642" s="127" t="s">
        <v>495</v>
      </c>
      <c r="F642" s="11" t="s">
        <v>662</v>
      </c>
      <c r="G642" s="11" t="s">
        <v>660</v>
      </c>
      <c r="H642" s="6"/>
      <c r="I642" s="6"/>
      <c r="J642" s="6"/>
      <c r="K642" s="6"/>
      <c r="L642" s="6"/>
      <c r="M642" s="68"/>
      <c r="N642" s="68"/>
      <c r="O642" s="68"/>
      <c r="P642" s="68"/>
      <c r="Q642" s="68"/>
      <c r="R642" s="68">
        <v>0</v>
      </c>
      <c r="S642" s="68">
        <f>'Подробный перечень(БКАД)'!$H$776+'Подробный перечень(БКАД)'!$H$451</f>
        <v>0</v>
      </c>
      <c r="T642" s="68">
        <f>'Подробный перечень(БКАД)'!$I$451+'Подробный перечень(БКАД)'!$I$776</f>
        <v>0</v>
      </c>
      <c r="U642" s="68">
        <v>0</v>
      </c>
      <c r="V642" s="68">
        <v>0</v>
      </c>
      <c r="W642" s="68">
        <v>0</v>
      </c>
      <c r="X642" s="68">
        <v>0</v>
      </c>
      <c r="Y642" s="374"/>
      <c r="Z642" s="374"/>
    </row>
    <row r="643" spans="1:26" ht="34.5" hidden="1" customHeight="1">
      <c r="A643" s="1004"/>
      <c r="B643" s="547" t="s">
        <v>664</v>
      </c>
      <c r="C643" s="11">
        <v>176</v>
      </c>
      <c r="D643" s="127" t="s">
        <v>494</v>
      </c>
      <c r="E643" s="127" t="s">
        <v>495</v>
      </c>
      <c r="F643" s="11" t="s">
        <v>661</v>
      </c>
      <c r="G643" s="11" t="s">
        <v>460</v>
      </c>
      <c r="H643" s="6"/>
      <c r="I643" s="6"/>
      <c r="J643" s="6"/>
      <c r="K643" s="6"/>
      <c r="L643" s="6"/>
      <c r="M643" s="68"/>
      <c r="N643" s="68"/>
      <c r="O643" s="68"/>
      <c r="P643" s="68"/>
      <c r="Q643" s="68"/>
      <c r="R643" s="391">
        <v>0</v>
      </c>
      <c r="S643" s="391">
        <f>'Подробный перечень(БКАД)'!$H$1164</f>
        <v>0</v>
      </c>
      <c r="T643" s="391">
        <f>'Подробный перечень(БКАД)'!$I$1164</f>
        <v>0</v>
      </c>
      <c r="U643" s="391">
        <f>'Подробный перечень(БКАД)'!$J$1164</f>
        <v>0</v>
      </c>
      <c r="V643" s="391">
        <v>0</v>
      </c>
      <c r="W643" s="391">
        <v>0</v>
      </c>
      <c r="X643" s="391">
        <v>0</v>
      </c>
      <c r="Y643" s="374"/>
      <c r="Z643" s="374"/>
    </row>
    <row r="644" spans="1:26" ht="34.5" hidden="1" customHeight="1">
      <c r="A644" s="1004"/>
      <c r="B644" s="547" t="s">
        <v>443</v>
      </c>
      <c r="C644" s="11">
        <v>176</v>
      </c>
      <c r="D644" s="127" t="s">
        <v>494</v>
      </c>
      <c r="E644" s="127" t="s">
        <v>495</v>
      </c>
      <c r="F644" s="11">
        <v>6100102770</v>
      </c>
      <c r="G644" s="11" t="s">
        <v>28</v>
      </c>
      <c r="H644" s="6"/>
      <c r="I644" s="6"/>
      <c r="J644" s="6"/>
      <c r="K644" s="6"/>
      <c r="L644" s="6"/>
      <c r="M644" s="68"/>
      <c r="N644" s="68"/>
      <c r="O644" s="68"/>
      <c r="P644" s="68"/>
      <c r="Q644" s="68"/>
      <c r="R644" s="87"/>
      <c r="S644" s="87"/>
      <c r="T644" s="87"/>
      <c r="U644" s="87"/>
      <c r="V644" s="87"/>
      <c r="W644" s="68"/>
      <c r="X644" s="87"/>
      <c r="Y644" s="374"/>
      <c r="Z644" s="374"/>
    </row>
    <row r="645" spans="1:26" ht="27.75" customHeight="1">
      <c r="A645" s="1004"/>
      <c r="B645" s="547" t="s">
        <v>11</v>
      </c>
      <c r="C645" s="11"/>
      <c r="D645" s="11"/>
      <c r="E645" s="127"/>
      <c r="F645" s="11"/>
      <c r="G645" s="11"/>
      <c r="H645" s="6">
        <f t="shared" ref="H645:Q645" si="157">H539</f>
        <v>338311.1</v>
      </c>
      <c r="I645" s="6">
        <f t="shared" si="157"/>
        <v>23511.642</v>
      </c>
      <c r="J645" s="6">
        <f t="shared" si="157"/>
        <v>50374.6</v>
      </c>
      <c r="K645" s="6">
        <f t="shared" si="157"/>
        <v>50374.6</v>
      </c>
      <c r="L645" s="6">
        <f t="shared" si="157"/>
        <v>214050.258</v>
      </c>
      <c r="M645" s="68" t="e">
        <f t="shared" si="157"/>
        <v>#REF!</v>
      </c>
      <c r="N645" s="68" t="e">
        <f t="shared" si="157"/>
        <v>#REF!</v>
      </c>
      <c r="O645" s="68" t="e">
        <f t="shared" si="157"/>
        <v>#REF!</v>
      </c>
      <c r="P645" s="68" t="e">
        <f t="shared" si="157"/>
        <v>#REF!</v>
      </c>
      <c r="Q645" s="68" t="e">
        <f t="shared" si="157"/>
        <v>#REF!</v>
      </c>
      <c r="R645" s="87">
        <f>R539</f>
        <v>83368.8315789474</v>
      </c>
      <c r="S645" s="87">
        <f t="shared" ref="S645:X645" si="158">S539</f>
        <v>6142.3405263157902</v>
      </c>
      <c r="T645" s="87">
        <f t="shared" si="158"/>
        <v>10732.049473684214</v>
      </c>
      <c r="U645" s="87">
        <f t="shared" si="158"/>
        <v>13662.534736842104</v>
      </c>
      <c r="V645" s="87">
        <f t="shared" si="158"/>
        <v>52831.906842105265</v>
      </c>
      <c r="W645" s="68">
        <f t="shared" si="158"/>
        <v>141090.97368421053</v>
      </c>
      <c r="X645" s="87">
        <f t="shared" si="158"/>
        <v>158288.85263157895</v>
      </c>
      <c r="Y645" s="50"/>
      <c r="Z645" s="50"/>
    </row>
    <row r="646" spans="1:26" ht="36.75" customHeight="1">
      <c r="A646" s="1004"/>
      <c r="B646" s="811" t="s">
        <v>454</v>
      </c>
      <c r="C646" s="777"/>
      <c r="D646" s="777"/>
      <c r="E646" s="127"/>
      <c r="F646" s="777"/>
      <c r="G646" s="777"/>
      <c r="H646" s="6"/>
      <c r="I646" s="6"/>
      <c r="J646" s="6"/>
      <c r="K646" s="6"/>
      <c r="L646" s="6"/>
      <c r="M646" s="68"/>
      <c r="N646" s="68"/>
      <c r="O646" s="68"/>
      <c r="P646" s="68"/>
      <c r="Q646" s="68"/>
      <c r="R646" s="87"/>
      <c r="S646" s="87"/>
      <c r="T646" s="87"/>
      <c r="U646" s="87"/>
      <c r="V646" s="87"/>
      <c r="W646" s="68"/>
      <c r="X646" s="87"/>
      <c r="Y646" s="805"/>
      <c r="Z646" s="805"/>
    </row>
    <row r="647" spans="1:26" ht="24" customHeight="1">
      <c r="A647" s="1005"/>
      <c r="B647" s="547" t="s">
        <v>1061</v>
      </c>
      <c r="C647" s="11"/>
      <c r="D647" s="11"/>
      <c r="E647" s="127"/>
      <c r="F647" s="11"/>
      <c r="G647" s="11"/>
      <c r="H647" s="6">
        <v>0</v>
      </c>
      <c r="I647" s="6">
        <v>0</v>
      </c>
      <c r="J647" s="6">
        <v>0</v>
      </c>
      <c r="K647" s="6">
        <v>0</v>
      </c>
      <c r="L647" s="6">
        <v>0</v>
      </c>
      <c r="M647" s="61">
        <v>0</v>
      </c>
      <c r="N647" s="61"/>
      <c r="O647" s="61"/>
      <c r="P647" s="61"/>
      <c r="Q647" s="61"/>
      <c r="R647" s="95">
        <v>0</v>
      </c>
      <c r="S647" s="95"/>
      <c r="T647" s="95"/>
      <c r="U647" s="95"/>
      <c r="V647" s="95"/>
      <c r="W647" s="60"/>
      <c r="X647" s="60"/>
      <c r="Y647" s="50"/>
      <c r="Z647" s="50"/>
    </row>
    <row r="648" spans="1:26" hidden="1">
      <c r="A648" s="16"/>
      <c r="B648" s="546"/>
      <c r="C648" s="50"/>
      <c r="D648" s="334"/>
      <c r="E648" s="50"/>
      <c r="F648" s="50"/>
      <c r="G648" s="50"/>
      <c r="H648" s="1"/>
      <c r="I648" s="1"/>
      <c r="J648" s="1"/>
      <c r="K648" s="1"/>
      <c r="L648" s="1"/>
      <c r="M648" s="1"/>
      <c r="N648" s="1"/>
      <c r="O648" s="1"/>
      <c r="P648" s="1"/>
      <c r="Q648" s="1"/>
      <c r="R648" s="88"/>
      <c r="S648" s="88"/>
      <c r="T648" s="88"/>
      <c r="U648" s="88"/>
      <c r="V648" s="88"/>
      <c r="W648" s="25"/>
      <c r="X648" s="25"/>
      <c r="Y648" s="50"/>
      <c r="Z648" s="50"/>
    </row>
    <row r="649" spans="1:26" ht="28.15" hidden="1" customHeight="1">
      <c r="A649" s="1020" t="s">
        <v>81</v>
      </c>
      <c r="B649" s="1021"/>
      <c r="C649" s="1021"/>
      <c r="D649" s="1021"/>
      <c r="E649" s="1021"/>
      <c r="F649" s="1021"/>
      <c r="G649" s="1021"/>
      <c r="H649" s="1021"/>
      <c r="I649" s="1021"/>
      <c r="J649" s="1021"/>
      <c r="K649" s="1021"/>
      <c r="L649" s="1021"/>
      <c r="M649" s="1021"/>
      <c r="N649" s="1021"/>
      <c r="O649" s="1021"/>
      <c r="P649" s="1021"/>
      <c r="Q649" s="1021"/>
      <c r="R649" s="1021"/>
      <c r="S649" s="1021"/>
      <c r="T649" s="1021"/>
      <c r="U649" s="1021"/>
      <c r="V649" s="1021"/>
      <c r="W649" s="1021"/>
      <c r="X649" s="1021"/>
      <c r="Y649" s="1021"/>
      <c r="Z649" s="1022"/>
    </row>
    <row r="650" spans="1:26" ht="75.599999999999994" hidden="1" customHeight="1">
      <c r="A650" s="40" t="s">
        <v>82</v>
      </c>
      <c r="B650" s="546"/>
      <c r="C650" s="50"/>
      <c r="D650" s="334"/>
      <c r="E650" s="50"/>
      <c r="F650" s="50"/>
      <c r="G650" s="50"/>
      <c r="H650" s="1"/>
      <c r="I650" s="1"/>
      <c r="J650" s="1"/>
      <c r="K650" s="1"/>
      <c r="L650" s="1"/>
      <c r="M650" s="1"/>
      <c r="N650" s="1"/>
      <c r="O650" s="1"/>
      <c r="P650" s="1"/>
      <c r="Q650" s="1"/>
      <c r="R650" s="88"/>
      <c r="S650" s="88"/>
      <c r="T650" s="88"/>
      <c r="U650" s="88"/>
      <c r="V650" s="88"/>
      <c r="W650" s="25"/>
      <c r="X650" s="25"/>
      <c r="Y650" s="50" t="s">
        <v>88</v>
      </c>
      <c r="Z650" s="50"/>
    </row>
    <row r="651" spans="1:26" ht="26.45" hidden="1" customHeight="1">
      <c r="A651" s="967" t="s">
        <v>83</v>
      </c>
      <c r="B651" s="546" t="s">
        <v>89</v>
      </c>
      <c r="C651" s="50"/>
      <c r="D651" s="334"/>
      <c r="E651" s="50"/>
      <c r="F651" s="50"/>
      <c r="G651" s="50"/>
      <c r="H651" s="1"/>
      <c r="I651" s="1"/>
      <c r="J651" s="1"/>
      <c r="K651" s="1"/>
      <c r="L651" s="1"/>
      <c r="M651" s="1"/>
      <c r="N651" s="1"/>
      <c r="O651" s="1"/>
      <c r="P651" s="1"/>
      <c r="Q651" s="1"/>
      <c r="R651" s="88">
        <v>18</v>
      </c>
      <c r="S651" s="88"/>
      <c r="T651" s="88"/>
      <c r="U651" s="88"/>
      <c r="V651" s="88"/>
      <c r="W651" s="25"/>
      <c r="X651" s="25"/>
      <c r="Y651" s="50"/>
      <c r="Z651" s="978" t="s">
        <v>84</v>
      </c>
    </row>
    <row r="652" spans="1:26" ht="25.5" hidden="1">
      <c r="A652" s="967"/>
      <c r="B652" s="546" t="s">
        <v>24</v>
      </c>
      <c r="C652" s="50"/>
      <c r="D652" s="334"/>
      <c r="E652" s="50"/>
      <c r="F652" s="50"/>
      <c r="G652" s="50"/>
      <c r="H652" s="1"/>
      <c r="I652" s="1"/>
      <c r="J652" s="1"/>
      <c r="K652" s="1"/>
      <c r="L652" s="1"/>
      <c r="M652" s="1"/>
      <c r="N652" s="1"/>
      <c r="O652" s="1"/>
      <c r="P652" s="1"/>
      <c r="Q652" s="1"/>
      <c r="R652" s="88"/>
      <c r="S652" s="88"/>
      <c r="T652" s="88"/>
      <c r="U652" s="88"/>
      <c r="V652" s="88"/>
      <c r="W652" s="25"/>
      <c r="X652" s="25"/>
      <c r="Y652" s="50"/>
      <c r="Z652" s="978"/>
    </row>
    <row r="653" spans="1:26" hidden="1">
      <c r="A653" s="967"/>
      <c r="B653" s="546" t="s">
        <v>25</v>
      </c>
      <c r="C653" s="50">
        <v>176</v>
      </c>
      <c r="D653" s="334" t="s">
        <v>15</v>
      </c>
      <c r="E653" s="50" t="s">
        <v>15</v>
      </c>
      <c r="F653" s="50">
        <v>6100404</v>
      </c>
      <c r="G653" s="50">
        <v>414</v>
      </c>
      <c r="H653" s="2">
        <f>SUM(H655:H658)</f>
        <v>8282000</v>
      </c>
      <c r="I653" s="2"/>
      <c r="J653" s="2"/>
      <c r="K653" s="2"/>
      <c r="L653" s="2"/>
      <c r="M653" s="2">
        <f>SUM(M655:M658)</f>
        <v>8282000</v>
      </c>
      <c r="N653" s="2"/>
      <c r="O653" s="2"/>
      <c r="P653" s="2"/>
      <c r="Q653" s="2"/>
      <c r="R653" s="96">
        <f>SUM(R655:R658)</f>
        <v>8282000</v>
      </c>
      <c r="S653" s="96"/>
      <c r="T653" s="96"/>
      <c r="U653" s="96"/>
      <c r="V653" s="96"/>
      <c r="W653" s="2"/>
      <c r="X653" s="2"/>
      <c r="Y653" s="50"/>
      <c r="Z653" s="978"/>
    </row>
    <row r="654" spans="1:26" hidden="1">
      <c r="A654" s="967"/>
      <c r="B654" s="546" t="s">
        <v>9</v>
      </c>
      <c r="C654" s="50"/>
      <c r="D654" s="334"/>
      <c r="E654" s="50"/>
      <c r="F654" s="50"/>
      <c r="G654" s="50"/>
      <c r="H654" s="2"/>
      <c r="I654" s="2"/>
      <c r="J654" s="2"/>
      <c r="K654" s="2"/>
      <c r="L654" s="2"/>
      <c r="M654" s="2"/>
      <c r="N654" s="2"/>
      <c r="O654" s="2"/>
      <c r="P654" s="2"/>
      <c r="Q654" s="2"/>
      <c r="R654" s="88"/>
      <c r="S654" s="88"/>
      <c r="T654" s="88"/>
      <c r="U654" s="88"/>
      <c r="V654" s="88"/>
      <c r="W654" s="25"/>
      <c r="X654" s="25"/>
      <c r="Y654" s="50"/>
      <c r="Z654" s="978"/>
    </row>
    <row r="655" spans="1:26" hidden="1">
      <c r="A655" s="967"/>
      <c r="B655" s="546" t="s">
        <v>10</v>
      </c>
      <c r="C655" s="50">
        <v>176</v>
      </c>
      <c r="D655" s="334" t="s">
        <v>15</v>
      </c>
      <c r="E655" s="50" t="s">
        <v>15</v>
      </c>
      <c r="F655" s="50">
        <v>6100404</v>
      </c>
      <c r="G655" s="50">
        <v>414</v>
      </c>
      <c r="H655" s="2"/>
      <c r="I655" s="2"/>
      <c r="J655" s="2"/>
      <c r="K655" s="2"/>
      <c r="L655" s="2"/>
      <c r="M655" s="2"/>
      <c r="N655" s="2"/>
      <c r="O655" s="2"/>
      <c r="P655" s="2"/>
      <c r="Q655" s="2"/>
      <c r="R655" s="88"/>
      <c r="S655" s="88"/>
      <c r="T655" s="88"/>
      <c r="U655" s="88"/>
      <c r="V655" s="88"/>
      <c r="W655" s="25"/>
      <c r="X655" s="25"/>
      <c r="Y655" s="50"/>
      <c r="Z655" s="978"/>
    </row>
    <row r="656" spans="1:26" hidden="1">
      <c r="A656" s="967"/>
      <c r="B656" s="546" t="s">
        <v>34</v>
      </c>
      <c r="C656" s="50"/>
      <c r="D656" s="334"/>
      <c r="E656" s="50"/>
      <c r="F656" s="50"/>
      <c r="G656" s="50"/>
      <c r="H656" s="2"/>
      <c r="I656" s="2"/>
      <c r="J656" s="2"/>
      <c r="K656" s="2"/>
      <c r="L656" s="2"/>
      <c r="M656" s="2"/>
      <c r="N656" s="2"/>
      <c r="O656" s="2"/>
      <c r="P656" s="2"/>
      <c r="Q656" s="2"/>
      <c r="R656" s="88"/>
      <c r="S656" s="88"/>
      <c r="T656" s="88"/>
      <c r="U656" s="88"/>
      <c r="V656" s="88"/>
      <c r="W656" s="25"/>
      <c r="X656" s="25"/>
      <c r="Y656" s="50"/>
      <c r="Z656" s="978"/>
    </row>
    <row r="657" spans="1:26" hidden="1">
      <c r="A657" s="967"/>
      <c r="B657" s="546" t="s">
        <v>90</v>
      </c>
      <c r="C657" s="50"/>
      <c r="D657" s="334"/>
      <c r="E657" s="50"/>
      <c r="F657" s="50"/>
      <c r="G657" s="50"/>
      <c r="H657" s="2"/>
      <c r="I657" s="2"/>
      <c r="J657" s="2"/>
      <c r="K657" s="2"/>
      <c r="L657" s="2"/>
      <c r="M657" s="2"/>
      <c r="N657" s="2"/>
      <c r="O657" s="2"/>
      <c r="P657" s="2"/>
      <c r="Q657" s="2"/>
      <c r="R657" s="88"/>
      <c r="S657" s="88"/>
      <c r="T657" s="88"/>
      <c r="U657" s="88"/>
      <c r="V657" s="88"/>
      <c r="W657" s="25"/>
      <c r="X657" s="25"/>
      <c r="Y657" s="50"/>
      <c r="Z657" s="978"/>
    </row>
    <row r="658" spans="1:26" ht="25.5" hidden="1">
      <c r="A658" s="967"/>
      <c r="B658" s="546" t="s">
        <v>80</v>
      </c>
      <c r="C658" s="50"/>
      <c r="D658" s="334"/>
      <c r="E658" s="50"/>
      <c r="F658" s="50"/>
      <c r="G658" s="50"/>
      <c r="H658" s="2">
        <v>8282000</v>
      </c>
      <c r="I658" s="2"/>
      <c r="J658" s="2"/>
      <c r="K658" s="2"/>
      <c r="L658" s="2"/>
      <c r="M658" s="2">
        <v>8282000</v>
      </c>
      <c r="N658" s="2"/>
      <c r="O658" s="2"/>
      <c r="P658" s="2"/>
      <c r="Q658" s="2"/>
      <c r="R658" s="96">
        <v>8282000</v>
      </c>
      <c r="S658" s="96"/>
      <c r="T658" s="96"/>
      <c r="U658" s="96"/>
      <c r="V658" s="96"/>
      <c r="W658" s="2"/>
      <c r="X658" s="2"/>
      <c r="Y658" s="50"/>
      <c r="Z658" s="978"/>
    </row>
    <row r="659" spans="1:26" ht="8.4499999999999993" hidden="1" customHeight="1">
      <c r="A659" s="16"/>
      <c r="B659" s="546"/>
      <c r="C659" s="50"/>
      <c r="D659" s="334"/>
      <c r="E659" s="50"/>
      <c r="F659" s="50"/>
      <c r="G659" s="50"/>
      <c r="H659" s="3"/>
      <c r="I659" s="3"/>
      <c r="J659" s="3"/>
      <c r="K659" s="3"/>
      <c r="L659" s="3"/>
      <c r="M659" s="3"/>
      <c r="N659" s="3"/>
      <c r="O659" s="3"/>
      <c r="P659" s="3"/>
      <c r="Q659" s="3"/>
      <c r="R659" s="88"/>
      <c r="S659" s="88"/>
      <c r="T659" s="88"/>
      <c r="U659" s="88"/>
      <c r="V659" s="88"/>
      <c r="W659" s="25"/>
      <c r="X659" s="25"/>
      <c r="Y659" s="50"/>
      <c r="Z659" s="50"/>
    </row>
    <row r="660" spans="1:26" ht="30" hidden="1" customHeight="1">
      <c r="A660" s="967" t="s">
        <v>85</v>
      </c>
      <c r="B660" s="546" t="s">
        <v>89</v>
      </c>
      <c r="C660" s="50"/>
      <c r="D660" s="334"/>
      <c r="E660" s="50"/>
      <c r="F660" s="50"/>
      <c r="G660" s="50"/>
      <c r="H660" s="3"/>
      <c r="I660" s="3"/>
      <c r="J660" s="3"/>
      <c r="K660" s="3"/>
      <c r="L660" s="3"/>
      <c r="M660" s="3"/>
      <c r="N660" s="3"/>
      <c r="O660" s="3"/>
      <c r="P660" s="3"/>
      <c r="Q660" s="3"/>
      <c r="R660" s="88"/>
      <c r="S660" s="88"/>
      <c r="T660" s="88"/>
      <c r="U660" s="88"/>
      <c r="V660" s="88"/>
      <c r="W660" s="25"/>
      <c r="X660" s="25"/>
      <c r="Y660" s="50" t="s">
        <v>26</v>
      </c>
      <c r="Z660" s="978" t="s">
        <v>87</v>
      </c>
    </row>
    <row r="661" spans="1:26" ht="25.5" hidden="1">
      <c r="A661" s="967"/>
      <c r="B661" s="546" t="s">
        <v>24</v>
      </c>
      <c r="C661" s="50"/>
      <c r="D661" s="334"/>
      <c r="E661" s="50"/>
      <c r="F661" s="50"/>
      <c r="G661" s="50"/>
      <c r="H661" s="3"/>
      <c r="I661" s="3"/>
      <c r="J661" s="3"/>
      <c r="K661" s="3"/>
      <c r="L661" s="3"/>
      <c r="M661" s="3"/>
      <c r="N661" s="3"/>
      <c r="O661" s="3"/>
      <c r="P661" s="3"/>
      <c r="Q661" s="3"/>
      <c r="R661" s="88"/>
      <c r="S661" s="88"/>
      <c r="T661" s="88"/>
      <c r="U661" s="88"/>
      <c r="V661" s="88"/>
      <c r="W661" s="25"/>
      <c r="X661" s="25"/>
      <c r="Y661" s="50"/>
      <c r="Z661" s="978"/>
    </row>
    <row r="662" spans="1:26" hidden="1">
      <c r="A662" s="967"/>
      <c r="B662" s="546" t="s">
        <v>25</v>
      </c>
      <c r="C662" s="50">
        <v>176</v>
      </c>
      <c r="D662" s="334" t="s">
        <v>15</v>
      </c>
      <c r="E662" s="50" t="s">
        <v>15</v>
      </c>
      <c r="F662" s="50">
        <v>6100404</v>
      </c>
      <c r="G662" s="50">
        <v>414</v>
      </c>
      <c r="H662" s="3">
        <f>SUM(H664:H667)</f>
        <v>0</v>
      </c>
      <c r="I662" s="3"/>
      <c r="J662" s="3"/>
      <c r="K662" s="3"/>
      <c r="L662" s="3"/>
      <c r="M662" s="3">
        <f>SUM(M664:M667)</f>
        <v>0</v>
      </c>
      <c r="N662" s="3"/>
      <c r="O662" s="3"/>
      <c r="P662" s="3"/>
      <c r="Q662" s="3"/>
      <c r="R662" s="96">
        <f>SUM(R664:R667)</f>
        <v>41000</v>
      </c>
      <c r="S662" s="96"/>
      <c r="T662" s="96"/>
      <c r="U662" s="96"/>
      <c r="V662" s="96"/>
      <c r="W662" s="2"/>
      <c r="X662" s="2"/>
      <c r="Y662" s="50"/>
      <c r="Z662" s="978"/>
    </row>
    <row r="663" spans="1:26" hidden="1">
      <c r="A663" s="967"/>
      <c r="B663" s="546" t="s">
        <v>9</v>
      </c>
      <c r="C663" s="50"/>
      <c r="D663" s="334"/>
      <c r="E663" s="50"/>
      <c r="F663" s="50"/>
      <c r="G663" s="50"/>
      <c r="H663" s="3"/>
      <c r="I663" s="3"/>
      <c r="J663" s="3"/>
      <c r="K663" s="3"/>
      <c r="L663" s="3"/>
      <c r="M663" s="3"/>
      <c r="N663" s="3"/>
      <c r="O663" s="3"/>
      <c r="P663" s="3"/>
      <c r="Q663" s="3"/>
      <c r="R663" s="88"/>
      <c r="S663" s="88"/>
      <c r="T663" s="88"/>
      <c r="U663" s="88"/>
      <c r="V663" s="88"/>
      <c r="W663" s="25"/>
      <c r="X663" s="25"/>
      <c r="Y663" s="50"/>
      <c r="Z663" s="978"/>
    </row>
    <row r="664" spans="1:26" hidden="1">
      <c r="A664" s="967"/>
      <c r="B664" s="546" t="s">
        <v>10</v>
      </c>
      <c r="C664" s="50">
        <v>176</v>
      </c>
      <c r="D664" s="334" t="s">
        <v>15</v>
      </c>
      <c r="E664" s="50" t="s">
        <v>15</v>
      </c>
      <c r="F664" s="50">
        <v>6100404</v>
      </c>
      <c r="G664" s="50">
        <v>414</v>
      </c>
      <c r="H664" s="3"/>
      <c r="I664" s="3"/>
      <c r="J664" s="3"/>
      <c r="K664" s="3"/>
      <c r="L664" s="3"/>
      <c r="M664" s="3"/>
      <c r="N664" s="3"/>
      <c r="O664" s="3"/>
      <c r="P664" s="3"/>
      <c r="Q664" s="3"/>
      <c r="R664" s="88">
        <v>41000</v>
      </c>
      <c r="S664" s="88"/>
      <c r="T664" s="88"/>
      <c r="U664" s="88"/>
      <c r="V664" s="88"/>
      <c r="W664" s="25"/>
      <c r="X664" s="25"/>
      <c r="Y664" s="50"/>
      <c r="Z664" s="978"/>
    </row>
    <row r="665" spans="1:26" hidden="1">
      <c r="A665" s="967"/>
      <c r="B665" s="546" t="s">
        <v>34</v>
      </c>
      <c r="C665" s="50"/>
      <c r="D665" s="334"/>
      <c r="E665" s="50"/>
      <c r="F665" s="50"/>
      <c r="G665" s="50"/>
      <c r="H665" s="3"/>
      <c r="I665" s="3"/>
      <c r="J665" s="3"/>
      <c r="K665" s="3"/>
      <c r="L665" s="3"/>
      <c r="M665" s="3"/>
      <c r="N665" s="3"/>
      <c r="O665" s="3"/>
      <c r="P665" s="3"/>
      <c r="Q665" s="3"/>
      <c r="R665" s="88"/>
      <c r="S665" s="88"/>
      <c r="T665" s="88"/>
      <c r="U665" s="88"/>
      <c r="V665" s="88"/>
      <c r="W665" s="25"/>
      <c r="X665" s="25"/>
      <c r="Y665" s="50"/>
      <c r="Z665" s="978"/>
    </row>
    <row r="666" spans="1:26" hidden="1">
      <c r="A666" s="967"/>
      <c r="B666" s="546" t="s">
        <v>11</v>
      </c>
      <c r="C666" s="50"/>
      <c r="D666" s="334"/>
      <c r="E666" s="50"/>
      <c r="F666" s="50"/>
      <c r="G666" s="50"/>
      <c r="H666" s="3"/>
      <c r="I666" s="3"/>
      <c r="J666" s="3"/>
      <c r="K666" s="3"/>
      <c r="L666" s="3"/>
      <c r="M666" s="3"/>
      <c r="N666" s="3"/>
      <c r="O666" s="3"/>
      <c r="P666" s="3"/>
      <c r="Q666" s="3"/>
      <c r="R666" s="88"/>
      <c r="S666" s="88"/>
      <c r="T666" s="88"/>
      <c r="U666" s="88"/>
      <c r="V666" s="88"/>
      <c r="W666" s="25"/>
      <c r="X666" s="25"/>
      <c r="Y666" s="50"/>
      <c r="Z666" s="978"/>
    </row>
    <row r="667" spans="1:26" ht="25.5" hidden="1">
      <c r="A667" s="967"/>
      <c r="B667" s="546" t="s">
        <v>80</v>
      </c>
      <c r="C667" s="50"/>
      <c r="D667" s="334"/>
      <c r="E667" s="50"/>
      <c r="F667" s="50"/>
      <c r="G667" s="50"/>
      <c r="H667" s="3"/>
      <c r="I667" s="3"/>
      <c r="J667" s="3"/>
      <c r="K667" s="3"/>
      <c r="L667" s="3"/>
      <c r="M667" s="3"/>
      <c r="N667" s="3"/>
      <c r="O667" s="3"/>
      <c r="P667" s="3"/>
      <c r="Q667" s="3"/>
      <c r="R667" s="88"/>
      <c r="S667" s="88"/>
      <c r="T667" s="88"/>
      <c r="U667" s="88"/>
      <c r="V667" s="88"/>
      <c r="W667" s="25"/>
      <c r="X667" s="25"/>
      <c r="Y667" s="50"/>
      <c r="Z667" s="978"/>
    </row>
    <row r="668" spans="1:26" ht="10.15" hidden="1" customHeight="1">
      <c r="A668" s="16"/>
      <c r="B668" s="546"/>
      <c r="C668" s="50"/>
      <c r="D668" s="334"/>
      <c r="E668" s="50"/>
      <c r="F668" s="50"/>
      <c r="G668" s="50"/>
      <c r="H668" s="1"/>
      <c r="I668" s="1"/>
      <c r="J668" s="1"/>
      <c r="K668" s="1"/>
      <c r="L668" s="1"/>
      <c r="M668" s="1"/>
      <c r="N668" s="1"/>
      <c r="O668" s="1"/>
      <c r="P668" s="1"/>
      <c r="Q668" s="1"/>
      <c r="R668" s="88"/>
      <c r="S668" s="88"/>
      <c r="T668" s="88"/>
      <c r="U668" s="88"/>
      <c r="V668" s="88"/>
      <c r="W668" s="25"/>
      <c r="X668" s="25"/>
      <c r="Y668" s="50"/>
      <c r="Z668" s="50"/>
    </row>
    <row r="669" spans="1:26" hidden="1">
      <c r="A669" s="1019" t="s">
        <v>86</v>
      </c>
      <c r="B669" s="546" t="s">
        <v>25</v>
      </c>
      <c r="C669" s="50">
        <v>176</v>
      </c>
      <c r="D669" s="334" t="s">
        <v>15</v>
      </c>
      <c r="E669" s="50" t="s">
        <v>15</v>
      </c>
      <c r="F669" s="50" t="s">
        <v>16</v>
      </c>
      <c r="G669" s="50" t="s">
        <v>28</v>
      </c>
      <c r="H669" s="4">
        <f>H653+H662</f>
        <v>8282000</v>
      </c>
      <c r="I669" s="4"/>
      <c r="J669" s="4"/>
      <c r="K669" s="4"/>
      <c r="L669" s="4"/>
      <c r="M669" s="4">
        <f>M653+M662</f>
        <v>8282000</v>
      </c>
      <c r="N669" s="4"/>
      <c r="O669" s="4"/>
      <c r="P669" s="4"/>
      <c r="Q669" s="4"/>
      <c r="R669" s="97">
        <f>R653+R662</f>
        <v>8323000</v>
      </c>
      <c r="S669" s="97"/>
      <c r="T669" s="97"/>
      <c r="U669" s="97"/>
      <c r="V669" s="97"/>
      <c r="W669" s="4"/>
      <c r="X669" s="4"/>
      <c r="Y669" s="50"/>
      <c r="Z669" s="50"/>
    </row>
    <row r="670" spans="1:26" hidden="1">
      <c r="A670" s="1019"/>
      <c r="B670" s="546" t="s">
        <v>9</v>
      </c>
      <c r="C670" s="50"/>
      <c r="D670" s="334"/>
      <c r="E670" s="50"/>
      <c r="F670" s="50"/>
      <c r="G670" s="50"/>
      <c r="H670" s="1"/>
      <c r="I670" s="1"/>
      <c r="J670" s="1"/>
      <c r="K670" s="1"/>
      <c r="L670" s="1"/>
      <c r="M670" s="1"/>
      <c r="N670" s="1"/>
      <c r="O670" s="1"/>
      <c r="P670" s="1"/>
      <c r="Q670" s="1"/>
      <c r="R670" s="88"/>
      <c r="S670" s="88"/>
      <c r="T670" s="88"/>
      <c r="U670" s="88"/>
      <c r="V670" s="88"/>
      <c r="W670" s="25"/>
      <c r="X670" s="25"/>
      <c r="Y670" s="50"/>
      <c r="Z670" s="50"/>
    </row>
    <row r="671" spans="1:26" hidden="1">
      <c r="A671" s="1019"/>
      <c r="B671" s="546" t="s">
        <v>10</v>
      </c>
      <c r="C671" s="50">
        <v>176</v>
      </c>
      <c r="D671" s="334" t="s">
        <v>15</v>
      </c>
      <c r="E671" s="50" t="s">
        <v>15</v>
      </c>
      <c r="F671" s="50" t="s">
        <v>16</v>
      </c>
      <c r="G671" s="50" t="s">
        <v>28</v>
      </c>
      <c r="H671" s="1">
        <f>H664</f>
        <v>0</v>
      </c>
      <c r="I671" s="1"/>
      <c r="J671" s="1"/>
      <c r="K671" s="1"/>
      <c r="L671" s="1"/>
      <c r="M671" s="1">
        <f>M664</f>
        <v>0</v>
      </c>
      <c r="N671" s="1"/>
      <c r="O671" s="1"/>
      <c r="P671" s="1"/>
      <c r="Q671" s="1"/>
      <c r="R671" s="98">
        <f>R664</f>
        <v>41000</v>
      </c>
      <c r="S671" s="98"/>
      <c r="T671" s="98"/>
      <c r="U671" s="98"/>
      <c r="V671" s="98"/>
      <c r="W671" s="1"/>
      <c r="X671" s="1"/>
      <c r="Y671" s="50"/>
      <c r="Z671" s="50"/>
    </row>
    <row r="672" spans="1:26" hidden="1">
      <c r="A672" s="1019"/>
      <c r="B672" s="546" t="s">
        <v>34</v>
      </c>
      <c r="C672" s="50">
        <v>176</v>
      </c>
      <c r="D672" s="334" t="s">
        <v>15</v>
      </c>
      <c r="E672" s="50" t="s">
        <v>15</v>
      </c>
      <c r="F672" s="50" t="s">
        <v>27</v>
      </c>
      <c r="G672" s="50" t="s">
        <v>28</v>
      </c>
      <c r="H672" s="4"/>
      <c r="I672" s="4"/>
      <c r="J672" s="4"/>
      <c r="K672" s="4"/>
      <c r="L672" s="4"/>
      <c r="M672" s="4"/>
      <c r="N672" s="4"/>
      <c r="O672" s="4"/>
      <c r="P672" s="4"/>
      <c r="Q672" s="4"/>
      <c r="R672" s="88"/>
      <c r="S672" s="88"/>
      <c r="T672" s="88"/>
      <c r="U672" s="88"/>
      <c r="V672" s="88"/>
      <c r="W672" s="25"/>
      <c r="X672" s="25"/>
      <c r="Y672" s="50"/>
      <c r="Z672" s="50"/>
    </row>
    <row r="673" spans="1:34" hidden="1">
      <c r="A673" s="1019"/>
      <c r="B673" s="546" t="s">
        <v>90</v>
      </c>
      <c r="C673" s="50"/>
      <c r="D673" s="334"/>
      <c r="E673" s="50"/>
      <c r="F673" s="50"/>
      <c r="G673" s="50"/>
      <c r="H673" s="4"/>
      <c r="I673" s="4"/>
      <c r="J673" s="4"/>
      <c r="K673" s="4"/>
      <c r="L673" s="4"/>
      <c r="M673" s="4"/>
      <c r="N673" s="4"/>
      <c r="O673" s="4"/>
      <c r="P673" s="4"/>
      <c r="Q673" s="4"/>
      <c r="R673" s="88"/>
      <c r="S673" s="88"/>
      <c r="T673" s="88"/>
      <c r="U673" s="88"/>
      <c r="V673" s="88"/>
      <c r="W673" s="25"/>
      <c r="X673" s="25"/>
      <c r="Y673" s="50"/>
      <c r="Z673" s="50"/>
    </row>
    <row r="674" spans="1:34" ht="25.5" hidden="1">
      <c r="A674" s="1019"/>
      <c r="B674" s="546" t="s">
        <v>80</v>
      </c>
      <c r="C674" s="50"/>
      <c r="D674" s="334"/>
      <c r="E674" s="50"/>
      <c r="F674" s="50"/>
      <c r="G674" s="50"/>
      <c r="H674" s="4">
        <f>H658</f>
        <v>8282000</v>
      </c>
      <c r="I674" s="4"/>
      <c r="J674" s="4"/>
      <c r="K674" s="4"/>
      <c r="L674" s="4"/>
      <c r="M674" s="4">
        <f>M658</f>
        <v>8282000</v>
      </c>
      <c r="N674" s="4"/>
      <c r="O674" s="4"/>
      <c r="P674" s="4"/>
      <c r="Q674" s="4"/>
      <c r="R674" s="97">
        <f>R658</f>
        <v>8282000</v>
      </c>
      <c r="S674" s="97"/>
      <c r="T674" s="97"/>
      <c r="U674" s="97"/>
      <c r="V674" s="97"/>
      <c r="W674" s="4"/>
      <c r="X674" s="4"/>
      <c r="Y674" s="50"/>
      <c r="Z674" s="50"/>
    </row>
    <row r="675" spans="1:34" ht="28.5" customHeight="1">
      <c r="A675" s="1017" t="s">
        <v>1097</v>
      </c>
      <c r="B675" s="547" t="s">
        <v>25</v>
      </c>
      <c r="C675" s="11"/>
      <c r="D675" s="127" t="s">
        <v>494</v>
      </c>
      <c r="E675" s="127" t="s">
        <v>495</v>
      </c>
      <c r="F675" s="11" t="s">
        <v>549</v>
      </c>
      <c r="G675" s="11" t="s">
        <v>28</v>
      </c>
      <c r="H675" s="6" t="e">
        <f>SUM(H676:H679)</f>
        <v>#REF!</v>
      </c>
      <c r="I675" s="6" t="e">
        <f>SUM(I676:I679)</f>
        <v>#REF!</v>
      </c>
      <c r="J675" s="6" t="e">
        <f>SUM(J676:J679)</f>
        <v>#REF!</v>
      </c>
      <c r="K675" s="6" t="e">
        <f>SUM(K676:K679)</f>
        <v>#REF!</v>
      </c>
      <c r="L675" s="6" t="e">
        <f>SUM(L676:L679)</f>
        <v>#REF!</v>
      </c>
      <c r="M675" s="68" t="e">
        <f>M676+#REF!+M678+M679</f>
        <v>#REF!</v>
      </c>
      <c r="N675" s="68" t="e">
        <f>N676+#REF!+N678+N679</f>
        <v>#REF!</v>
      </c>
      <c r="O675" s="68" t="e">
        <f>O676+#REF!+O678+O679</f>
        <v>#REF!</v>
      </c>
      <c r="P675" s="68" t="e">
        <f>P676+#REF!+P678+P679</f>
        <v>#REF!</v>
      </c>
      <c r="Q675" s="68" t="e">
        <f>Q676+#REF!+Q678+Q679</f>
        <v>#REF!</v>
      </c>
      <c r="R675" s="68">
        <f>R676+R677+R678+R679</f>
        <v>14803680.481578952</v>
      </c>
      <c r="S675" s="68">
        <f t="shared" ref="S675:X675" si="159">S676+S677+S678+S679</f>
        <v>1366862.0809863159</v>
      </c>
      <c r="T675" s="68">
        <f t="shared" si="159"/>
        <v>2103763.4754236843</v>
      </c>
      <c r="U675" s="68">
        <f t="shared" si="159"/>
        <v>1683086.7800468421</v>
      </c>
      <c r="V675" s="68">
        <f t="shared" si="159"/>
        <v>9649968.1451221071</v>
      </c>
      <c r="W675" s="68">
        <f t="shared" si="159"/>
        <v>26511507.073684212</v>
      </c>
      <c r="X675" s="68">
        <f t="shared" si="159"/>
        <v>27309283.652631577</v>
      </c>
      <c r="Y675" s="145"/>
      <c r="Z675" s="145"/>
      <c r="AA675" s="313"/>
    </row>
    <row r="676" spans="1:34" ht="36.75" customHeight="1">
      <c r="A676" s="1004"/>
      <c r="B676" s="547" t="s">
        <v>10</v>
      </c>
      <c r="C676" s="11"/>
      <c r="D676" s="127" t="s">
        <v>494</v>
      </c>
      <c r="E676" s="127" t="s">
        <v>495</v>
      </c>
      <c r="F676" s="11" t="s">
        <v>549</v>
      </c>
      <c r="G676" s="11" t="s">
        <v>28</v>
      </c>
      <c r="H676" s="6" t="e">
        <f t="shared" ref="H676:Q676" si="160">H214+H635</f>
        <v>#REF!</v>
      </c>
      <c r="I676" s="6" t="e">
        <f t="shared" si="160"/>
        <v>#REF!</v>
      </c>
      <c r="J676" s="6" t="e">
        <f t="shared" si="160"/>
        <v>#REF!</v>
      </c>
      <c r="K676" s="6" t="e">
        <f t="shared" si="160"/>
        <v>#REF!</v>
      </c>
      <c r="L676" s="6" t="e">
        <f t="shared" si="160"/>
        <v>#REF!</v>
      </c>
      <c r="M676" s="68" t="e">
        <f t="shared" si="160"/>
        <v>#REF!</v>
      </c>
      <c r="N676" s="68" t="e">
        <f t="shared" si="160"/>
        <v>#REF!</v>
      </c>
      <c r="O676" s="68" t="e">
        <f t="shared" si="160"/>
        <v>#REF!</v>
      </c>
      <c r="P676" s="68" t="e">
        <f t="shared" si="160"/>
        <v>#REF!</v>
      </c>
      <c r="Q676" s="68" t="e">
        <f t="shared" si="160"/>
        <v>#REF!</v>
      </c>
      <c r="R676" s="68">
        <f t="shared" ref="R676:X676" si="161">R635+R212+R16</f>
        <v>11792217.500000004</v>
      </c>
      <c r="S676" s="68">
        <f t="shared" si="161"/>
        <v>1360719.74046</v>
      </c>
      <c r="T676" s="68">
        <f t="shared" si="161"/>
        <v>1593031.4259500001</v>
      </c>
      <c r="U676" s="68">
        <f t="shared" si="161"/>
        <v>1669424.2453099999</v>
      </c>
      <c r="V676" s="68">
        <f t="shared" si="161"/>
        <v>7169042.0882800017</v>
      </c>
      <c r="W676" s="68">
        <f t="shared" si="161"/>
        <v>15379154</v>
      </c>
      <c r="X676" s="68">
        <f t="shared" si="161"/>
        <v>16034081.1</v>
      </c>
      <c r="Y676" s="145"/>
      <c r="Z676" s="68"/>
      <c r="AA676" s="313"/>
      <c r="AG676" s="76"/>
      <c r="AH676" s="76"/>
    </row>
    <row r="677" spans="1:34" ht="36.75" customHeight="1">
      <c r="A677" s="1004"/>
      <c r="B677" s="547" t="s">
        <v>443</v>
      </c>
      <c r="C677" s="11"/>
      <c r="D677" s="127" t="s">
        <v>494</v>
      </c>
      <c r="E677" s="127" t="s">
        <v>495</v>
      </c>
      <c r="F677" s="11" t="s">
        <v>549</v>
      </c>
      <c r="G677" s="11" t="s">
        <v>28</v>
      </c>
      <c r="H677" s="6"/>
      <c r="I677" s="6"/>
      <c r="J677" s="6"/>
      <c r="K677" s="6"/>
      <c r="L677" s="6"/>
      <c r="M677" s="68"/>
      <c r="N677" s="68"/>
      <c r="O677" s="68"/>
      <c r="P677" s="68"/>
      <c r="Q677" s="68"/>
      <c r="R677" s="87">
        <f t="shared" ref="R677:X677" si="162">R641+R218+R17+R18</f>
        <v>2225662.1</v>
      </c>
      <c r="S677" s="87">
        <f t="shared" si="162"/>
        <v>0</v>
      </c>
      <c r="T677" s="87">
        <f t="shared" si="162"/>
        <v>500000</v>
      </c>
      <c r="U677" s="87">
        <f t="shared" si="162"/>
        <v>0</v>
      </c>
      <c r="V677" s="87">
        <f t="shared" si="162"/>
        <v>1725662.1</v>
      </c>
      <c r="W677" s="87">
        <f t="shared" si="162"/>
        <v>9206790.0999999996</v>
      </c>
      <c r="X677" s="87">
        <f t="shared" si="162"/>
        <v>9368188.0999999996</v>
      </c>
      <c r="Y677" s="145"/>
      <c r="Z677" s="87"/>
      <c r="AA677" s="313"/>
      <c r="AG677" s="76"/>
    </row>
    <row r="678" spans="1:34" ht="34.5" customHeight="1">
      <c r="A678" s="1004"/>
      <c r="B678" s="547" t="s">
        <v>11</v>
      </c>
      <c r="C678" s="11"/>
      <c r="D678" s="127"/>
      <c r="E678" s="11"/>
      <c r="F678" s="11"/>
      <c r="G678" s="11"/>
      <c r="H678" s="6">
        <f t="shared" ref="H678:Q678" si="163">H645</f>
        <v>338311.1</v>
      </c>
      <c r="I678" s="6">
        <f t="shared" si="163"/>
        <v>23511.642</v>
      </c>
      <c r="J678" s="6">
        <f t="shared" si="163"/>
        <v>50374.6</v>
      </c>
      <c r="K678" s="6">
        <f t="shared" si="163"/>
        <v>50374.6</v>
      </c>
      <c r="L678" s="6">
        <f t="shared" si="163"/>
        <v>214050.258</v>
      </c>
      <c r="M678" s="68" t="e">
        <f t="shared" si="163"/>
        <v>#REF!</v>
      </c>
      <c r="N678" s="68" t="e">
        <f t="shared" si="163"/>
        <v>#REF!</v>
      </c>
      <c r="O678" s="68" t="e">
        <f t="shared" si="163"/>
        <v>#REF!</v>
      </c>
      <c r="P678" s="68" t="e">
        <f t="shared" si="163"/>
        <v>#REF!</v>
      </c>
      <c r="Q678" s="68" t="e">
        <f t="shared" si="163"/>
        <v>#REF!</v>
      </c>
      <c r="R678" s="87">
        <f t="shared" ref="R678:X678" si="164">R19+R645</f>
        <v>478004.58157894737</v>
      </c>
      <c r="S678" s="87">
        <f t="shared" si="164"/>
        <v>6142.3405263157902</v>
      </c>
      <c r="T678" s="87">
        <f t="shared" si="164"/>
        <v>10732.049473684214</v>
      </c>
      <c r="U678" s="87">
        <f t="shared" si="164"/>
        <v>13662.534736842104</v>
      </c>
      <c r="V678" s="87">
        <f t="shared" si="164"/>
        <v>447467.65684210527</v>
      </c>
      <c r="W678" s="68">
        <f t="shared" si="164"/>
        <v>512971.97368421056</v>
      </c>
      <c r="X678" s="87">
        <f t="shared" si="164"/>
        <v>427484.75263157894</v>
      </c>
      <c r="Y678" s="145"/>
      <c r="Z678" s="87"/>
      <c r="AA678" s="313"/>
      <c r="AF678" s="76"/>
      <c r="AG678" s="76"/>
    </row>
    <row r="679" spans="1:34" ht="39" customHeight="1">
      <c r="A679" s="1004"/>
      <c r="B679" s="547" t="s">
        <v>454</v>
      </c>
      <c r="C679" s="11"/>
      <c r="D679" s="127"/>
      <c r="E679" s="11"/>
      <c r="F679" s="11"/>
      <c r="G679" s="11"/>
      <c r="H679" s="6">
        <f>H105+H223</f>
        <v>0</v>
      </c>
      <c r="I679" s="6">
        <f>I105+I223</f>
        <v>0</v>
      </c>
      <c r="J679" s="6">
        <f>J105+J223</f>
        <v>0</v>
      </c>
      <c r="K679" s="6">
        <f>K105+K223</f>
        <v>0</v>
      </c>
      <c r="L679" s="6">
        <f>L105+L223</f>
        <v>0</v>
      </c>
      <c r="M679" s="68"/>
      <c r="N679" s="68"/>
      <c r="O679" s="68"/>
      <c r="P679" s="68"/>
      <c r="Q679" s="68"/>
      <c r="R679" s="87">
        <f>R223</f>
        <v>307796.3</v>
      </c>
      <c r="S679" s="87">
        <f>S223</f>
        <v>0</v>
      </c>
      <c r="T679" s="87">
        <f>T223</f>
        <v>0</v>
      </c>
      <c r="U679" s="87">
        <f>U223</f>
        <v>0</v>
      </c>
      <c r="V679" s="87">
        <f>V223</f>
        <v>307796.3</v>
      </c>
      <c r="W679" s="68">
        <f>W105+W223+W647</f>
        <v>1412591</v>
      </c>
      <c r="X679" s="68">
        <f>X105+X223+X647</f>
        <v>1479529.7</v>
      </c>
      <c r="Y679" s="145"/>
      <c r="Z679" s="87"/>
      <c r="AA679" s="313"/>
    </row>
    <row r="680" spans="1:34" ht="27.75" customHeight="1">
      <c r="A680" s="1005"/>
      <c r="B680" s="811" t="s">
        <v>1061</v>
      </c>
      <c r="C680" s="777"/>
      <c r="D680" s="127"/>
      <c r="E680" s="777"/>
      <c r="F680" s="777"/>
      <c r="G680" s="777"/>
      <c r="H680" s="6"/>
      <c r="I680" s="6"/>
      <c r="J680" s="6"/>
      <c r="K680" s="6"/>
      <c r="L680" s="6"/>
      <c r="M680" s="68"/>
      <c r="N680" s="68"/>
      <c r="O680" s="68"/>
      <c r="P680" s="68"/>
      <c r="Q680" s="68"/>
      <c r="R680" s="87"/>
      <c r="S680" s="87"/>
      <c r="T680" s="87"/>
      <c r="U680" s="87"/>
      <c r="V680" s="87"/>
      <c r="W680" s="87"/>
      <c r="X680" s="87"/>
      <c r="Y680" s="145"/>
      <c r="Z680" s="805"/>
    </row>
    <row r="681" spans="1:34" ht="33.75" customHeight="1">
      <c r="A681" s="1024"/>
      <c r="B681" s="1024"/>
      <c r="C681" s="1024"/>
      <c r="D681" s="1024"/>
      <c r="E681" s="1024"/>
      <c r="F681" s="1024"/>
      <c r="G681" s="1024"/>
      <c r="H681" s="1024"/>
      <c r="I681" s="1024"/>
      <c r="J681" s="1024"/>
      <c r="K681" s="1024"/>
      <c r="L681" s="1024"/>
      <c r="M681" s="1024"/>
      <c r="N681" s="1024"/>
      <c r="O681" s="1024"/>
      <c r="P681" s="1024"/>
      <c r="Q681" s="1024"/>
      <c r="R681" s="1024"/>
      <c r="S681" s="1024"/>
      <c r="T681" s="1024"/>
      <c r="U681" s="1024"/>
      <c r="V681" s="1024"/>
      <c r="W681" s="1024"/>
      <c r="X681" s="1024"/>
      <c r="Y681" s="1024"/>
      <c r="Z681" s="1024"/>
    </row>
    <row r="682" spans="1:34" ht="37.5" customHeight="1">
      <c r="A682" s="1023" t="s">
        <v>806</v>
      </c>
      <c r="B682" s="1023"/>
      <c r="C682" s="1023"/>
      <c r="D682" s="1023"/>
      <c r="E682" s="1023"/>
      <c r="F682" s="1023"/>
      <c r="G682" s="1023"/>
      <c r="H682" s="1023"/>
      <c r="I682" s="1023"/>
      <c r="J682" s="1023"/>
      <c r="K682" s="1023"/>
      <c r="L682" s="1023"/>
      <c r="M682" s="1023"/>
      <c r="N682" s="1023"/>
      <c r="O682" s="1023"/>
      <c r="P682" s="1023"/>
      <c r="Q682" s="1023"/>
      <c r="R682" s="1023"/>
      <c r="S682" s="1023"/>
      <c r="T682" s="1023"/>
      <c r="U682" s="1023"/>
      <c r="V682" s="1023"/>
      <c r="W682" s="1023"/>
      <c r="X682" s="1023"/>
      <c r="Y682" s="1023"/>
      <c r="Z682" s="1023"/>
    </row>
    <row r="683" spans="1:34" ht="26.25" customHeight="1">
      <c r="A683" s="1023" t="s">
        <v>776</v>
      </c>
      <c r="B683" s="1023"/>
      <c r="C683" s="1023"/>
      <c r="D683" s="1023"/>
      <c r="E683" s="1023"/>
      <c r="F683" s="1023"/>
      <c r="G683" s="1023"/>
      <c r="H683" s="1023"/>
      <c r="I683" s="1023"/>
      <c r="J683" s="1023"/>
      <c r="K683" s="1023"/>
      <c r="L683" s="1023"/>
      <c r="M683" s="1023"/>
      <c r="N683" s="1023"/>
      <c r="O683" s="1023"/>
      <c r="P683" s="1023"/>
      <c r="Q683" s="1023"/>
      <c r="R683" s="1023"/>
      <c r="S683" s="1023"/>
      <c r="T683" s="1023"/>
      <c r="U683" s="1023"/>
      <c r="V683" s="1023"/>
      <c r="W683" s="1023"/>
      <c r="X683" s="1023"/>
      <c r="Y683" s="1023"/>
      <c r="Z683" s="1023"/>
    </row>
    <row r="684" spans="1:34" ht="53.25" customHeight="1">
      <c r="A684" s="1018" t="s">
        <v>772</v>
      </c>
      <c r="B684" s="1018"/>
      <c r="C684" s="1018"/>
      <c r="D684" s="1018"/>
      <c r="E684" s="1018"/>
      <c r="F684" s="1018"/>
      <c r="G684" s="1018"/>
      <c r="H684" s="1018"/>
      <c r="I684" s="1018"/>
      <c r="J684" s="1018"/>
      <c r="K684" s="1018"/>
      <c r="L684" s="1018"/>
      <c r="M684" s="1018"/>
      <c r="N684" s="1018"/>
      <c r="O684" s="1018"/>
      <c r="P684" s="1018"/>
      <c r="Q684" s="1018"/>
      <c r="R684" s="1018"/>
      <c r="S684" s="1018"/>
      <c r="T684" s="1018"/>
      <c r="U684" s="1018"/>
      <c r="V684" s="1018"/>
      <c r="W684" s="1018"/>
      <c r="X684" s="1018"/>
      <c r="Y684" s="1018"/>
      <c r="Z684" s="1018"/>
    </row>
    <row r="685" spans="1:34" ht="34.5" customHeight="1">
      <c r="A685" s="1018" t="s">
        <v>773</v>
      </c>
      <c r="B685" s="1018"/>
      <c r="C685" s="1018"/>
      <c r="D685" s="1018"/>
      <c r="E685" s="1018"/>
      <c r="F685" s="1018"/>
      <c r="G685" s="1018"/>
      <c r="H685" s="1018"/>
      <c r="I685" s="1018"/>
      <c r="J685" s="1018"/>
      <c r="K685" s="1018"/>
      <c r="L685" s="1018"/>
      <c r="M685" s="1018"/>
      <c r="N685" s="1018"/>
      <c r="O685" s="1018"/>
      <c r="P685" s="1018"/>
      <c r="Q685" s="1018"/>
      <c r="R685" s="1018"/>
      <c r="S685" s="1018"/>
      <c r="T685" s="1018"/>
      <c r="U685" s="1018"/>
      <c r="V685" s="1018"/>
      <c r="W685" s="1018"/>
      <c r="X685" s="1018"/>
      <c r="Y685" s="1018"/>
      <c r="Z685" s="1018"/>
    </row>
    <row r="686" spans="1:34" ht="31.5" customHeight="1">
      <c r="A686" s="1018" t="s">
        <v>891</v>
      </c>
      <c r="B686" s="1018"/>
      <c r="C686" s="1018"/>
      <c r="D686" s="1018"/>
      <c r="E686" s="1018"/>
      <c r="F686" s="1018"/>
      <c r="G686" s="1018"/>
      <c r="H686" s="1018"/>
      <c r="I686" s="1018"/>
      <c r="J686" s="1018"/>
      <c r="K686" s="1018"/>
      <c r="L686" s="1018"/>
      <c r="M686" s="1018"/>
      <c r="N686" s="1018"/>
      <c r="O686" s="1018"/>
      <c r="P686" s="1018"/>
      <c r="Q686" s="1018"/>
      <c r="R686" s="1018"/>
      <c r="S686" s="1018"/>
      <c r="T686" s="1018"/>
      <c r="U686" s="1018"/>
      <c r="V686" s="1018"/>
      <c r="W686" s="1018"/>
      <c r="X686" s="1018"/>
      <c r="Y686" s="1018"/>
      <c r="Z686" s="1018"/>
    </row>
    <row r="687" spans="1:34" ht="10.5" customHeight="1">
      <c r="A687" s="1018"/>
      <c r="B687" s="1018"/>
      <c r="C687" s="1018"/>
      <c r="D687" s="1018"/>
      <c r="E687" s="1018"/>
      <c r="F687" s="1018"/>
      <c r="G687" s="1018"/>
      <c r="H687" s="1018"/>
      <c r="I687" s="1018"/>
      <c r="J687" s="1018"/>
      <c r="K687" s="1018"/>
      <c r="L687" s="1018"/>
      <c r="M687" s="1018"/>
      <c r="N687" s="1018"/>
      <c r="O687" s="1018"/>
      <c r="P687" s="1018"/>
      <c r="Q687" s="1018"/>
      <c r="R687" s="1018"/>
      <c r="S687" s="1018"/>
      <c r="T687" s="1018"/>
      <c r="U687" s="1018"/>
      <c r="V687" s="1018"/>
      <c r="W687" s="1018"/>
      <c r="X687" s="1018"/>
      <c r="Y687" s="1018"/>
      <c r="Z687" s="1018"/>
    </row>
    <row r="688" spans="1:34" s="79" customFormat="1" ht="18" hidden="1" customHeight="1">
      <c r="A688" s="1023"/>
      <c r="B688" s="1023"/>
      <c r="C688" s="1023"/>
      <c r="D688" s="1023"/>
      <c r="E688" s="1023"/>
      <c r="F688" s="1023"/>
      <c r="G688" s="1023"/>
      <c r="H688" s="1023"/>
      <c r="I688" s="1023"/>
      <c r="J688" s="1023"/>
      <c r="K688" s="1023"/>
      <c r="L688" s="1023"/>
      <c r="M688" s="1023"/>
      <c r="N688" s="1023"/>
      <c r="O688" s="1023"/>
      <c r="P688" s="1023"/>
      <c r="Q688" s="1023"/>
      <c r="R688" s="1023"/>
      <c r="S688" s="1023"/>
      <c r="T688" s="1023"/>
      <c r="U688" s="1023"/>
      <c r="V688" s="1023"/>
      <c r="W688" s="1023"/>
      <c r="X688" s="1023"/>
      <c r="Y688" s="1023"/>
      <c r="Z688" s="1023"/>
      <c r="AA688" s="541"/>
    </row>
    <row r="689" spans="1:27" s="79" customFormat="1" ht="22.15" hidden="1" customHeight="1">
      <c r="A689" s="1023" t="s">
        <v>350</v>
      </c>
      <c r="B689" s="1023"/>
      <c r="C689" s="1023"/>
      <c r="D689" s="1023"/>
      <c r="E689" s="1023"/>
      <c r="F689" s="1023"/>
      <c r="G689" s="1023"/>
      <c r="H689" s="1023"/>
      <c r="I689" s="1023"/>
      <c r="J689" s="1023"/>
      <c r="K689" s="1023"/>
      <c r="L689" s="1023"/>
      <c r="M689" s="1023"/>
      <c r="N689" s="1023"/>
      <c r="O689" s="1023"/>
      <c r="P689" s="1023"/>
      <c r="Q689" s="1023"/>
      <c r="R689" s="1023"/>
      <c r="S689" s="1023"/>
      <c r="T689" s="1023"/>
      <c r="U689" s="1023"/>
      <c r="V689" s="1023"/>
      <c r="W689" s="1023"/>
      <c r="X689" s="1023"/>
      <c r="Y689" s="1023"/>
      <c r="Z689" s="1023"/>
      <c r="AA689" s="541"/>
    </row>
    <row r="690" spans="1:27" s="79" customFormat="1" ht="27.6" hidden="1" customHeight="1">
      <c r="A690" s="1023" t="s">
        <v>521</v>
      </c>
      <c r="B690" s="1023"/>
      <c r="C690" s="1023"/>
      <c r="D690" s="1023"/>
      <c r="E690" s="1023"/>
      <c r="F690" s="1023"/>
      <c r="G690" s="1023"/>
      <c r="H690" s="1023"/>
      <c r="I690" s="1023"/>
      <c r="J690" s="1023"/>
      <c r="K690" s="1023"/>
      <c r="L690" s="1023"/>
      <c r="M690" s="1023"/>
      <c r="N690" s="1023"/>
      <c r="O690" s="1023"/>
      <c r="P690" s="1023"/>
      <c r="Q690" s="1023"/>
      <c r="R690" s="1023"/>
      <c r="S690" s="1023"/>
      <c r="T690" s="1023"/>
      <c r="U690" s="1023"/>
      <c r="V690" s="1023"/>
      <c r="W690" s="1023"/>
      <c r="X690" s="1023"/>
      <c r="Y690" s="1023"/>
      <c r="Z690" s="346"/>
      <c r="AA690" s="541"/>
    </row>
    <row r="691" spans="1:27" ht="198.75" customHeight="1">
      <c r="A691" s="1018" t="s">
        <v>792</v>
      </c>
      <c r="B691" s="1018"/>
      <c r="C691" s="1018"/>
      <c r="D691" s="1018"/>
      <c r="E691" s="1018"/>
      <c r="F691" s="1018"/>
      <c r="G691" s="1018"/>
      <c r="H691" s="1018"/>
      <c r="I691" s="1018"/>
      <c r="J691" s="1018"/>
      <c r="K691" s="1018"/>
      <c r="L691" s="1018"/>
      <c r="M691" s="1018"/>
      <c r="N691" s="1018"/>
      <c r="O691" s="1018"/>
      <c r="P691" s="1018"/>
      <c r="Q691" s="1018"/>
      <c r="R691" s="1018"/>
      <c r="S691" s="1018"/>
      <c r="T691" s="1018"/>
      <c r="U691" s="1018"/>
      <c r="V691" s="1018"/>
      <c r="W691" s="1018"/>
      <c r="X691" s="1018"/>
      <c r="Y691" s="1018"/>
      <c r="Z691" s="1018"/>
    </row>
    <row r="692" spans="1:27" hidden="1">
      <c r="A692" s="323"/>
      <c r="B692" s="544"/>
      <c r="C692" s="323"/>
      <c r="D692" s="323"/>
      <c r="E692" s="323"/>
      <c r="F692" s="323"/>
      <c r="G692" s="323"/>
      <c r="H692" s="323"/>
      <c r="I692" s="323"/>
      <c r="J692" s="323"/>
      <c r="K692" s="323"/>
      <c r="L692" s="323"/>
      <c r="M692" s="323"/>
      <c r="N692" s="323"/>
      <c r="O692" s="323"/>
      <c r="P692" s="323"/>
      <c r="Q692" s="323"/>
      <c r="R692" s="347"/>
      <c r="S692" s="347"/>
      <c r="T692" s="347"/>
      <c r="U692" s="347"/>
      <c r="V692" s="347"/>
      <c r="W692" s="323"/>
      <c r="X692" s="323"/>
      <c r="Y692" s="323"/>
      <c r="Z692" s="323"/>
    </row>
    <row r="693" spans="1:27" ht="7.15" customHeight="1">
      <c r="A693" s="323"/>
      <c r="B693" s="544"/>
      <c r="C693" s="323"/>
      <c r="D693" s="323"/>
      <c r="E693" s="323"/>
      <c r="F693" s="323"/>
      <c r="G693" s="323"/>
      <c r="H693" s="323"/>
      <c r="I693" s="323"/>
      <c r="J693" s="323"/>
      <c r="K693" s="323"/>
      <c r="L693" s="323"/>
      <c r="M693" s="323"/>
      <c r="N693" s="323"/>
      <c r="O693" s="323"/>
      <c r="P693" s="323"/>
      <c r="Q693" s="323"/>
      <c r="R693" s="347"/>
      <c r="S693" s="347"/>
      <c r="T693" s="347"/>
      <c r="U693" s="347"/>
      <c r="V693" s="347"/>
      <c r="W693" s="323"/>
      <c r="X693" s="323"/>
      <c r="Y693" s="323"/>
      <c r="Z693" s="323"/>
    </row>
    <row r="694" spans="1:27">
      <c r="A694" s="323"/>
      <c r="B694" s="544"/>
      <c r="C694" s="323"/>
      <c r="D694" s="323"/>
      <c r="E694" s="323"/>
      <c r="F694" s="323"/>
      <c r="G694" s="323"/>
      <c r="H694" s="323"/>
      <c r="I694" s="323"/>
      <c r="J694" s="323"/>
      <c r="K694" s="323"/>
      <c r="L694" s="323"/>
      <c r="M694" s="323"/>
      <c r="N694" s="323"/>
      <c r="O694" s="323"/>
      <c r="P694" s="323"/>
      <c r="Q694" s="323"/>
      <c r="R694" s="532"/>
      <c r="S694" s="532"/>
      <c r="T694" s="532"/>
      <c r="U694" s="532"/>
      <c r="V694" s="532"/>
      <c r="W694" s="532"/>
      <c r="X694" s="532"/>
      <c r="Y694" s="323"/>
      <c r="Z694" s="323"/>
    </row>
    <row r="695" spans="1:27">
      <c r="R695" s="531"/>
    </row>
    <row r="696" spans="1:27">
      <c r="R696" s="533"/>
      <c r="S696" s="533"/>
      <c r="T696" s="533"/>
      <c r="U696" s="533"/>
      <c r="V696" s="533"/>
      <c r="W696" s="533"/>
      <c r="X696" s="533"/>
    </row>
    <row r="697" spans="1:27">
      <c r="R697" s="531"/>
    </row>
    <row r="699" spans="1:27">
      <c r="R699" s="531"/>
      <c r="S699" s="531"/>
      <c r="T699" s="531"/>
      <c r="U699" s="531"/>
      <c r="V699" s="531"/>
      <c r="W699" s="531"/>
      <c r="X699" s="531"/>
      <c r="Y699" s="531"/>
    </row>
    <row r="700" spans="1:27">
      <c r="R700" s="531"/>
    </row>
    <row r="701" spans="1:27">
      <c r="R701" s="531"/>
      <c r="S701" s="531"/>
      <c r="T701" s="531"/>
      <c r="U701" s="531"/>
      <c r="V701" s="531"/>
      <c r="W701" s="531"/>
      <c r="X701" s="531"/>
      <c r="Y701" s="531"/>
    </row>
  </sheetData>
  <mergeCells count="200">
    <mergeCell ref="Y66:Y71"/>
    <mergeCell ref="Y81:Y86"/>
    <mergeCell ref="Y87:Y92"/>
    <mergeCell ref="A93:Z93"/>
    <mergeCell ref="A56:A58"/>
    <mergeCell ref="A59:A65"/>
    <mergeCell ref="Y292:Y343"/>
    <mergeCell ref="Z292:Z343"/>
    <mergeCell ref="A333:A335"/>
    <mergeCell ref="Z344:Z351"/>
    <mergeCell ref="Z431:Z439"/>
    <mergeCell ref="A128:A132"/>
    <mergeCell ref="A116:A120"/>
    <mergeCell ref="Y94:Y132"/>
    <mergeCell ref="Z172:Z178"/>
    <mergeCell ref="A165:A171"/>
    <mergeCell ref="A13:A21"/>
    <mergeCell ref="A73:A80"/>
    <mergeCell ref="A94:A106"/>
    <mergeCell ref="A157:A164"/>
    <mergeCell ref="Y187:Y194"/>
    <mergeCell ref="Z187:Z194"/>
    <mergeCell ref="A211:A224"/>
    <mergeCell ref="A292:A299"/>
    <mergeCell ref="A360:A367"/>
    <mergeCell ref="A50:A55"/>
    <mergeCell ref="Y50:Y55"/>
    <mergeCell ref="Z50:Z55"/>
    <mergeCell ref="A43:A49"/>
    <mergeCell ref="Y43:Y49"/>
    <mergeCell ref="Z43:Z49"/>
    <mergeCell ref="Y59:Y65"/>
    <mergeCell ref="A66:A72"/>
    <mergeCell ref="A406:A413"/>
    <mergeCell ref="A246:A253"/>
    <mergeCell ref="A691:Z691"/>
    <mergeCell ref="A660:A667"/>
    <mergeCell ref="Z660:Z667"/>
    <mergeCell ref="A669:A674"/>
    <mergeCell ref="A684:Z684"/>
    <mergeCell ref="A686:Z686"/>
    <mergeCell ref="A624:A625"/>
    <mergeCell ref="Y624:Y625"/>
    <mergeCell ref="Z624:Z632"/>
    <mergeCell ref="A649:Z649"/>
    <mergeCell ref="A651:A658"/>
    <mergeCell ref="A690:Y690"/>
    <mergeCell ref="A689:Z689"/>
    <mergeCell ref="Z651:Z658"/>
    <mergeCell ref="A681:Z681"/>
    <mergeCell ref="A687:Z687"/>
    <mergeCell ref="A685:Z685"/>
    <mergeCell ref="A683:Z683"/>
    <mergeCell ref="A682:Z682"/>
    <mergeCell ref="A633:A647"/>
    <mergeCell ref="A688:Z688"/>
    <mergeCell ref="A675:A680"/>
    <mergeCell ref="Z533:Z623"/>
    <mergeCell ref="A545:A546"/>
    <mergeCell ref="A607:A610"/>
    <mergeCell ref="A579:A580"/>
    <mergeCell ref="A597:A598"/>
    <mergeCell ref="A601:A602"/>
    <mergeCell ref="A575:A576"/>
    <mergeCell ref="A547:A548"/>
    <mergeCell ref="A619:A623"/>
    <mergeCell ref="A615:A618"/>
    <mergeCell ref="A553:A554"/>
    <mergeCell ref="A611:A614"/>
    <mergeCell ref="A559:A560"/>
    <mergeCell ref="A595:A596"/>
    <mergeCell ref="A561:A562"/>
    <mergeCell ref="A593:A594"/>
    <mergeCell ref="A591:A592"/>
    <mergeCell ref="A551:A552"/>
    <mergeCell ref="A567:A568"/>
    <mergeCell ref="A563:A564"/>
    <mergeCell ref="A577:A578"/>
    <mergeCell ref="A533:A541"/>
    <mergeCell ref="A569:A570"/>
    <mergeCell ref="A589:A590"/>
    <mergeCell ref="C8:G9"/>
    <mergeCell ref="Z8:Z10"/>
    <mergeCell ref="M8:M10"/>
    <mergeCell ref="A12:Z12"/>
    <mergeCell ref="W8:W10"/>
    <mergeCell ref="A195:A202"/>
    <mergeCell ref="A326:A328"/>
    <mergeCell ref="H8:H10"/>
    <mergeCell ref="B8:B10"/>
    <mergeCell ref="Z13:Z19"/>
    <mergeCell ref="N8:Q9"/>
    <mergeCell ref="Y8:Y10"/>
    <mergeCell ref="A109:A113"/>
    <mergeCell ref="I8:L9"/>
    <mergeCell ref="A22:A29"/>
    <mergeCell ref="A30:A36"/>
    <mergeCell ref="A37:A42"/>
    <mergeCell ref="Z73:Z78"/>
    <mergeCell ref="A81:A86"/>
    <mergeCell ref="A87:A92"/>
    <mergeCell ref="Z81:Z86"/>
    <mergeCell ref="Z87:Z92"/>
    <mergeCell ref="Y73:Y78"/>
    <mergeCell ref="Y56:Y58"/>
    <mergeCell ref="W1:Z1"/>
    <mergeCell ref="A414:A418"/>
    <mergeCell ref="Y414:Y418"/>
    <mergeCell ref="Z414:Z422"/>
    <mergeCell ref="A423:A424"/>
    <mergeCell ref="Y423:Y430"/>
    <mergeCell ref="Z423:Z430"/>
    <mergeCell ref="Z229:Z235"/>
    <mergeCell ref="Y229:Y233"/>
    <mergeCell ref="A3:Z3"/>
    <mergeCell ref="A4:Z4"/>
    <mergeCell ref="A5:Z5"/>
    <mergeCell ref="A6:Z6"/>
    <mergeCell ref="A8:A10"/>
    <mergeCell ref="X8:X10"/>
    <mergeCell ref="Y157:Y174"/>
    <mergeCell ref="A203:A210"/>
    <mergeCell ref="A273:A275"/>
    <mergeCell ref="R8:R10"/>
    <mergeCell ref="A238:A245"/>
    <mergeCell ref="A228:Z228"/>
    <mergeCell ref="A172:A178"/>
    <mergeCell ref="A150:A151"/>
    <mergeCell ref="A571:A572"/>
    <mergeCell ref="A557:A558"/>
    <mergeCell ref="A543:A544"/>
    <mergeCell ref="A344:A351"/>
    <mergeCell ref="Y344:Y351"/>
    <mergeCell ref="Y533:Y623"/>
    <mergeCell ref="A565:A566"/>
    <mergeCell ref="A555:A556"/>
    <mergeCell ref="A603:A606"/>
    <mergeCell ref="A585:A586"/>
    <mergeCell ref="A599:A600"/>
    <mergeCell ref="A587:A588"/>
    <mergeCell ref="A573:A574"/>
    <mergeCell ref="A525:A532"/>
    <mergeCell ref="A583:A584"/>
    <mergeCell ref="A581:A582"/>
    <mergeCell ref="Y406:Y412"/>
    <mergeCell ref="A368:A371"/>
    <mergeCell ref="A449:A456"/>
    <mergeCell ref="A480:A487"/>
    <mergeCell ref="A431:A439"/>
    <mergeCell ref="A440:A448"/>
    <mergeCell ref="A488:A491"/>
    <mergeCell ref="A473:A479"/>
    <mergeCell ref="A466:A472"/>
    <mergeCell ref="A457:A465"/>
    <mergeCell ref="A187:A193"/>
    <mergeCell ref="Z179:Z186"/>
    <mergeCell ref="A229:A237"/>
    <mergeCell ref="Y195:Y202"/>
    <mergeCell ref="Y203:Y210"/>
    <mergeCell ref="A289:A290"/>
    <mergeCell ref="Z238:Z288"/>
    <mergeCell ref="Y238:Y288"/>
    <mergeCell ref="Y289:Y291"/>
    <mergeCell ref="Y179:Y182"/>
    <mergeCell ref="Y431:Y448"/>
    <mergeCell ref="Z406:Z412"/>
    <mergeCell ref="Z368:Z401"/>
    <mergeCell ref="Z195:Z202"/>
    <mergeCell ref="Z203:Z210"/>
    <mergeCell ref="A352:A357"/>
    <mergeCell ref="A300:A306"/>
    <mergeCell ref="Y352:Y359"/>
    <mergeCell ref="Z352:Z359"/>
    <mergeCell ref="Y368:Y403"/>
    <mergeCell ref="A179:A186"/>
    <mergeCell ref="A316:A317"/>
    <mergeCell ref="Z525:Z532"/>
    <mergeCell ref="Z473:Z479"/>
    <mergeCell ref="Y473:Y479"/>
    <mergeCell ref="Y525:Y532"/>
    <mergeCell ref="S8:V9"/>
    <mergeCell ref="Y22:Y42"/>
    <mergeCell ref="Z22:Z36"/>
    <mergeCell ref="Z37:Z42"/>
    <mergeCell ref="Z440:Z448"/>
    <mergeCell ref="Z289:Z291"/>
    <mergeCell ref="Y13:Y19"/>
    <mergeCell ref="Z449:Z456"/>
    <mergeCell ref="Y449:Y456"/>
    <mergeCell ref="Y457:Y461"/>
    <mergeCell ref="Y466:Y472"/>
    <mergeCell ref="Z457:Z465"/>
    <mergeCell ref="Z466:Z472"/>
    <mergeCell ref="Z480:Z522"/>
    <mergeCell ref="Y480:Y522"/>
    <mergeCell ref="Z56:Z58"/>
    <mergeCell ref="Z59:Z65"/>
    <mergeCell ref="Z66:Z71"/>
    <mergeCell ref="Z94:Z156"/>
    <mergeCell ref="Z157:Z171"/>
  </mergeCells>
  <conditionalFormatting sqref="R402">
    <cfRule type="cellIs" dxfId="6" priority="2" stopIfTrue="1" operator="equal">
      <formula>0</formula>
    </cfRule>
  </conditionalFormatting>
  <conditionalFormatting sqref="S410">
    <cfRule type="cellIs" dxfId="5" priority="1" stopIfTrue="1" operator="equal">
      <formula>0</formula>
    </cfRule>
  </conditionalFormatting>
  <printOptions horizontalCentered="1"/>
  <pageMargins left="0" right="0.39370078740157483" top="0.19685039370078741" bottom="0" header="0.31496062992125984" footer="0.31496062992125984"/>
  <pageSetup paperSize="9" scale="58" fitToHeight="20" orientation="landscape" r:id="rId1"/>
  <headerFooter differentFirst="1">
    <oddHeader>Страница &amp;P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O1196"/>
  <sheetViews>
    <sheetView showZeros="0" zoomScaleNormal="100" zoomScaleSheetLayoutView="90" workbookViewId="0">
      <pane xSplit="1" ySplit="10" topLeftCell="B902" activePane="bottomRight" state="frozen"/>
      <selection pane="topRight" activeCell="B1" sqref="B1"/>
      <selection pane="bottomLeft" activeCell="A11" sqref="A11"/>
      <selection pane="bottomRight" activeCell="P1" sqref="P1:Y1048576"/>
    </sheetView>
  </sheetViews>
  <sheetFormatPr defaultColWidth="8.85546875" defaultRowHeight="15"/>
  <cols>
    <col min="1" max="1" width="40.5703125" style="79" customWidth="1"/>
    <col min="2" max="2" width="21.85546875" style="645" customWidth="1"/>
    <col min="3" max="4" width="8.85546875" style="79" hidden="1" customWidth="1"/>
    <col min="5" max="5" width="9.7109375" style="79" hidden="1" customWidth="1"/>
    <col min="6" max="6" width="8.85546875" style="79" hidden="1" customWidth="1"/>
    <col min="7" max="7" width="12.85546875" style="354" customWidth="1"/>
    <col min="8" max="8" width="11.7109375" style="354" customWidth="1"/>
    <col min="9" max="9" width="11.28515625" style="354" customWidth="1"/>
    <col min="10" max="10" width="10.5703125" style="354" customWidth="1"/>
    <col min="11" max="11" width="11" style="354" customWidth="1"/>
    <col min="12" max="12" width="12.5703125" style="354" customWidth="1"/>
    <col min="13" max="13" width="13" style="354" customWidth="1"/>
    <col min="14" max="14" width="15.42578125" style="354" customWidth="1"/>
    <col min="15" max="15" width="26.140625" style="354" customWidth="1"/>
    <col min="16" max="18" width="9" style="44" hidden="1" customWidth="1"/>
    <col min="19" max="19" width="10.85546875" style="44" hidden="1" customWidth="1"/>
    <col min="20" max="20" width="15.140625" style="44" hidden="1" customWidth="1"/>
    <col min="21" max="21" width="12.140625" style="44" hidden="1" customWidth="1"/>
    <col min="22" max="22" width="12.28515625" style="44" hidden="1" customWidth="1"/>
    <col min="23" max="23" width="14.85546875" style="44" hidden="1" customWidth="1"/>
    <col min="24" max="24" width="12.85546875" style="44" hidden="1" customWidth="1"/>
    <col min="25" max="25" width="11.42578125" style="44" hidden="1" customWidth="1"/>
    <col min="26" max="26" width="8.85546875" style="44" customWidth="1"/>
    <col min="27" max="27" width="15.85546875" style="44" customWidth="1"/>
    <col min="28" max="28" width="8.85546875" style="44" customWidth="1"/>
    <col min="29" max="29" width="15.28515625" style="44" customWidth="1"/>
    <col min="30" max="35" width="8.85546875" style="44"/>
    <col min="36" max="61" width="8.85546875" style="295"/>
    <col min="62" max="16384" width="8.85546875" style="44"/>
  </cols>
  <sheetData>
    <row r="1" spans="1:25" ht="12.6" customHeight="1">
      <c r="B1" s="645">
        <v>7</v>
      </c>
    </row>
    <row r="2" spans="1:25" ht="26.45" customHeight="1">
      <c r="N2" s="354" t="s">
        <v>481</v>
      </c>
      <c r="O2" s="99"/>
    </row>
    <row r="3" spans="1:25" ht="21" customHeight="1">
      <c r="A3" s="1111" t="s">
        <v>804</v>
      </c>
      <c r="B3" s="1111"/>
      <c r="C3" s="1111"/>
      <c r="D3" s="1111"/>
      <c r="E3" s="1111"/>
      <c r="F3" s="1111"/>
      <c r="G3" s="1111"/>
      <c r="H3" s="1111"/>
      <c r="I3" s="1111"/>
      <c r="J3" s="1111"/>
      <c r="K3" s="1111"/>
      <c r="L3" s="1111"/>
      <c r="M3" s="1111"/>
      <c r="N3" s="1111"/>
      <c r="O3" s="1111"/>
    </row>
    <row r="4" spans="1:25" ht="43.9" customHeight="1">
      <c r="A4" s="1111" t="s">
        <v>803</v>
      </c>
      <c r="B4" s="1111"/>
      <c r="C4" s="1111"/>
      <c r="D4" s="1111"/>
      <c r="E4" s="1111"/>
      <c r="F4" s="1111"/>
      <c r="G4" s="1111"/>
      <c r="H4" s="1111"/>
      <c r="I4" s="1111"/>
      <c r="J4" s="1111"/>
      <c r="K4" s="1111"/>
      <c r="L4" s="1111"/>
      <c r="M4" s="1111"/>
      <c r="N4" s="1111"/>
      <c r="O4" s="1111"/>
    </row>
    <row r="5" spans="1:25" ht="3" customHeight="1">
      <c r="A5" s="80"/>
    </row>
    <row r="6" spans="1:25" ht="21" customHeight="1">
      <c r="A6" s="1112" t="s">
        <v>0</v>
      </c>
      <c r="B6" s="1112" t="s">
        <v>1</v>
      </c>
      <c r="C6" s="1112" t="s">
        <v>143</v>
      </c>
      <c r="D6" s="1112"/>
      <c r="E6" s="1112"/>
      <c r="F6" s="1112"/>
      <c r="G6" s="1037" t="s">
        <v>465</v>
      </c>
      <c r="H6" s="1105" t="s">
        <v>923</v>
      </c>
      <c r="I6" s="1106"/>
      <c r="J6" s="1106"/>
      <c r="K6" s="1107"/>
      <c r="L6" s="1037" t="s">
        <v>525</v>
      </c>
      <c r="M6" s="1030" t="s">
        <v>924</v>
      </c>
      <c r="N6" s="1037" t="s">
        <v>2</v>
      </c>
      <c r="O6" s="1037" t="s">
        <v>3</v>
      </c>
      <c r="T6" s="1041" t="s">
        <v>737</v>
      </c>
      <c r="U6" s="1041"/>
      <c r="V6" s="1041"/>
      <c r="W6" s="1041"/>
      <c r="X6" s="1041"/>
    </row>
    <row r="7" spans="1:25" ht="20.45" customHeight="1">
      <c r="A7" s="1112"/>
      <c r="B7" s="1112"/>
      <c r="C7" s="1112"/>
      <c r="D7" s="1112"/>
      <c r="E7" s="1112"/>
      <c r="F7" s="1112"/>
      <c r="G7" s="1037"/>
      <c r="H7" s="703" t="s">
        <v>146</v>
      </c>
      <c r="I7" s="703" t="s">
        <v>147</v>
      </c>
      <c r="J7" s="703" t="s">
        <v>148</v>
      </c>
      <c r="K7" s="746" t="s">
        <v>149</v>
      </c>
      <c r="L7" s="1037"/>
      <c r="M7" s="1031"/>
      <c r="N7" s="1037"/>
      <c r="O7" s="1037"/>
    </row>
    <row r="8" spans="1:25" ht="4.9000000000000004" hidden="1" customHeight="1">
      <c r="A8" s="1112"/>
      <c r="B8" s="1112"/>
      <c r="C8" s="647" t="s">
        <v>4</v>
      </c>
      <c r="D8" s="647" t="s">
        <v>5</v>
      </c>
      <c r="E8" s="647" t="s">
        <v>6</v>
      </c>
      <c r="F8" s="647" t="s">
        <v>7</v>
      </c>
      <c r="G8" s="1037"/>
      <c r="H8" s="703"/>
      <c r="I8" s="703"/>
      <c r="J8" s="703"/>
      <c r="K8" s="746"/>
      <c r="L8" s="1037"/>
      <c r="M8" s="703"/>
      <c r="N8" s="1037"/>
      <c r="O8" s="1037"/>
    </row>
    <row r="9" spans="1:25">
      <c r="A9" s="647">
        <v>1</v>
      </c>
      <c r="B9" s="647">
        <v>2</v>
      </c>
      <c r="C9" s="647">
        <v>3</v>
      </c>
      <c r="D9" s="647">
        <v>4</v>
      </c>
      <c r="E9" s="647">
        <v>5</v>
      </c>
      <c r="F9" s="647">
        <v>6</v>
      </c>
      <c r="G9" s="703">
        <v>3</v>
      </c>
      <c r="H9" s="703">
        <v>4</v>
      </c>
      <c r="I9" s="703">
        <v>5</v>
      </c>
      <c r="J9" s="703">
        <v>6</v>
      </c>
      <c r="K9" s="746">
        <v>7</v>
      </c>
      <c r="L9" s="703">
        <v>8</v>
      </c>
      <c r="M9" s="703">
        <v>9</v>
      </c>
      <c r="N9" s="703">
        <v>10</v>
      </c>
      <c r="O9" s="703">
        <v>11</v>
      </c>
      <c r="Q9" s="1066">
        <v>2020</v>
      </c>
      <c r="R9" s="1066"/>
      <c r="S9" s="1066"/>
      <c r="T9" s="1066">
        <v>2021</v>
      </c>
      <c r="U9" s="1066"/>
      <c r="V9" s="1066"/>
      <c r="W9" s="1066">
        <v>2022</v>
      </c>
      <c r="X9" s="1066"/>
      <c r="Y9" s="1066"/>
    </row>
    <row r="10" spans="1:25" ht="136.15" hidden="1" customHeight="1">
      <c r="A10" s="651" t="s">
        <v>12</v>
      </c>
      <c r="B10" s="647"/>
      <c r="C10" s="647">
        <v>176</v>
      </c>
      <c r="D10" s="647" t="s">
        <v>15</v>
      </c>
      <c r="E10" s="647" t="s">
        <v>16</v>
      </c>
      <c r="F10" s="647" t="s">
        <v>28</v>
      </c>
      <c r="G10" s="703"/>
      <c r="H10" s="703"/>
      <c r="I10" s="703"/>
      <c r="J10" s="703"/>
      <c r="K10" s="746"/>
      <c r="L10" s="703"/>
      <c r="M10" s="703"/>
      <c r="N10" s="703"/>
      <c r="O10" s="703"/>
      <c r="Q10" s="55"/>
      <c r="R10" s="55"/>
      <c r="S10" s="55"/>
      <c r="T10" s="55"/>
      <c r="U10" s="55"/>
      <c r="V10" s="55"/>
      <c r="W10" s="55"/>
      <c r="X10" s="55"/>
      <c r="Y10" s="55"/>
    </row>
    <row r="11" spans="1:25" ht="27" customHeight="1">
      <c r="A11" s="985" t="s">
        <v>808</v>
      </c>
      <c r="B11" s="62" t="s">
        <v>89</v>
      </c>
      <c r="C11" s="62"/>
      <c r="D11" s="62"/>
      <c r="E11" s="62"/>
      <c r="F11" s="62"/>
      <c r="G11" s="101">
        <f>K11</f>
        <v>17.859323092576776</v>
      </c>
      <c r="H11" s="101">
        <f>H45+H59+H110+H154+H165+H181+H245+H257+H265+H326+H339+H362+H374+H398</f>
        <v>0</v>
      </c>
      <c r="I11" s="101">
        <f>I45+I59+I110+I154+I165+I181+I245+I257+I265+I326+I339+I362+I374+I398</f>
        <v>0</v>
      </c>
      <c r="J11" s="101">
        <f>J45+J59+J110+J154+J165+J181+J245+J257+J265+J326+J339+J362+J374+J398</f>
        <v>0</v>
      </c>
      <c r="K11" s="101">
        <f>K45+K59+K110+K154+K165+K181+K245+K265+K326+K338+K362+K374+K398</f>
        <v>17.859323092576776</v>
      </c>
      <c r="L11" s="101">
        <f>L45+L59+L110+L154+L165+L181+L245+L265+L326+L338+L362+L374+L398+L49</f>
        <v>15.299999999999999</v>
      </c>
      <c r="M11" s="101">
        <f>M45+M138+M201+M265+M398</f>
        <v>17</v>
      </c>
      <c r="N11" s="1108" t="s">
        <v>897</v>
      </c>
      <c r="O11" s="1030" t="s">
        <v>1093</v>
      </c>
      <c r="Q11" s="55"/>
      <c r="R11" s="54" t="s">
        <v>274</v>
      </c>
      <c r="S11" s="54" t="s">
        <v>275</v>
      </c>
      <c r="T11" s="55"/>
      <c r="U11" s="54" t="s">
        <v>274</v>
      </c>
      <c r="V11" s="54" t="s">
        <v>275</v>
      </c>
      <c r="W11" s="55"/>
      <c r="X11" s="54" t="s">
        <v>274</v>
      </c>
      <c r="Y11" s="54" t="s">
        <v>275</v>
      </c>
    </row>
    <row r="12" spans="1:25" ht="27" customHeight="1">
      <c r="A12" s="986"/>
      <c r="B12" s="62" t="s">
        <v>24</v>
      </c>
      <c r="C12" s="62"/>
      <c r="D12" s="62"/>
      <c r="E12" s="62"/>
      <c r="F12" s="62"/>
      <c r="G12" s="743">
        <v>79349.899999999994</v>
      </c>
      <c r="H12" s="743"/>
      <c r="I12" s="743"/>
      <c r="J12" s="743"/>
      <c r="K12" s="743"/>
      <c r="L12" s="743">
        <f>L13/L11</f>
        <v>118039.21568627452</v>
      </c>
      <c r="M12" s="102">
        <f t="shared" ref="M12" si="0">M13/M11</f>
        <v>68266.170588235284</v>
      </c>
      <c r="N12" s="1109"/>
      <c r="O12" s="1032"/>
      <c r="Q12" s="55"/>
      <c r="R12" s="56"/>
      <c r="S12" s="56"/>
      <c r="T12" s="57"/>
      <c r="U12" s="56"/>
      <c r="V12" s="56"/>
      <c r="W12" s="57"/>
      <c r="X12" s="56"/>
      <c r="Y12" s="56"/>
    </row>
    <row r="13" spans="1:25" ht="27" customHeight="1">
      <c r="A13" s="986"/>
      <c r="B13" s="62" t="s">
        <v>25</v>
      </c>
      <c r="C13" s="62">
        <v>176</v>
      </c>
      <c r="D13" s="62" t="s">
        <v>15</v>
      </c>
      <c r="E13" s="62">
        <v>6100404</v>
      </c>
      <c r="F13" s="62">
        <v>414</v>
      </c>
      <c r="G13" s="743">
        <f>SUM(G15:G19)</f>
        <v>1431399.8</v>
      </c>
      <c r="H13" s="743">
        <f t="shared" ref="H13:K13" si="1">SUM(H15:H19)</f>
        <v>5736.3</v>
      </c>
      <c r="I13" s="743">
        <f t="shared" si="1"/>
        <v>0</v>
      </c>
      <c r="J13" s="743">
        <f t="shared" si="1"/>
        <v>0</v>
      </c>
      <c r="K13" s="743">
        <f t="shared" si="1"/>
        <v>1425663.5</v>
      </c>
      <c r="L13" s="743">
        <f>L15+L16+L18</f>
        <v>1806000</v>
      </c>
      <c r="M13" s="102">
        <f>M15+M16+M18</f>
        <v>1160524.8999999999</v>
      </c>
      <c r="N13" s="1109"/>
      <c r="O13" s="1032"/>
      <c r="Q13" s="54" t="s">
        <v>272</v>
      </c>
      <c r="R13" s="355">
        <f>K169+K194</f>
        <v>6.6593230925767743</v>
      </c>
      <c r="S13" s="355">
        <f>K169</f>
        <v>1.5</v>
      </c>
      <c r="T13" s="54" t="s">
        <v>272</v>
      </c>
      <c r="U13" s="356">
        <f>L126+L169+L194</f>
        <v>0</v>
      </c>
      <c r="V13" s="299">
        <f>L169</f>
        <v>0</v>
      </c>
      <c r="W13" s="54" t="s">
        <v>272</v>
      </c>
      <c r="X13" s="125">
        <f>M305</f>
        <v>1</v>
      </c>
      <c r="Y13" s="299">
        <f>M305</f>
        <v>1</v>
      </c>
    </row>
    <row r="14" spans="1:25" ht="27" customHeight="1">
      <c r="A14" s="986"/>
      <c r="B14" s="62" t="s">
        <v>9</v>
      </c>
      <c r="C14" s="62"/>
      <c r="D14" s="62"/>
      <c r="E14" s="62"/>
      <c r="F14" s="62"/>
      <c r="G14" s="102"/>
      <c r="H14" s="102"/>
      <c r="I14" s="102"/>
      <c r="J14" s="102"/>
      <c r="K14" s="102"/>
      <c r="L14" s="102"/>
      <c r="M14" s="102"/>
      <c r="N14" s="1109"/>
      <c r="O14" s="1032"/>
      <c r="Q14" s="54" t="s">
        <v>273</v>
      </c>
      <c r="R14" s="355">
        <f>K67+K297+K370+K378</f>
        <v>11.200000000000001</v>
      </c>
      <c r="S14" s="355">
        <f>K67+K297+K370+K378</f>
        <v>11.200000000000001</v>
      </c>
      <c r="T14" s="54" t="s">
        <v>273</v>
      </c>
      <c r="U14" s="356">
        <f>L49+L249+L271+L275+L378</f>
        <v>14.299999999999999</v>
      </c>
      <c r="V14" s="299">
        <f>L49+L249+L271+L275+L378</f>
        <v>14.299999999999999</v>
      </c>
      <c r="W14" s="54" t="s">
        <v>273</v>
      </c>
      <c r="X14" s="355">
        <f>M49+M142+M205+M271+M410</f>
        <v>16</v>
      </c>
      <c r="Y14" s="299">
        <f>M49+M142+M205+M271+M410</f>
        <v>16</v>
      </c>
    </row>
    <row r="15" spans="1:25" ht="27" customHeight="1">
      <c r="A15" s="986"/>
      <c r="B15" s="62" t="s">
        <v>10</v>
      </c>
      <c r="C15" s="62">
        <v>176</v>
      </c>
      <c r="D15" s="62" t="s">
        <v>15</v>
      </c>
      <c r="E15" s="62">
        <v>6100404</v>
      </c>
      <c r="F15" s="62">
        <v>414</v>
      </c>
      <c r="G15" s="102">
        <f>G31+G47+G61+G112+G140+G156+G167+G183+G247+G259+G267+G328+G340+G364+G376+G400+G435+G438</f>
        <v>573599.80000000005</v>
      </c>
      <c r="H15" s="102">
        <f t="shared" ref="H15:J15" si="2">H31+H47+H61+H112+H140+H156+H167+H183+H247+H259+H267+H328+H340+H364+H376+H400+H435+H438</f>
        <v>5736.3</v>
      </c>
      <c r="I15" s="102">
        <f t="shared" si="2"/>
        <v>0</v>
      </c>
      <c r="J15" s="102">
        <f t="shared" si="2"/>
        <v>0</v>
      </c>
      <c r="K15" s="102">
        <f>K31+K47+K61+K112+K140+K156+K167+K183+K247+K259+K267+K328+K340+K364+K376+K400+K435+K438</f>
        <v>567863.5</v>
      </c>
      <c r="L15" s="102">
        <f>L47+L61+L140+L167+L183+L203+L247+L267+L364+L376+L388+L400</f>
        <v>901000</v>
      </c>
      <c r="M15" s="102">
        <f>M47+M61+M140+M167+M183+M203+M247+M267+M364+M376+M388+M400</f>
        <v>1160524.8999999999</v>
      </c>
      <c r="N15" s="1109"/>
      <c r="O15" s="1032"/>
      <c r="P15" s="122"/>
      <c r="Q15" s="48"/>
      <c r="R15" s="463"/>
      <c r="S15" s="463"/>
      <c r="T15" s="463"/>
      <c r="U15" s="463"/>
      <c r="V15" s="463"/>
      <c r="W15" s="463"/>
      <c r="X15" s="463"/>
      <c r="Y15" s="463"/>
    </row>
    <row r="16" spans="1:25" ht="27" customHeight="1">
      <c r="A16" s="986"/>
      <c r="B16" s="62" t="s">
        <v>443</v>
      </c>
      <c r="C16" s="62"/>
      <c r="D16" s="62"/>
      <c r="E16" s="62"/>
      <c r="F16" s="62"/>
      <c r="G16" s="102">
        <f>K16</f>
        <v>857800</v>
      </c>
      <c r="H16" s="102">
        <f t="shared" ref="H16:J16" si="3">H270</f>
        <v>0</v>
      </c>
      <c r="I16" s="102">
        <f t="shared" si="3"/>
        <v>0</v>
      </c>
      <c r="J16" s="102">
        <f t="shared" si="3"/>
        <v>0</v>
      </c>
      <c r="K16" s="102">
        <f>K48+K62+K113+K157+K168+K184+K248+K270+K329+K341+K365+K377+K401+K436</f>
        <v>857800</v>
      </c>
      <c r="L16" s="102">
        <f>L48+L62+L113+L157+L168+L184+L248+L270+L329+L341+L365+L377+L401+L436</f>
        <v>905000</v>
      </c>
      <c r="M16" s="102">
        <f t="shared" ref="M16" si="4">M270</f>
        <v>0</v>
      </c>
      <c r="N16" s="1109"/>
      <c r="O16" s="1032"/>
      <c r="P16" s="122"/>
      <c r="Q16" s="48"/>
      <c r="R16" s="530"/>
      <c r="V16" s="715"/>
      <c r="Y16" s="463"/>
    </row>
    <row r="17" spans="1:61" ht="27" customHeight="1">
      <c r="A17" s="986"/>
      <c r="B17" s="729" t="s">
        <v>443</v>
      </c>
      <c r="C17" s="729"/>
      <c r="D17" s="729"/>
      <c r="E17" s="729"/>
      <c r="F17" s="729"/>
      <c r="G17" s="102">
        <f>G25</f>
        <v>0</v>
      </c>
      <c r="H17" s="102"/>
      <c r="I17" s="102"/>
      <c r="J17" s="102"/>
      <c r="K17" s="102">
        <f>K25</f>
        <v>0</v>
      </c>
      <c r="L17" s="102"/>
      <c r="M17" s="102"/>
      <c r="N17" s="1109"/>
      <c r="O17" s="1032"/>
      <c r="P17" s="122"/>
      <c r="Q17" s="48"/>
      <c r="R17" s="530"/>
      <c r="V17" s="715"/>
      <c r="Y17" s="463"/>
    </row>
    <row r="18" spans="1:61" ht="27" customHeight="1">
      <c r="A18" s="986"/>
      <c r="B18" s="62" t="s">
        <v>442</v>
      </c>
      <c r="C18" s="62">
        <v>176</v>
      </c>
      <c r="D18" s="62" t="s">
        <v>15</v>
      </c>
      <c r="E18" s="62" t="s">
        <v>27</v>
      </c>
      <c r="F18" s="62" t="s">
        <v>28</v>
      </c>
      <c r="G18" s="102">
        <f>G32</f>
        <v>0</v>
      </c>
      <c r="H18" s="102">
        <f t="shared" ref="H18:K18" si="5">H32</f>
        <v>0</v>
      </c>
      <c r="I18" s="102">
        <f t="shared" si="5"/>
        <v>0</v>
      </c>
      <c r="J18" s="102">
        <f t="shared" si="5"/>
        <v>0</v>
      </c>
      <c r="K18" s="102">
        <f t="shared" si="5"/>
        <v>0</v>
      </c>
      <c r="L18" s="102"/>
      <c r="M18" s="102">
        <f>M32+M48+M62+M97+M113+M168+M184+M204+M215+M248+M260+M268+M329+M341+M349+M365+M377+M397+M401+M417+M436</f>
        <v>0</v>
      </c>
      <c r="N18" s="1109"/>
      <c r="O18" s="1032"/>
      <c r="Q18" s="48"/>
      <c r="R18" s="48"/>
      <c r="S18" s="48"/>
      <c r="T18" s="48"/>
      <c r="U18" s="48"/>
      <c r="V18" s="715"/>
      <c r="W18" s="48"/>
      <c r="X18" s="48"/>
      <c r="Y18" s="48"/>
    </row>
    <row r="19" spans="1:61" ht="27" customHeight="1">
      <c r="A19" s="987"/>
      <c r="B19" s="62" t="s">
        <v>454</v>
      </c>
      <c r="C19" s="62"/>
      <c r="D19" s="62"/>
      <c r="E19" s="62"/>
      <c r="F19" s="62"/>
      <c r="G19" s="102">
        <v>0</v>
      </c>
      <c r="H19" s="102">
        <f t="shared" ref="H19:I19" si="6">H84+H88</f>
        <v>0</v>
      </c>
      <c r="I19" s="102">
        <f t="shared" si="6"/>
        <v>0</v>
      </c>
      <c r="J19" s="102">
        <v>0</v>
      </c>
      <c r="K19" s="102">
        <v>0</v>
      </c>
      <c r="L19" s="102"/>
      <c r="M19" s="102"/>
      <c r="N19" s="1110"/>
      <c r="O19" s="1031"/>
      <c r="Q19" s="48"/>
      <c r="R19" s="48"/>
      <c r="S19" s="48"/>
      <c r="T19" s="48"/>
      <c r="U19" s="48"/>
      <c r="V19" s="48"/>
      <c r="W19" s="48"/>
      <c r="X19" s="48"/>
      <c r="Y19" s="48"/>
    </row>
    <row r="20" spans="1:61" ht="27" customHeight="1">
      <c r="A20" s="985" t="s">
        <v>809</v>
      </c>
      <c r="B20" s="62" t="s">
        <v>89</v>
      </c>
      <c r="C20" s="62"/>
      <c r="D20" s="62"/>
      <c r="E20" s="62"/>
      <c r="F20" s="62"/>
      <c r="G20" s="102">
        <f>G11</f>
        <v>17.859323092576776</v>
      </c>
      <c r="H20" s="102">
        <f t="shared" ref="H20:M20" si="7">H11</f>
        <v>0</v>
      </c>
      <c r="I20" s="102">
        <f t="shared" si="7"/>
        <v>0</v>
      </c>
      <c r="J20" s="102">
        <f t="shared" si="7"/>
        <v>0</v>
      </c>
      <c r="K20" s="102">
        <f>K45+K59+K138+K165+K181+K201+K245+K265+K362+K374</f>
        <v>17.859323092576776</v>
      </c>
      <c r="L20" s="102">
        <f t="shared" si="7"/>
        <v>15.299999999999999</v>
      </c>
      <c r="M20" s="102">
        <f t="shared" si="7"/>
        <v>17</v>
      </c>
      <c r="N20" s="1108" t="s">
        <v>897</v>
      </c>
      <c r="O20" s="1030" t="s">
        <v>1091</v>
      </c>
      <c r="S20" s="530"/>
      <c r="U20" s="463"/>
      <c r="X20" s="463"/>
    </row>
    <row r="21" spans="1:61" ht="27" customHeight="1">
      <c r="A21" s="986"/>
      <c r="B21" s="62" t="s">
        <v>24</v>
      </c>
      <c r="C21" s="62"/>
      <c r="D21" s="62"/>
      <c r="E21" s="62"/>
      <c r="F21" s="62"/>
      <c r="G21" s="743">
        <f>G12</f>
        <v>79349.899999999994</v>
      </c>
      <c r="H21" s="743">
        <f t="shared" ref="H21:M21" si="8">H12</f>
        <v>0</v>
      </c>
      <c r="I21" s="743">
        <f t="shared" si="8"/>
        <v>0</v>
      </c>
      <c r="J21" s="743">
        <f t="shared" si="8"/>
        <v>0</v>
      </c>
      <c r="K21" s="743">
        <f t="shared" si="8"/>
        <v>0</v>
      </c>
      <c r="L21" s="743">
        <f t="shared" si="8"/>
        <v>118039.21568627452</v>
      </c>
      <c r="M21" s="743">
        <f t="shared" si="8"/>
        <v>68266.170588235284</v>
      </c>
      <c r="N21" s="1109"/>
      <c r="O21" s="1032"/>
    </row>
    <row r="22" spans="1:61" ht="27" customHeight="1">
      <c r="A22" s="986"/>
      <c r="B22" s="62" t="s">
        <v>25</v>
      </c>
      <c r="C22" s="62"/>
      <c r="D22" s="62"/>
      <c r="E22" s="62"/>
      <c r="F22" s="62"/>
      <c r="G22" s="102">
        <f>G23+G24+G25</f>
        <v>1425663.5</v>
      </c>
      <c r="H22" s="102">
        <f t="shared" ref="H22:K22" si="9">H23+H24+H25</f>
        <v>0</v>
      </c>
      <c r="I22" s="102">
        <f t="shared" si="9"/>
        <v>0</v>
      </c>
      <c r="J22" s="102">
        <f t="shared" si="9"/>
        <v>0</v>
      </c>
      <c r="K22" s="102">
        <f t="shared" si="9"/>
        <v>1425663.5</v>
      </c>
      <c r="L22" s="102">
        <f t="shared" ref="L22:M22" si="10">L23+L24</f>
        <v>1806000</v>
      </c>
      <c r="M22" s="102">
        <f t="shared" si="10"/>
        <v>1160524.8999999999</v>
      </c>
      <c r="N22" s="1109"/>
      <c r="O22" s="1032"/>
    </row>
    <row r="23" spans="1:61" ht="27" customHeight="1">
      <c r="A23" s="986"/>
      <c r="B23" s="62" t="s">
        <v>10</v>
      </c>
      <c r="C23" s="62"/>
      <c r="D23" s="62"/>
      <c r="E23" s="62"/>
      <c r="F23" s="62"/>
      <c r="G23" s="102">
        <f>K23</f>
        <v>567863.5</v>
      </c>
      <c r="H23" s="102"/>
      <c r="I23" s="102"/>
      <c r="J23" s="102"/>
      <c r="K23" s="102">
        <f>K15</f>
        <v>567863.5</v>
      </c>
      <c r="L23" s="102">
        <f t="shared" ref="L23:M23" si="11">L15</f>
        <v>901000</v>
      </c>
      <c r="M23" s="102">
        <f t="shared" si="11"/>
        <v>1160524.8999999999</v>
      </c>
      <c r="N23" s="1109"/>
      <c r="O23" s="1032"/>
    </row>
    <row r="24" spans="1:61" ht="27" customHeight="1">
      <c r="A24" s="986"/>
      <c r="B24" s="62" t="s">
        <v>443</v>
      </c>
      <c r="C24" s="62"/>
      <c r="D24" s="62"/>
      <c r="E24" s="62"/>
      <c r="F24" s="62"/>
      <c r="G24" s="102">
        <f>G16</f>
        <v>857800</v>
      </c>
      <c r="H24" s="102">
        <f>H16</f>
        <v>0</v>
      </c>
      <c r="I24" s="102">
        <f>I16</f>
        <v>0</v>
      </c>
      <c r="J24" s="102">
        <f>J16</f>
        <v>0</v>
      </c>
      <c r="K24" s="102">
        <f>K16</f>
        <v>857800</v>
      </c>
      <c r="L24" s="102">
        <f>L16</f>
        <v>905000</v>
      </c>
      <c r="M24" s="102">
        <f>M16</f>
        <v>0</v>
      </c>
      <c r="N24" s="1109"/>
      <c r="O24" s="1032"/>
    </row>
    <row r="25" spans="1:61" ht="27" customHeight="1">
      <c r="A25" s="986"/>
      <c r="B25" s="729" t="s">
        <v>250</v>
      </c>
      <c r="C25" s="729"/>
      <c r="D25" s="729"/>
      <c r="E25" s="729"/>
      <c r="F25" s="729"/>
      <c r="G25" s="102">
        <f>K25</f>
        <v>0</v>
      </c>
      <c r="H25" s="102"/>
      <c r="I25" s="102"/>
      <c r="J25" s="102"/>
      <c r="K25" s="102">
        <f>K417</f>
        <v>0</v>
      </c>
      <c r="L25" s="102"/>
      <c r="M25" s="102"/>
      <c r="N25" s="1109"/>
      <c r="O25" s="1032"/>
    </row>
    <row r="26" spans="1:61" ht="27" customHeight="1">
      <c r="A26" s="986"/>
      <c r="B26" s="62" t="s">
        <v>442</v>
      </c>
      <c r="C26" s="62"/>
      <c r="D26" s="62"/>
      <c r="E26" s="62"/>
      <c r="F26" s="62"/>
      <c r="G26" s="102"/>
      <c r="H26" s="102"/>
      <c r="I26" s="102"/>
      <c r="J26" s="102"/>
      <c r="K26" s="102"/>
      <c r="L26" s="102"/>
      <c r="M26" s="102"/>
      <c r="N26" s="1109"/>
      <c r="O26" s="1032"/>
    </row>
    <row r="27" spans="1:61" ht="27" customHeight="1">
      <c r="A27" s="987"/>
      <c r="B27" s="658" t="s">
        <v>454</v>
      </c>
      <c r="C27" s="658"/>
      <c r="D27" s="658"/>
      <c r="E27" s="658"/>
      <c r="F27" s="658"/>
      <c r="G27" s="290">
        <v>0</v>
      </c>
      <c r="H27" s="290"/>
      <c r="I27" s="290"/>
      <c r="J27" s="290"/>
      <c r="K27" s="290"/>
      <c r="L27" s="290"/>
      <c r="M27" s="290"/>
      <c r="N27" s="1110"/>
      <c r="O27" s="1032"/>
      <c r="P27" s="1103"/>
      <c r="Q27" s="1041"/>
      <c r="R27" s="1041"/>
    </row>
    <row r="28" spans="1:61" ht="17.45" hidden="1" customHeight="1">
      <c r="A28" s="535" t="s">
        <v>29</v>
      </c>
      <c r="B28" s="651"/>
      <c r="C28" s="651"/>
      <c r="D28" s="651"/>
      <c r="E28" s="651"/>
      <c r="F28" s="651"/>
      <c r="G28" s="706"/>
      <c r="H28" s="706"/>
      <c r="I28" s="706"/>
      <c r="J28" s="706"/>
      <c r="K28" s="747"/>
      <c r="L28" s="706"/>
      <c r="M28" s="706"/>
      <c r="N28" s="739"/>
      <c r="O28" s="706"/>
    </row>
    <row r="29" spans="1:61" s="45" customFormat="1" ht="24.6" hidden="1" customHeight="1">
      <c r="A29" s="1038" t="s">
        <v>96</v>
      </c>
      <c r="B29" s="62" t="s">
        <v>89</v>
      </c>
      <c r="C29" s="62"/>
      <c r="D29" s="62"/>
      <c r="E29" s="62"/>
      <c r="F29" s="62"/>
      <c r="G29" s="102">
        <f t="shared" ref="G29:M29" si="12">G33+G37+G41</f>
        <v>0</v>
      </c>
      <c r="H29" s="102">
        <f t="shared" si="12"/>
        <v>0</v>
      </c>
      <c r="I29" s="102">
        <f t="shared" si="12"/>
        <v>0</v>
      </c>
      <c r="J29" s="102">
        <f t="shared" si="12"/>
        <v>0</v>
      </c>
      <c r="K29" s="102">
        <f t="shared" si="12"/>
        <v>0</v>
      </c>
      <c r="L29" s="102">
        <f>L33</f>
        <v>0</v>
      </c>
      <c r="M29" s="102">
        <f t="shared" si="12"/>
        <v>0</v>
      </c>
      <c r="N29" s="739"/>
      <c r="O29" s="709"/>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row>
    <row r="30" spans="1:61" s="45" customFormat="1" ht="24.6" hidden="1" customHeight="1">
      <c r="A30" s="1038"/>
      <c r="B30" s="62" t="s">
        <v>237</v>
      </c>
      <c r="C30" s="62"/>
      <c r="D30" s="62"/>
      <c r="E30" s="62"/>
      <c r="F30" s="62"/>
      <c r="G30" s="102">
        <f t="shared" ref="G30:M30" si="13">G31+G32</f>
        <v>0</v>
      </c>
      <c r="H30" s="102">
        <f t="shared" si="13"/>
        <v>0</v>
      </c>
      <c r="I30" s="102">
        <f t="shared" si="13"/>
        <v>0</v>
      </c>
      <c r="J30" s="102">
        <f t="shared" si="13"/>
        <v>0</v>
      </c>
      <c r="K30" s="102">
        <f t="shared" si="13"/>
        <v>0</v>
      </c>
      <c r="L30" s="102">
        <f t="shared" si="13"/>
        <v>0</v>
      </c>
      <c r="M30" s="102">
        <f t="shared" si="13"/>
        <v>0</v>
      </c>
      <c r="N30" s="706"/>
      <c r="O30" s="709"/>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row>
    <row r="31" spans="1:61" s="45" customFormat="1" ht="24.6" hidden="1" customHeight="1">
      <c r="A31" s="1038"/>
      <c r="B31" s="62" t="s">
        <v>10</v>
      </c>
      <c r="C31" s="62"/>
      <c r="D31" s="62"/>
      <c r="E31" s="62"/>
      <c r="F31" s="62"/>
      <c r="G31" s="102">
        <f>G35</f>
        <v>0</v>
      </c>
      <c r="H31" s="102">
        <f t="shared" ref="H31:K31" si="14">H35</f>
        <v>0</v>
      </c>
      <c r="I31" s="102">
        <f t="shared" si="14"/>
        <v>0</v>
      </c>
      <c r="J31" s="102">
        <f t="shared" si="14"/>
        <v>0</v>
      </c>
      <c r="K31" s="102">
        <f t="shared" si="14"/>
        <v>0</v>
      </c>
      <c r="L31" s="102"/>
      <c r="M31" s="102">
        <f t="shared" ref="M31" si="15">M35</f>
        <v>0</v>
      </c>
      <c r="N31" s="706"/>
      <c r="O31" s="709"/>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row>
    <row r="32" spans="1:61" s="45" customFormat="1" ht="28.9" hidden="1" customHeight="1">
      <c r="A32" s="1038"/>
      <c r="B32" s="62" t="s">
        <v>34</v>
      </c>
      <c r="C32" s="62"/>
      <c r="D32" s="62"/>
      <c r="E32" s="62"/>
      <c r="F32" s="62"/>
      <c r="G32" s="102">
        <f>G36</f>
        <v>0</v>
      </c>
      <c r="H32" s="102">
        <f t="shared" ref="H32:K32" si="16">H36</f>
        <v>0</v>
      </c>
      <c r="I32" s="102">
        <f t="shared" si="16"/>
        <v>0</v>
      </c>
      <c r="J32" s="102">
        <f t="shared" si="16"/>
        <v>0</v>
      </c>
      <c r="K32" s="102">
        <f t="shared" si="16"/>
        <v>0</v>
      </c>
      <c r="L32" s="102"/>
      <c r="M32" s="102">
        <f t="shared" ref="M32" si="17">M36</f>
        <v>0</v>
      </c>
      <c r="N32" s="706"/>
      <c r="O32" s="709"/>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row>
    <row r="33" spans="1:61" s="45" customFormat="1" ht="28.9" hidden="1" customHeight="1">
      <c r="A33" s="1065" t="s">
        <v>488</v>
      </c>
      <c r="B33" s="643" t="s">
        <v>89</v>
      </c>
      <c r="C33" s="62"/>
      <c r="D33" s="62"/>
      <c r="E33" s="62"/>
      <c r="F33" s="62"/>
      <c r="G33" s="115"/>
      <c r="H33" s="115"/>
      <c r="I33" s="115"/>
      <c r="J33" s="115"/>
      <c r="K33" s="115"/>
      <c r="L33" s="102"/>
      <c r="M33" s="114"/>
      <c r="N33" s="706"/>
      <c r="O33" s="1037" t="s">
        <v>526</v>
      </c>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row>
    <row r="34" spans="1:61" ht="28.9" hidden="1" customHeight="1">
      <c r="A34" s="1065"/>
      <c r="B34" s="643" t="s">
        <v>237</v>
      </c>
      <c r="C34" s="643">
        <v>176</v>
      </c>
      <c r="D34" s="643" t="s">
        <v>15</v>
      </c>
      <c r="E34" s="643">
        <v>6100404</v>
      </c>
      <c r="F34" s="643">
        <v>414</v>
      </c>
      <c r="G34" s="103"/>
      <c r="H34" s="103"/>
      <c r="I34" s="103"/>
      <c r="J34" s="103"/>
      <c r="K34" s="103"/>
      <c r="L34" s="360"/>
      <c r="M34" s="103">
        <f>M36</f>
        <v>0</v>
      </c>
      <c r="N34" s="706"/>
      <c r="O34" s="1037"/>
    </row>
    <row r="35" spans="1:61" ht="24.6" hidden="1" customHeight="1">
      <c r="A35" s="1065"/>
      <c r="B35" s="643" t="s">
        <v>10</v>
      </c>
      <c r="C35" s="643"/>
      <c r="D35" s="643"/>
      <c r="E35" s="643"/>
      <c r="F35" s="643"/>
      <c r="G35" s="103"/>
      <c r="H35" s="103"/>
      <c r="I35" s="103"/>
      <c r="J35" s="103"/>
      <c r="K35" s="103"/>
      <c r="L35" s="360"/>
      <c r="M35" s="103"/>
      <c r="N35" s="706"/>
      <c r="O35" s="1037"/>
    </row>
    <row r="36" spans="1:61" ht="25.5" hidden="1" customHeight="1">
      <c r="A36" s="1065"/>
      <c r="B36" s="643" t="s">
        <v>34</v>
      </c>
      <c r="C36" s="643"/>
      <c r="D36" s="643"/>
      <c r="E36" s="643"/>
      <c r="F36" s="643"/>
      <c r="G36" s="103"/>
      <c r="H36" s="103"/>
      <c r="I36" s="103"/>
      <c r="J36" s="103"/>
      <c r="K36" s="103"/>
      <c r="L36" s="360"/>
      <c r="M36" s="103"/>
      <c r="N36" s="706"/>
      <c r="O36" s="1037"/>
    </row>
    <row r="37" spans="1:61" ht="24.6" hidden="1" customHeight="1">
      <c r="A37" s="1104" t="s">
        <v>13</v>
      </c>
      <c r="B37" s="643" t="s">
        <v>89</v>
      </c>
      <c r="C37" s="643"/>
      <c r="D37" s="643"/>
      <c r="E37" s="643"/>
      <c r="F37" s="643"/>
      <c r="G37" s="103"/>
      <c r="H37" s="103"/>
      <c r="I37" s="103"/>
      <c r="J37" s="103"/>
      <c r="K37" s="103"/>
      <c r="L37" s="103"/>
      <c r="M37" s="103"/>
      <c r="N37" s="706"/>
      <c r="O37" s="1037" t="s">
        <v>198</v>
      </c>
    </row>
    <row r="38" spans="1:61" ht="24.6" hidden="1" customHeight="1">
      <c r="A38" s="1104"/>
      <c r="B38" s="643" t="s">
        <v>237</v>
      </c>
      <c r="C38" s="643">
        <v>176</v>
      </c>
      <c r="D38" s="643" t="s">
        <v>15</v>
      </c>
      <c r="E38" s="643">
        <v>6100404</v>
      </c>
      <c r="F38" s="643">
        <v>414</v>
      </c>
      <c r="G38" s="103"/>
      <c r="H38" s="103"/>
      <c r="I38" s="103"/>
      <c r="J38" s="103"/>
      <c r="K38" s="103"/>
      <c r="L38" s="103"/>
      <c r="M38" s="103"/>
      <c r="N38" s="706"/>
      <c r="O38" s="1037"/>
    </row>
    <row r="39" spans="1:61" ht="24.6" hidden="1" customHeight="1">
      <c r="A39" s="1104"/>
      <c r="B39" s="643" t="s">
        <v>10</v>
      </c>
      <c r="C39" s="643"/>
      <c r="D39" s="643"/>
      <c r="E39" s="643"/>
      <c r="F39" s="643"/>
      <c r="G39" s="103"/>
      <c r="H39" s="103"/>
      <c r="I39" s="103"/>
      <c r="J39" s="103"/>
      <c r="K39" s="103"/>
      <c r="L39" s="103"/>
      <c r="M39" s="103"/>
      <c r="N39" s="706"/>
      <c r="O39" s="1037"/>
    </row>
    <row r="40" spans="1:61" ht="24" hidden="1" customHeight="1">
      <c r="A40" s="1104"/>
      <c r="B40" s="643" t="s">
        <v>34</v>
      </c>
      <c r="C40" s="643"/>
      <c r="D40" s="643"/>
      <c r="E40" s="643"/>
      <c r="F40" s="643"/>
      <c r="G40" s="103"/>
      <c r="H40" s="103"/>
      <c r="I40" s="103"/>
      <c r="J40" s="103"/>
      <c r="K40" s="103"/>
      <c r="L40" s="103"/>
      <c r="M40" s="103"/>
      <c r="N40" s="706"/>
      <c r="O40" s="1037"/>
    </row>
    <row r="41" spans="1:61" ht="24.6" hidden="1" customHeight="1">
      <c r="A41" s="1065" t="s">
        <v>14</v>
      </c>
      <c r="B41" s="643" t="s">
        <v>89</v>
      </c>
      <c r="C41" s="643"/>
      <c r="D41" s="643"/>
      <c r="E41" s="643"/>
      <c r="F41" s="643"/>
      <c r="G41" s="103"/>
      <c r="H41" s="103"/>
      <c r="I41" s="103"/>
      <c r="J41" s="103"/>
      <c r="K41" s="103"/>
      <c r="L41" s="103"/>
      <c r="M41" s="103"/>
      <c r="N41" s="706"/>
      <c r="O41" s="1037" t="s">
        <v>199</v>
      </c>
    </row>
    <row r="42" spans="1:61" ht="24.6" hidden="1" customHeight="1">
      <c r="A42" s="1065"/>
      <c r="B42" s="643" t="s">
        <v>237</v>
      </c>
      <c r="C42" s="643">
        <v>176</v>
      </c>
      <c r="D42" s="643" t="s">
        <v>15</v>
      </c>
      <c r="E42" s="643">
        <v>6100404</v>
      </c>
      <c r="F42" s="643">
        <v>414</v>
      </c>
      <c r="G42" s="103"/>
      <c r="H42" s="103"/>
      <c r="I42" s="103"/>
      <c r="J42" s="103"/>
      <c r="K42" s="103"/>
      <c r="L42" s="103"/>
      <c r="M42" s="103"/>
      <c r="N42" s="706"/>
      <c r="O42" s="1037"/>
    </row>
    <row r="43" spans="1:61" ht="24.6" hidden="1" customHeight="1">
      <c r="A43" s="1065"/>
      <c r="B43" s="643" t="s">
        <v>10</v>
      </c>
      <c r="C43" s="643"/>
      <c r="D43" s="643"/>
      <c r="E43" s="643"/>
      <c r="F43" s="643"/>
      <c r="G43" s="103"/>
      <c r="H43" s="103"/>
      <c r="I43" s="103"/>
      <c r="J43" s="103"/>
      <c r="K43" s="103"/>
      <c r="L43" s="103"/>
      <c r="M43" s="103"/>
      <c r="N43" s="706"/>
      <c r="O43" s="1037"/>
    </row>
    <row r="44" spans="1:61" ht="24.6" hidden="1" customHeight="1">
      <c r="A44" s="1065"/>
      <c r="B44" s="643" t="s">
        <v>34</v>
      </c>
      <c r="C44" s="643"/>
      <c r="D44" s="643"/>
      <c r="E44" s="643"/>
      <c r="F44" s="643"/>
      <c r="G44" s="103"/>
      <c r="H44" s="103"/>
      <c r="I44" s="103"/>
      <c r="J44" s="103"/>
      <c r="K44" s="103"/>
      <c r="L44" s="103"/>
      <c r="M44" s="103"/>
      <c r="N44" s="706"/>
      <c r="O44" s="1037"/>
    </row>
    <row r="45" spans="1:61" ht="24.6" customHeight="1">
      <c r="A45" s="1038" t="s">
        <v>116</v>
      </c>
      <c r="B45" s="62" t="s">
        <v>89</v>
      </c>
      <c r="C45" s="62"/>
      <c r="D45" s="62"/>
      <c r="E45" s="62"/>
      <c r="F45" s="62"/>
      <c r="G45" s="102">
        <f>G49</f>
        <v>0</v>
      </c>
      <c r="H45" s="102"/>
      <c r="I45" s="102"/>
      <c r="J45" s="102"/>
      <c r="K45" s="102">
        <f>K49</f>
        <v>0</v>
      </c>
      <c r="L45" s="102">
        <f>L49</f>
        <v>1</v>
      </c>
      <c r="M45" s="102">
        <f>M49</f>
        <v>2</v>
      </c>
      <c r="N45" s="706"/>
      <c r="O45" s="703"/>
    </row>
    <row r="46" spans="1:61" ht="24.6" customHeight="1">
      <c r="A46" s="1038"/>
      <c r="B46" s="62" t="s">
        <v>237</v>
      </c>
      <c r="C46" s="62"/>
      <c r="D46" s="62"/>
      <c r="E46" s="62"/>
      <c r="F46" s="62"/>
      <c r="G46" s="102">
        <f>G47</f>
        <v>0</v>
      </c>
      <c r="H46" s="102">
        <f t="shared" ref="H46:K46" si="18">H47</f>
        <v>0</v>
      </c>
      <c r="I46" s="102">
        <f t="shared" si="18"/>
        <v>0</v>
      </c>
      <c r="J46" s="102">
        <f t="shared" si="18"/>
        <v>0</v>
      </c>
      <c r="K46" s="102">
        <f t="shared" si="18"/>
        <v>0</v>
      </c>
      <c r="L46" s="102">
        <f t="shared" ref="L46:M46" si="19">L47+L48</f>
        <v>70000</v>
      </c>
      <c r="M46" s="102">
        <f t="shared" si="19"/>
        <v>70000</v>
      </c>
      <c r="N46" s="706"/>
      <c r="O46" s="703"/>
    </row>
    <row r="47" spans="1:61" ht="24.6" customHeight="1">
      <c r="A47" s="1038"/>
      <c r="B47" s="62" t="s">
        <v>10</v>
      </c>
      <c r="C47" s="62"/>
      <c r="D47" s="62"/>
      <c r="E47" s="62"/>
      <c r="F47" s="62"/>
      <c r="G47" s="102">
        <f>G51</f>
        <v>0</v>
      </c>
      <c r="H47" s="102">
        <f t="shared" ref="H47:K47" si="20">H51</f>
        <v>0</v>
      </c>
      <c r="I47" s="102">
        <f t="shared" si="20"/>
        <v>0</v>
      </c>
      <c r="J47" s="102">
        <f t="shared" si="20"/>
        <v>0</v>
      </c>
      <c r="K47" s="102">
        <f t="shared" si="20"/>
        <v>0</v>
      </c>
      <c r="L47" s="102">
        <f>L51</f>
        <v>70000</v>
      </c>
      <c r="M47" s="102">
        <f t="shared" ref="M47" si="21">M51</f>
        <v>70000</v>
      </c>
      <c r="N47" s="706"/>
      <c r="O47" s="703"/>
    </row>
    <row r="48" spans="1:61" ht="24.6" customHeight="1">
      <c r="A48" s="1038"/>
      <c r="B48" s="62" t="s">
        <v>443</v>
      </c>
      <c r="C48" s="62"/>
      <c r="D48" s="62"/>
      <c r="E48" s="62"/>
      <c r="F48" s="62"/>
      <c r="G48" s="102"/>
      <c r="H48" s="102"/>
      <c r="I48" s="102"/>
      <c r="J48" s="102"/>
      <c r="K48" s="102"/>
      <c r="L48" s="102"/>
      <c r="M48" s="102"/>
      <c r="N48" s="706"/>
      <c r="O48" s="703"/>
      <c r="AA48" s="122"/>
      <c r="AC48" s="122"/>
    </row>
    <row r="49" spans="1:61" ht="24.6" customHeight="1">
      <c r="A49" s="1070" t="s">
        <v>297</v>
      </c>
      <c r="B49" s="643" t="s">
        <v>89</v>
      </c>
      <c r="C49" s="62"/>
      <c r="D49" s="62"/>
      <c r="E49" s="62"/>
      <c r="F49" s="62"/>
      <c r="G49" s="103">
        <f>K49</f>
        <v>0</v>
      </c>
      <c r="H49" s="103"/>
      <c r="I49" s="103"/>
      <c r="J49" s="103"/>
      <c r="K49" s="103"/>
      <c r="L49" s="103">
        <v>1</v>
      </c>
      <c r="M49" s="103">
        <v>2</v>
      </c>
      <c r="N49" s="706"/>
      <c r="O49" s="1037" t="s">
        <v>927</v>
      </c>
      <c r="AA49" s="122"/>
      <c r="AC49" s="122"/>
    </row>
    <row r="50" spans="1:61" ht="24.6" customHeight="1">
      <c r="A50" s="1071"/>
      <c r="B50" s="643" t="s">
        <v>237</v>
      </c>
      <c r="C50" s="643"/>
      <c r="D50" s="643"/>
      <c r="E50" s="643"/>
      <c r="F50" s="643"/>
      <c r="G50" s="103">
        <f>G51</f>
        <v>0</v>
      </c>
      <c r="H50" s="103">
        <f>H51</f>
        <v>0</v>
      </c>
      <c r="I50" s="103"/>
      <c r="J50" s="103">
        <f>J51</f>
        <v>0</v>
      </c>
      <c r="K50" s="103">
        <f>K51</f>
        <v>0</v>
      </c>
      <c r="L50" s="103">
        <f t="shared" ref="L50:M50" si="22">L51+L52</f>
        <v>70000</v>
      </c>
      <c r="M50" s="103">
        <f t="shared" si="22"/>
        <v>70000</v>
      </c>
      <c r="N50" s="706"/>
      <c r="O50" s="1037"/>
    </row>
    <row r="51" spans="1:61" ht="24.6" customHeight="1">
      <c r="A51" s="1071"/>
      <c r="B51" s="643" t="s">
        <v>10</v>
      </c>
      <c r="C51" s="643"/>
      <c r="D51" s="643"/>
      <c r="E51" s="643"/>
      <c r="F51" s="643"/>
      <c r="G51" s="103">
        <f>K51</f>
        <v>0</v>
      </c>
      <c r="H51" s="103"/>
      <c r="I51" s="103"/>
      <c r="J51" s="103"/>
      <c r="K51" s="103">
        <v>0</v>
      </c>
      <c r="L51" s="103">
        <v>70000</v>
      </c>
      <c r="M51" s="103">
        <v>70000</v>
      </c>
      <c r="N51" s="706"/>
      <c r="O51" s="1037"/>
    </row>
    <row r="52" spans="1:61" ht="24" customHeight="1">
      <c r="A52" s="1072"/>
      <c r="B52" s="643" t="s">
        <v>443</v>
      </c>
      <c r="C52" s="643"/>
      <c r="D52" s="643"/>
      <c r="E52" s="643"/>
      <c r="F52" s="643"/>
      <c r="G52" s="331"/>
      <c r="H52" s="103"/>
      <c r="I52" s="103"/>
      <c r="J52" s="103"/>
      <c r="K52" s="103"/>
      <c r="L52" s="103"/>
      <c r="M52" s="103"/>
      <c r="N52" s="706"/>
      <c r="O52" s="1037"/>
    </row>
    <row r="53" spans="1:61" s="45" customFormat="1" ht="24.6" hidden="1" customHeight="1">
      <c r="A53" s="1038" t="s">
        <v>97</v>
      </c>
      <c r="B53" s="62" t="s">
        <v>89</v>
      </c>
      <c r="C53" s="62"/>
      <c r="D53" s="62"/>
      <c r="E53" s="62"/>
      <c r="F53" s="62"/>
      <c r="G53" s="102">
        <f t="shared" ref="G53" si="23">SUM(G56)</f>
        <v>0</v>
      </c>
      <c r="H53" s="102"/>
      <c r="I53" s="102"/>
      <c r="J53" s="102"/>
      <c r="K53" s="102"/>
      <c r="L53" s="102"/>
      <c r="M53" s="102"/>
      <c r="N53" s="706"/>
      <c r="O53" s="709"/>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row>
    <row r="54" spans="1:61" s="45" customFormat="1" ht="24.6" hidden="1" customHeight="1">
      <c r="A54" s="1038"/>
      <c r="B54" s="62" t="s">
        <v>237</v>
      </c>
      <c r="C54" s="62"/>
      <c r="D54" s="62"/>
      <c r="E54" s="62"/>
      <c r="F54" s="62"/>
      <c r="G54" s="102">
        <f t="shared" ref="G54" si="24">G55</f>
        <v>0</v>
      </c>
      <c r="H54" s="102"/>
      <c r="I54" s="102"/>
      <c r="J54" s="102"/>
      <c r="K54" s="102"/>
      <c r="L54" s="102"/>
      <c r="M54" s="102"/>
      <c r="N54" s="706"/>
      <c r="O54" s="709"/>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row>
    <row r="55" spans="1:61" s="45" customFormat="1" ht="24.6" hidden="1" customHeight="1">
      <c r="A55" s="1038"/>
      <c r="B55" s="62" t="s">
        <v>34</v>
      </c>
      <c r="C55" s="62"/>
      <c r="D55" s="62"/>
      <c r="E55" s="62"/>
      <c r="F55" s="62"/>
      <c r="G55" s="102"/>
      <c r="H55" s="102"/>
      <c r="I55" s="102"/>
      <c r="J55" s="102"/>
      <c r="K55" s="102"/>
      <c r="L55" s="102"/>
      <c r="M55" s="102"/>
      <c r="N55" s="706"/>
      <c r="O55" s="709"/>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row>
    <row r="56" spans="1:61" ht="24.6" hidden="1" customHeight="1">
      <c r="A56" s="1099" t="s">
        <v>19</v>
      </c>
      <c r="B56" s="643" t="s">
        <v>89</v>
      </c>
      <c r="C56" s="643">
        <v>176</v>
      </c>
      <c r="D56" s="643" t="s">
        <v>15</v>
      </c>
      <c r="E56" s="643">
        <v>6100404</v>
      </c>
      <c r="F56" s="643">
        <v>414</v>
      </c>
      <c r="G56" s="103">
        <v>0</v>
      </c>
      <c r="H56" s="103"/>
      <c r="I56" s="103"/>
      <c r="J56" s="103"/>
      <c r="K56" s="103"/>
      <c r="L56" s="103"/>
      <c r="M56" s="103"/>
      <c r="N56" s="706"/>
      <c r="O56" s="1037" t="s">
        <v>264</v>
      </c>
    </row>
    <row r="57" spans="1:61" ht="24.6" hidden="1" customHeight="1">
      <c r="A57" s="1099"/>
      <c r="B57" s="643" t="s">
        <v>237</v>
      </c>
      <c r="C57" s="643"/>
      <c r="D57" s="643"/>
      <c r="E57" s="643"/>
      <c r="F57" s="643"/>
      <c r="G57" s="103"/>
      <c r="H57" s="103"/>
      <c r="I57" s="103"/>
      <c r="J57" s="103"/>
      <c r="K57" s="103"/>
      <c r="L57" s="103"/>
      <c r="M57" s="103"/>
      <c r="N57" s="706"/>
      <c r="O57" s="1037"/>
    </row>
    <row r="58" spans="1:61" ht="22.9" hidden="1" customHeight="1">
      <c r="A58" s="1099"/>
      <c r="B58" s="643" t="s">
        <v>34</v>
      </c>
      <c r="C58" s="643"/>
      <c r="D58" s="643"/>
      <c r="E58" s="643"/>
      <c r="F58" s="643"/>
      <c r="G58" s="103"/>
      <c r="H58" s="103"/>
      <c r="I58" s="103"/>
      <c r="J58" s="103"/>
      <c r="K58" s="103"/>
      <c r="L58" s="103"/>
      <c r="M58" s="103"/>
      <c r="N58" s="706"/>
      <c r="O58" s="1037"/>
    </row>
    <row r="59" spans="1:61" s="45" customFormat="1" ht="22.9" customHeight="1">
      <c r="A59" s="1100" t="s">
        <v>98</v>
      </c>
      <c r="B59" s="62" t="s">
        <v>89</v>
      </c>
      <c r="C59" s="62"/>
      <c r="D59" s="62"/>
      <c r="E59" s="62"/>
      <c r="F59" s="62"/>
      <c r="G59" s="102">
        <f>G67+G74+G78+G82+G86+G90</f>
        <v>2.6</v>
      </c>
      <c r="H59" s="102">
        <f t="shared" ref="H59:K59" si="25">H67+H74+H78+H82+H86+H90</f>
        <v>0</v>
      </c>
      <c r="I59" s="102">
        <f t="shared" si="25"/>
        <v>0</v>
      </c>
      <c r="J59" s="102">
        <f t="shared" si="25"/>
        <v>0</v>
      </c>
      <c r="K59" s="102">
        <f t="shared" si="25"/>
        <v>2.6</v>
      </c>
      <c r="L59" s="102">
        <f t="shared" ref="L59:M59" si="26">L67+L74+L78+L82+L86+L90</f>
        <v>0</v>
      </c>
      <c r="M59" s="102">
        <f t="shared" si="26"/>
        <v>0</v>
      </c>
      <c r="N59" s="706"/>
      <c r="O59" s="709"/>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row>
    <row r="60" spans="1:61" s="45" customFormat="1" ht="22.9" customHeight="1">
      <c r="A60" s="1101"/>
      <c r="B60" s="62" t="s">
        <v>237</v>
      </c>
      <c r="C60" s="62"/>
      <c r="D60" s="62"/>
      <c r="E60" s="62"/>
      <c r="F60" s="62"/>
      <c r="G60" s="102">
        <f>G68+G75+G79+G83+G87+G91</f>
        <v>65000</v>
      </c>
      <c r="H60" s="102">
        <f t="shared" ref="H60:K60" si="27">H68+H75+H79+H83+H87+H91</f>
        <v>0</v>
      </c>
      <c r="I60" s="102">
        <f t="shared" si="27"/>
        <v>0</v>
      </c>
      <c r="J60" s="102">
        <f t="shared" si="27"/>
        <v>0</v>
      </c>
      <c r="K60" s="102">
        <f t="shared" si="27"/>
        <v>65000</v>
      </c>
      <c r="L60" s="102">
        <f t="shared" ref="L60:M60" si="28">L68+L75+L79+L83+L87+L91</f>
        <v>0</v>
      </c>
      <c r="M60" s="102">
        <f t="shared" si="28"/>
        <v>0</v>
      </c>
      <c r="N60" s="706"/>
      <c r="O60" s="709"/>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row>
    <row r="61" spans="1:61" s="45" customFormat="1" ht="24.6" customHeight="1">
      <c r="A61" s="1101"/>
      <c r="B61" s="62" t="s">
        <v>10</v>
      </c>
      <c r="C61" s="62"/>
      <c r="D61" s="62"/>
      <c r="E61" s="62"/>
      <c r="F61" s="62"/>
      <c r="G61" s="102">
        <f>G76+G80+G84+G88+G92+G69</f>
        <v>65000</v>
      </c>
      <c r="H61" s="102">
        <f t="shared" ref="H61:K61" si="29">H76+H80+H84+H88+H92+H69</f>
        <v>0</v>
      </c>
      <c r="I61" s="102">
        <f t="shared" si="29"/>
        <v>0</v>
      </c>
      <c r="J61" s="102">
        <f t="shared" si="29"/>
        <v>0</v>
      </c>
      <c r="K61" s="102">
        <f t="shared" si="29"/>
        <v>65000</v>
      </c>
      <c r="L61" s="102">
        <f>L69</f>
        <v>0</v>
      </c>
      <c r="M61" s="102">
        <f>M69</f>
        <v>0</v>
      </c>
      <c r="N61" s="706"/>
      <c r="O61" s="709"/>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row>
    <row r="62" spans="1:61" s="45" customFormat="1" ht="23.45" customHeight="1">
      <c r="A62" s="1102"/>
      <c r="B62" s="62" t="s">
        <v>443</v>
      </c>
      <c r="C62" s="62"/>
      <c r="D62" s="62"/>
      <c r="E62" s="62"/>
      <c r="F62" s="62"/>
      <c r="G62" s="102">
        <f>G70+G77+G81+G85+G89+G93</f>
        <v>0</v>
      </c>
      <c r="H62" s="102">
        <f t="shared" ref="H62:K62" si="30">H70+H77+H81+H85+H89+H93</f>
        <v>0</v>
      </c>
      <c r="I62" s="102">
        <f t="shared" si="30"/>
        <v>0</v>
      </c>
      <c r="J62" s="102">
        <f t="shared" si="30"/>
        <v>0</v>
      </c>
      <c r="K62" s="102">
        <f t="shared" si="30"/>
        <v>0</v>
      </c>
      <c r="L62" s="102">
        <f t="shared" ref="L62:M62" si="31">L70+L77+L81+L85+L89+L93</f>
        <v>0</v>
      </c>
      <c r="M62" s="102">
        <f t="shared" si="31"/>
        <v>0</v>
      </c>
      <c r="N62" s="706"/>
      <c r="O62" s="709"/>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row>
    <row r="63" spans="1:61" s="45" customFormat="1" ht="24.95" hidden="1" customHeight="1">
      <c r="A63" s="1065" t="s">
        <v>17</v>
      </c>
      <c r="B63" s="643" t="s">
        <v>89</v>
      </c>
      <c r="C63" s="62"/>
      <c r="D63" s="62"/>
      <c r="E63" s="62"/>
      <c r="F63" s="62"/>
      <c r="G63" s="102"/>
      <c r="H63" s="102"/>
      <c r="I63" s="102"/>
      <c r="J63" s="102"/>
      <c r="K63" s="102"/>
      <c r="L63" s="102"/>
      <c r="M63" s="102"/>
      <c r="N63" s="706"/>
      <c r="O63" s="709"/>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row>
    <row r="64" spans="1:61" ht="24.95" hidden="1" customHeight="1">
      <c r="A64" s="1065"/>
      <c r="B64" s="643" t="s">
        <v>237</v>
      </c>
      <c r="C64" s="643">
        <v>176</v>
      </c>
      <c r="D64" s="643" t="s">
        <v>15</v>
      </c>
      <c r="E64" s="643">
        <v>6100404</v>
      </c>
      <c r="F64" s="643">
        <v>414</v>
      </c>
      <c r="G64" s="103">
        <v>0</v>
      </c>
      <c r="H64" s="103"/>
      <c r="I64" s="103"/>
      <c r="J64" s="103"/>
      <c r="K64" s="103"/>
      <c r="L64" s="103">
        <v>0</v>
      </c>
      <c r="M64" s="103"/>
      <c r="N64" s="706"/>
      <c r="O64" s="1037" t="s">
        <v>196</v>
      </c>
    </row>
    <row r="65" spans="1:27" ht="24.95" hidden="1" customHeight="1">
      <c r="A65" s="1065"/>
      <c r="B65" s="643" t="s">
        <v>10</v>
      </c>
      <c r="C65" s="643"/>
      <c r="D65" s="643"/>
      <c r="E65" s="643"/>
      <c r="F65" s="643"/>
      <c r="G65" s="103"/>
      <c r="H65" s="103"/>
      <c r="I65" s="103"/>
      <c r="J65" s="103"/>
      <c r="K65" s="103"/>
      <c r="L65" s="103"/>
      <c r="M65" s="103"/>
      <c r="N65" s="706"/>
      <c r="O65" s="1037"/>
    </row>
    <row r="66" spans="1:27" ht="22.9" hidden="1" customHeight="1">
      <c r="A66" s="1065"/>
      <c r="B66" s="643" t="s">
        <v>34</v>
      </c>
      <c r="C66" s="643"/>
      <c r="D66" s="643"/>
      <c r="E66" s="643"/>
      <c r="F66" s="643"/>
      <c r="G66" s="103"/>
      <c r="H66" s="103"/>
      <c r="I66" s="103"/>
      <c r="J66" s="103"/>
      <c r="K66" s="103"/>
      <c r="L66" s="103"/>
      <c r="M66" s="103"/>
      <c r="N66" s="706"/>
      <c r="O66" s="1037"/>
      <c r="Q66" s="48"/>
      <c r="S66" s="48"/>
    </row>
    <row r="67" spans="1:27" ht="22.9" customHeight="1">
      <c r="A67" s="1065" t="s">
        <v>483</v>
      </c>
      <c r="B67" s="643" t="s">
        <v>89</v>
      </c>
      <c r="C67" s="643"/>
      <c r="D67" s="643"/>
      <c r="E67" s="643"/>
      <c r="F67" s="643"/>
      <c r="G67" s="114">
        <f>K67</f>
        <v>2.6</v>
      </c>
      <c r="H67" s="114"/>
      <c r="I67" s="114"/>
      <c r="J67" s="114"/>
      <c r="K67" s="114">
        <v>2.6</v>
      </c>
      <c r="L67" s="103">
        <v>0</v>
      </c>
      <c r="M67" s="103">
        <v>0</v>
      </c>
      <c r="N67" s="706"/>
      <c r="O67" s="1037" t="s">
        <v>527</v>
      </c>
    </row>
    <row r="68" spans="1:27" ht="22.9" customHeight="1">
      <c r="A68" s="1065"/>
      <c r="B68" s="643" t="s">
        <v>237</v>
      </c>
      <c r="C68" s="643"/>
      <c r="D68" s="643"/>
      <c r="E68" s="643"/>
      <c r="F68" s="643"/>
      <c r="G68" s="103">
        <f>G69+G70</f>
        <v>65000</v>
      </c>
      <c r="H68" s="103">
        <f t="shared" ref="H68:K68" si="32">H69+H70</f>
        <v>0</v>
      </c>
      <c r="I68" s="103">
        <f t="shared" si="32"/>
        <v>0</v>
      </c>
      <c r="J68" s="103">
        <f t="shared" si="32"/>
        <v>0</v>
      </c>
      <c r="K68" s="103">
        <f t="shared" si="32"/>
        <v>65000</v>
      </c>
      <c r="L68" s="103">
        <f>L69</f>
        <v>0</v>
      </c>
      <c r="M68" s="103">
        <f>M69</f>
        <v>0</v>
      </c>
      <c r="N68" s="706"/>
      <c r="O68" s="1037"/>
      <c r="Q68" s="48"/>
      <c r="X68" s="48" t="e">
        <f>#REF!-S13</f>
        <v>#REF!</v>
      </c>
    </row>
    <row r="69" spans="1:27" ht="24.6" customHeight="1">
      <c r="A69" s="1065"/>
      <c r="B69" s="643" t="s">
        <v>10</v>
      </c>
      <c r="C69" s="643"/>
      <c r="D69" s="643"/>
      <c r="E69" s="643"/>
      <c r="F69" s="643"/>
      <c r="G69" s="103">
        <f>K69</f>
        <v>65000</v>
      </c>
      <c r="H69" s="103"/>
      <c r="I69" s="103"/>
      <c r="J69" s="103"/>
      <c r="K69" s="103">
        <v>65000</v>
      </c>
      <c r="L69" s="103">
        <v>0</v>
      </c>
      <c r="M69" s="103">
        <v>0</v>
      </c>
      <c r="N69" s="706"/>
      <c r="O69" s="1037"/>
      <c r="Q69" s="48"/>
      <c r="X69" s="48"/>
    </row>
    <row r="70" spans="1:27" ht="24.6" customHeight="1">
      <c r="A70" s="1065"/>
      <c r="B70" s="643" t="s">
        <v>443</v>
      </c>
      <c r="C70" s="643"/>
      <c r="D70" s="643"/>
      <c r="E70" s="643"/>
      <c r="F70" s="643"/>
      <c r="G70" s="103">
        <v>0</v>
      </c>
      <c r="H70" s="103"/>
      <c r="I70" s="103"/>
      <c r="J70" s="103"/>
      <c r="K70" s="103"/>
      <c r="L70" s="103"/>
      <c r="M70" s="103"/>
      <c r="N70" s="706"/>
      <c r="O70" s="1037"/>
    </row>
    <row r="71" spans="1:27" ht="24.95" hidden="1" customHeight="1">
      <c r="A71" s="1065" t="s">
        <v>215</v>
      </c>
      <c r="B71" s="643" t="s">
        <v>89</v>
      </c>
      <c r="C71" s="643"/>
      <c r="D71" s="643"/>
      <c r="E71" s="643"/>
      <c r="F71" s="643"/>
      <c r="G71" s="103"/>
      <c r="H71" s="103"/>
      <c r="I71" s="103"/>
      <c r="J71" s="103"/>
      <c r="K71" s="103"/>
      <c r="L71" s="103"/>
      <c r="M71" s="103"/>
      <c r="N71" s="706"/>
      <c r="O71" s="1037" t="s">
        <v>216</v>
      </c>
      <c r="Q71" s="48"/>
    </row>
    <row r="72" spans="1:27" ht="24.95" hidden="1" customHeight="1">
      <c r="A72" s="1065"/>
      <c r="B72" s="643" t="s">
        <v>237</v>
      </c>
      <c r="C72" s="643"/>
      <c r="D72" s="643"/>
      <c r="E72" s="643"/>
      <c r="F72" s="643"/>
      <c r="G72" s="103"/>
      <c r="H72" s="103"/>
      <c r="I72" s="103"/>
      <c r="J72" s="103"/>
      <c r="K72" s="103"/>
      <c r="L72" s="103"/>
      <c r="M72" s="103"/>
      <c r="N72" s="706"/>
      <c r="O72" s="1037"/>
    </row>
    <row r="73" spans="1:27" ht="24.95" hidden="1" customHeight="1">
      <c r="A73" s="1065"/>
      <c r="B73" s="643" t="s">
        <v>34</v>
      </c>
      <c r="C73" s="643"/>
      <c r="D73" s="643"/>
      <c r="E73" s="643"/>
      <c r="F73" s="643"/>
      <c r="G73" s="103"/>
      <c r="H73" s="103"/>
      <c r="I73" s="103"/>
      <c r="J73" s="103"/>
      <c r="K73" s="103"/>
      <c r="L73" s="103"/>
      <c r="M73" s="103"/>
      <c r="N73" s="706"/>
      <c r="O73" s="1037"/>
    </row>
    <row r="74" spans="1:27" ht="20.25" hidden="1" customHeight="1">
      <c r="A74" s="1070" t="s">
        <v>244</v>
      </c>
      <c r="B74" s="643" t="s">
        <v>89</v>
      </c>
      <c r="C74" s="643"/>
      <c r="D74" s="643"/>
      <c r="E74" s="643"/>
      <c r="F74" s="643"/>
      <c r="G74" s="103">
        <f>K74</f>
        <v>0</v>
      </c>
      <c r="H74" s="114"/>
      <c r="I74" s="114"/>
      <c r="J74" s="114"/>
      <c r="K74" s="103">
        <v>0</v>
      </c>
      <c r="L74" s="103"/>
      <c r="M74" s="103"/>
      <c r="N74" s="706"/>
      <c r="O74" s="1037" t="s">
        <v>884</v>
      </c>
    </row>
    <row r="75" spans="1:27" ht="24.6" hidden="1" customHeight="1">
      <c r="A75" s="1071"/>
      <c r="B75" s="643" t="s">
        <v>237</v>
      </c>
      <c r="C75" s="643"/>
      <c r="D75" s="643"/>
      <c r="E75" s="643"/>
      <c r="F75" s="643"/>
      <c r="G75" s="103">
        <f>K75</f>
        <v>0</v>
      </c>
      <c r="H75" s="103"/>
      <c r="I75" s="103"/>
      <c r="J75" s="103"/>
      <c r="K75" s="103">
        <f>K76+K77</f>
        <v>0</v>
      </c>
      <c r="L75" s="103">
        <f t="shared" ref="L75" si="33">L76</f>
        <v>0</v>
      </c>
      <c r="M75" s="103"/>
      <c r="N75" s="706"/>
      <c r="O75" s="1037"/>
      <c r="AA75" s="656">
        <f>K75/29200.7*1.074*1.037*1.049*1.05</f>
        <v>0</v>
      </c>
    </row>
    <row r="76" spans="1:27" ht="24.6" hidden="1" customHeight="1">
      <c r="A76" s="1071"/>
      <c r="B76" s="643" t="s">
        <v>10</v>
      </c>
      <c r="C76" s="643"/>
      <c r="D76" s="643"/>
      <c r="E76" s="643"/>
      <c r="F76" s="643"/>
      <c r="G76" s="103">
        <f>K76</f>
        <v>0</v>
      </c>
      <c r="H76" s="103"/>
      <c r="I76" s="103"/>
      <c r="J76" s="103"/>
      <c r="K76" s="103"/>
      <c r="L76" s="103"/>
      <c r="M76" s="103"/>
      <c r="N76" s="706"/>
      <c r="O76" s="1037"/>
    </row>
    <row r="77" spans="1:27" ht="24.6" hidden="1" customHeight="1">
      <c r="A77" s="1072"/>
      <c r="B77" s="643" t="s">
        <v>443</v>
      </c>
      <c r="C77" s="643"/>
      <c r="D77" s="643"/>
      <c r="E77" s="643"/>
      <c r="F77" s="643"/>
      <c r="G77" s="103">
        <f>K77</f>
        <v>0</v>
      </c>
      <c r="H77" s="103"/>
      <c r="I77" s="103"/>
      <c r="J77" s="103"/>
      <c r="K77" s="103">
        <v>0</v>
      </c>
      <c r="L77" s="103"/>
      <c r="M77" s="103"/>
      <c r="N77" s="706"/>
      <c r="O77" s="1037"/>
    </row>
    <row r="78" spans="1:27" ht="24.6" hidden="1" customHeight="1">
      <c r="A78" s="1070" t="s">
        <v>438</v>
      </c>
      <c r="B78" s="643" t="s">
        <v>89</v>
      </c>
      <c r="C78" s="643"/>
      <c r="D78" s="643"/>
      <c r="E78" s="643"/>
      <c r="F78" s="643"/>
      <c r="G78" s="103"/>
      <c r="H78" s="103"/>
      <c r="I78" s="103"/>
      <c r="J78" s="103"/>
      <c r="K78" s="103"/>
      <c r="L78" s="103"/>
      <c r="M78" s="103"/>
      <c r="N78" s="706"/>
      <c r="O78" s="1037" t="s">
        <v>339</v>
      </c>
    </row>
    <row r="79" spans="1:27" ht="24.6" hidden="1" customHeight="1">
      <c r="A79" s="1071"/>
      <c r="B79" s="643" t="s">
        <v>237</v>
      </c>
      <c r="C79" s="643"/>
      <c r="D79" s="643"/>
      <c r="E79" s="643"/>
      <c r="F79" s="643"/>
      <c r="G79" s="103"/>
      <c r="H79" s="103"/>
      <c r="I79" s="103"/>
      <c r="J79" s="103"/>
      <c r="K79" s="103"/>
      <c r="L79" s="103"/>
      <c r="M79" s="103">
        <f>M80+M81</f>
        <v>0</v>
      </c>
      <c r="N79" s="706"/>
      <c r="O79" s="1037"/>
    </row>
    <row r="80" spans="1:27" ht="24.6" hidden="1" customHeight="1">
      <c r="A80" s="1071"/>
      <c r="B80" s="643" t="s">
        <v>10</v>
      </c>
      <c r="C80" s="643"/>
      <c r="D80" s="643"/>
      <c r="E80" s="643"/>
      <c r="F80" s="643"/>
      <c r="G80" s="103"/>
      <c r="H80" s="103"/>
      <c r="I80" s="103"/>
      <c r="J80" s="103"/>
      <c r="K80" s="103"/>
      <c r="L80" s="103"/>
      <c r="M80" s="103"/>
      <c r="N80" s="706"/>
      <c r="O80" s="1037"/>
    </row>
    <row r="81" spans="1:61" ht="24.6" hidden="1" customHeight="1">
      <c r="A81" s="1072"/>
      <c r="B81" s="639" t="s">
        <v>34</v>
      </c>
      <c r="C81" s="639"/>
      <c r="D81" s="639"/>
      <c r="E81" s="639"/>
      <c r="F81" s="639"/>
      <c r="G81" s="107"/>
      <c r="H81" s="107"/>
      <c r="I81" s="107"/>
      <c r="J81" s="107"/>
      <c r="K81" s="107"/>
      <c r="L81" s="107"/>
      <c r="M81" s="107"/>
      <c r="N81" s="706"/>
      <c r="O81" s="1037"/>
    </row>
    <row r="82" spans="1:61" ht="24.6" hidden="1" customHeight="1">
      <c r="A82" s="1070" t="s">
        <v>344</v>
      </c>
      <c r="B82" s="639" t="s">
        <v>89</v>
      </c>
      <c r="C82" s="639"/>
      <c r="D82" s="639"/>
      <c r="E82" s="639"/>
      <c r="F82" s="639"/>
      <c r="G82" s="332"/>
      <c r="H82" s="332"/>
      <c r="I82" s="332"/>
      <c r="J82" s="332"/>
      <c r="K82" s="332"/>
      <c r="L82" s="107"/>
      <c r="M82" s="131"/>
      <c r="N82" s="706"/>
      <c r="O82" s="1037"/>
    </row>
    <row r="83" spans="1:61" ht="24.6" hidden="1" customHeight="1">
      <c r="A83" s="1071"/>
      <c r="B83" s="639" t="s">
        <v>237</v>
      </c>
      <c r="C83" s="639"/>
      <c r="D83" s="639"/>
      <c r="E83" s="639"/>
      <c r="F83" s="639"/>
      <c r="G83" s="107"/>
      <c r="H83" s="107"/>
      <c r="I83" s="107"/>
      <c r="J83" s="107"/>
      <c r="K83" s="107"/>
      <c r="L83" s="107"/>
      <c r="M83" s="107">
        <f>M85</f>
        <v>0</v>
      </c>
      <c r="N83" s="706"/>
      <c r="O83" s="1037"/>
    </row>
    <row r="84" spans="1:61" ht="24.6" hidden="1" customHeight="1">
      <c r="A84" s="1071"/>
      <c r="B84" s="639" t="s">
        <v>10</v>
      </c>
      <c r="C84" s="639"/>
      <c r="D84" s="639"/>
      <c r="E84" s="639"/>
      <c r="F84" s="639"/>
      <c r="G84" s="107"/>
      <c r="H84" s="107"/>
      <c r="I84" s="107"/>
      <c r="J84" s="107"/>
      <c r="K84" s="107"/>
      <c r="L84" s="107"/>
      <c r="M84" s="107"/>
      <c r="N84" s="706"/>
      <c r="O84" s="1037"/>
    </row>
    <row r="85" spans="1:61" ht="24.6" hidden="1" customHeight="1">
      <c r="A85" s="1072"/>
      <c r="B85" s="639" t="s">
        <v>34</v>
      </c>
      <c r="C85" s="639"/>
      <c r="D85" s="639"/>
      <c r="E85" s="639"/>
      <c r="F85" s="639"/>
      <c r="G85" s="107"/>
      <c r="H85" s="107"/>
      <c r="I85" s="107"/>
      <c r="J85" s="107"/>
      <c r="K85" s="107"/>
      <c r="L85" s="107"/>
      <c r="M85" s="107"/>
      <c r="N85" s="706"/>
      <c r="O85" s="1037"/>
    </row>
    <row r="86" spans="1:61" ht="24.6" hidden="1" customHeight="1">
      <c r="A86" s="1070" t="s">
        <v>298</v>
      </c>
      <c r="B86" s="639" t="s">
        <v>89</v>
      </c>
      <c r="C86" s="639"/>
      <c r="D86" s="639"/>
      <c r="E86" s="639"/>
      <c r="F86" s="639"/>
      <c r="G86" s="332"/>
      <c r="H86" s="332"/>
      <c r="I86" s="332"/>
      <c r="J86" s="332"/>
      <c r="K86" s="332"/>
      <c r="L86" s="107"/>
      <c r="M86" s="131"/>
      <c r="N86" s="706"/>
      <c r="O86" s="703"/>
    </row>
    <row r="87" spans="1:61" ht="24.6" hidden="1" customHeight="1">
      <c r="A87" s="1071"/>
      <c r="B87" s="639" t="s">
        <v>237</v>
      </c>
      <c r="C87" s="639"/>
      <c r="D87" s="639"/>
      <c r="E87" s="639"/>
      <c r="F87" s="639"/>
      <c r="G87" s="107"/>
      <c r="H87" s="107"/>
      <c r="I87" s="107"/>
      <c r="J87" s="107"/>
      <c r="K87" s="107"/>
      <c r="L87" s="107">
        <f>L88+L89</f>
        <v>0</v>
      </c>
      <c r="M87" s="107">
        <f>M89</f>
        <v>0</v>
      </c>
      <c r="N87" s="706"/>
      <c r="O87" s="1030"/>
    </row>
    <row r="88" spans="1:61" ht="24.6" hidden="1" customHeight="1">
      <c r="A88" s="1071"/>
      <c r="B88" s="639" t="s">
        <v>10</v>
      </c>
      <c r="C88" s="639"/>
      <c r="D88" s="639"/>
      <c r="E88" s="639"/>
      <c r="F88" s="639"/>
      <c r="G88" s="107"/>
      <c r="H88" s="107"/>
      <c r="I88" s="107"/>
      <c r="J88" s="107"/>
      <c r="K88" s="107"/>
      <c r="L88" s="107">
        <v>0</v>
      </c>
      <c r="M88" s="107"/>
      <c r="N88" s="706"/>
      <c r="O88" s="1032"/>
    </row>
    <row r="89" spans="1:61" ht="24.6" hidden="1" customHeight="1">
      <c r="A89" s="1072"/>
      <c r="B89" s="639" t="s">
        <v>34</v>
      </c>
      <c r="C89" s="639"/>
      <c r="D89" s="639"/>
      <c r="E89" s="639"/>
      <c r="F89" s="639"/>
      <c r="G89" s="107"/>
      <c r="H89" s="107"/>
      <c r="I89" s="107"/>
      <c r="J89" s="107"/>
      <c r="K89" s="107"/>
      <c r="L89" s="107"/>
      <c r="M89" s="107"/>
      <c r="N89" s="706"/>
      <c r="O89" s="1031"/>
    </row>
    <row r="90" spans="1:61" ht="27" hidden="1" customHeight="1">
      <c r="A90" s="1070" t="s">
        <v>487</v>
      </c>
      <c r="B90" s="639" t="s">
        <v>89</v>
      </c>
      <c r="C90" s="639"/>
      <c r="D90" s="639"/>
      <c r="E90" s="639"/>
      <c r="F90" s="639"/>
      <c r="G90" s="107"/>
      <c r="H90" s="107"/>
      <c r="I90" s="107"/>
      <c r="J90" s="107"/>
      <c r="K90" s="107"/>
      <c r="L90" s="107"/>
      <c r="M90" s="131"/>
      <c r="N90" s="706"/>
      <c r="O90" s="1037" t="s">
        <v>466</v>
      </c>
    </row>
    <row r="91" spans="1:61" ht="24.6" hidden="1" customHeight="1">
      <c r="A91" s="1071"/>
      <c r="B91" s="639" t="s">
        <v>237</v>
      </c>
      <c r="C91" s="639"/>
      <c r="D91" s="639"/>
      <c r="E91" s="639"/>
      <c r="F91" s="639"/>
      <c r="G91" s="107"/>
      <c r="H91" s="107"/>
      <c r="I91" s="107"/>
      <c r="J91" s="107"/>
      <c r="K91" s="107"/>
      <c r="L91" s="107"/>
      <c r="M91" s="107"/>
      <c r="N91" s="706"/>
      <c r="O91" s="1037"/>
    </row>
    <row r="92" spans="1:61" ht="24.6" hidden="1" customHeight="1">
      <c r="A92" s="1071"/>
      <c r="B92" s="639" t="s">
        <v>10</v>
      </c>
      <c r="C92" s="639"/>
      <c r="D92" s="639"/>
      <c r="E92" s="639"/>
      <c r="F92" s="639"/>
      <c r="G92" s="107"/>
      <c r="H92" s="107"/>
      <c r="I92" s="107"/>
      <c r="J92" s="107"/>
      <c r="K92" s="107"/>
      <c r="L92" s="107"/>
      <c r="M92" s="107"/>
      <c r="N92" s="706"/>
      <c r="O92" s="1037"/>
    </row>
    <row r="93" spans="1:61" ht="24.6" hidden="1" customHeight="1">
      <c r="A93" s="1072"/>
      <c r="B93" s="643" t="s">
        <v>34</v>
      </c>
      <c r="C93" s="643"/>
      <c r="D93" s="643"/>
      <c r="E93" s="643"/>
      <c r="F93" s="643"/>
      <c r="G93" s="103"/>
      <c r="H93" s="103"/>
      <c r="I93" s="103"/>
      <c r="J93" s="103"/>
      <c r="K93" s="103"/>
      <c r="L93" s="103"/>
      <c r="M93" s="103"/>
      <c r="N93" s="706"/>
      <c r="O93" s="1037"/>
    </row>
    <row r="94" spans="1:61" s="45" customFormat="1" ht="24.95" hidden="1" customHeight="1">
      <c r="A94" s="1067" t="s">
        <v>99</v>
      </c>
      <c r="B94" s="660" t="s">
        <v>89</v>
      </c>
      <c r="C94" s="660"/>
      <c r="D94" s="660"/>
      <c r="E94" s="660"/>
      <c r="F94" s="660"/>
      <c r="G94" s="108">
        <f t="shared" ref="G94:L94" si="34">G98+G102</f>
        <v>0</v>
      </c>
      <c r="H94" s="108"/>
      <c r="I94" s="108"/>
      <c r="J94" s="108"/>
      <c r="K94" s="108"/>
      <c r="L94" s="108">
        <f t="shared" si="34"/>
        <v>0</v>
      </c>
      <c r="M94" s="108"/>
      <c r="N94" s="706"/>
      <c r="O94" s="111"/>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row>
    <row r="95" spans="1:61" s="45" customFormat="1" ht="27.75" hidden="1" customHeight="1">
      <c r="A95" s="1068"/>
      <c r="B95" s="62" t="s">
        <v>237</v>
      </c>
      <c r="C95" s="62"/>
      <c r="D95" s="62"/>
      <c r="E95" s="62"/>
      <c r="F95" s="62"/>
      <c r="G95" s="102">
        <f t="shared" ref="G95:L95" si="35">G96+G97</f>
        <v>0</v>
      </c>
      <c r="H95" s="102"/>
      <c r="I95" s="102"/>
      <c r="J95" s="102"/>
      <c r="K95" s="102"/>
      <c r="L95" s="102">
        <f t="shared" si="35"/>
        <v>0</v>
      </c>
      <c r="M95" s="102"/>
      <c r="N95" s="706"/>
      <c r="O95" s="709"/>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row>
    <row r="96" spans="1:61" s="45" customFormat="1" ht="24.95" hidden="1" customHeight="1">
      <c r="A96" s="1068"/>
      <c r="B96" s="62" t="s">
        <v>10</v>
      </c>
      <c r="C96" s="62"/>
      <c r="D96" s="62"/>
      <c r="E96" s="62"/>
      <c r="F96" s="62"/>
      <c r="G96" s="102">
        <f>G104</f>
        <v>0</v>
      </c>
      <c r="H96" s="102"/>
      <c r="I96" s="102"/>
      <c r="J96" s="102">
        <f>J104</f>
        <v>0</v>
      </c>
      <c r="K96" s="102"/>
      <c r="L96" s="102">
        <f>L104</f>
        <v>0</v>
      </c>
      <c r="M96" s="102"/>
      <c r="N96" s="706"/>
      <c r="O96" s="709"/>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row>
    <row r="97" spans="1:61" s="45" customFormat="1" ht="24.95" hidden="1" customHeight="1">
      <c r="A97" s="1069"/>
      <c r="B97" s="62" t="s">
        <v>34</v>
      </c>
      <c r="C97" s="62"/>
      <c r="D97" s="62"/>
      <c r="E97" s="62"/>
      <c r="F97" s="62"/>
      <c r="G97" s="102">
        <f>G101+G105</f>
        <v>0</v>
      </c>
      <c r="H97" s="102"/>
      <c r="I97" s="102"/>
      <c r="J97" s="102">
        <f>J105</f>
        <v>0</v>
      </c>
      <c r="K97" s="102"/>
      <c r="L97" s="102">
        <f>L101+L105</f>
        <v>0</v>
      </c>
      <c r="M97" s="102"/>
      <c r="N97" s="706"/>
      <c r="O97" s="709"/>
      <c r="AJ97" s="113"/>
      <c r="AK97" s="113"/>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row>
    <row r="98" spans="1:61" s="45" customFormat="1" ht="24.95" hidden="1" customHeight="1">
      <c r="A98" s="1065" t="s">
        <v>18</v>
      </c>
      <c r="B98" s="643" t="s">
        <v>89</v>
      </c>
      <c r="C98" s="62"/>
      <c r="D98" s="62"/>
      <c r="E98" s="62"/>
      <c r="F98" s="62"/>
      <c r="G98" s="102"/>
      <c r="H98" s="102"/>
      <c r="I98" s="102"/>
      <c r="J98" s="102"/>
      <c r="K98" s="102"/>
      <c r="L98" s="102"/>
      <c r="M98" s="102"/>
      <c r="N98" s="706"/>
      <c r="O98" s="1037" t="s">
        <v>234</v>
      </c>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row>
    <row r="99" spans="1:61" ht="24.95" hidden="1" customHeight="1">
      <c r="A99" s="1065"/>
      <c r="B99" s="643" t="s">
        <v>237</v>
      </c>
      <c r="C99" s="643">
        <v>176</v>
      </c>
      <c r="D99" s="643" t="s">
        <v>15</v>
      </c>
      <c r="E99" s="643">
        <v>6100404</v>
      </c>
      <c r="F99" s="643">
        <v>414</v>
      </c>
      <c r="G99" s="103">
        <f>G101</f>
        <v>0</v>
      </c>
      <c r="H99" s="103"/>
      <c r="I99" s="103"/>
      <c r="J99" s="103"/>
      <c r="K99" s="103"/>
      <c r="L99" s="103"/>
      <c r="M99" s="103"/>
      <c r="N99" s="706"/>
      <c r="O99" s="1037"/>
    </row>
    <row r="100" spans="1:61" ht="24.95" hidden="1" customHeight="1">
      <c r="A100" s="1065"/>
      <c r="B100" s="643" t="s">
        <v>10</v>
      </c>
      <c r="C100" s="643"/>
      <c r="D100" s="643"/>
      <c r="E100" s="643"/>
      <c r="F100" s="643"/>
      <c r="G100" s="103"/>
      <c r="H100" s="103"/>
      <c r="I100" s="103"/>
      <c r="J100" s="103"/>
      <c r="K100" s="103"/>
      <c r="L100" s="103"/>
      <c r="M100" s="103"/>
      <c r="N100" s="706"/>
      <c r="O100" s="1037"/>
    </row>
    <row r="101" spans="1:61" ht="24.95" hidden="1" customHeight="1">
      <c r="A101" s="1065"/>
      <c r="B101" s="643" t="s">
        <v>34</v>
      </c>
      <c r="C101" s="643"/>
      <c r="D101" s="643"/>
      <c r="E101" s="643"/>
      <c r="F101" s="643"/>
      <c r="G101" s="103"/>
      <c r="H101" s="103"/>
      <c r="I101" s="103"/>
      <c r="J101" s="103"/>
      <c r="K101" s="103"/>
      <c r="L101" s="103"/>
      <c r="M101" s="103"/>
      <c r="N101" s="706"/>
      <c r="O101" s="1037"/>
    </row>
    <row r="102" spans="1:61" ht="24.95" hidden="1" customHeight="1">
      <c r="A102" s="1065" t="s">
        <v>450</v>
      </c>
      <c r="B102" s="643" t="s">
        <v>89</v>
      </c>
      <c r="C102" s="643"/>
      <c r="D102" s="643"/>
      <c r="E102" s="643"/>
      <c r="F102" s="643"/>
      <c r="G102" s="103"/>
      <c r="H102" s="103"/>
      <c r="I102" s="103"/>
      <c r="J102" s="103"/>
      <c r="K102" s="103"/>
      <c r="L102" s="103"/>
      <c r="M102" s="103"/>
      <c r="N102" s="706"/>
      <c r="O102" s="703"/>
    </row>
    <row r="103" spans="1:61" ht="29.25" hidden="1" customHeight="1">
      <c r="A103" s="1065"/>
      <c r="B103" s="643" t="s">
        <v>237</v>
      </c>
      <c r="C103" s="643">
        <v>176</v>
      </c>
      <c r="D103" s="643" t="s">
        <v>15</v>
      </c>
      <c r="E103" s="643">
        <v>6100404</v>
      </c>
      <c r="F103" s="643">
        <v>414</v>
      </c>
      <c r="G103" s="103">
        <f t="shared" ref="G103" si="36">G104+G105</f>
        <v>0</v>
      </c>
      <c r="H103" s="103"/>
      <c r="I103" s="103"/>
      <c r="J103" s="103"/>
      <c r="K103" s="103"/>
      <c r="L103" s="103"/>
      <c r="M103" s="103"/>
      <c r="N103" s="706"/>
      <c r="O103" s="1037" t="s">
        <v>326</v>
      </c>
      <c r="P103" s="122"/>
    </row>
    <row r="104" spans="1:61" ht="24.95" hidden="1" customHeight="1">
      <c r="A104" s="1065"/>
      <c r="B104" s="643" t="s">
        <v>10</v>
      </c>
      <c r="C104" s="643"/>
      <c r="D104" s="643"/>
      <c r="E104" s="643"/>
      <c r="F104" s="643"/>
      <c r="G104" s="103"/>
      <c r="H104" s="103"/>
      <c r="I104" s="103"/>
      <c r="J104" s="103"/>
      <c r="K104" s="103"/>
      <c r="L104" s="103"/>
      <c r="M104" s="103"/>
      <c r="N104" s="706"/>
      <c r="O104" s="1037"/>
      <c r="P104" s="122"/>
    </row>
    <row r="105" spans="1:61" ht="24.95" hidden="1" customHeight="1">
      <c r="A105" s="1065"/>
      <c r="B105" s="643" t="s">
        <v>34</v>
      </c>
      <c r="C105" s="643"/>
      <c r="D105" s="643"/>
      <c r="E105" s="643"/>
      <c r="F105" s="643"/>
      <c r="G105" s="103"/>
      <c r="H105" s="103"/>
      <c r="I105" s="103"/>
      <c r="J105" s="103"/>
      <c r="K105" s="103"/>
      <c r="L105" s="103"/>
      <c r="M105" s="103"/>
      <c r="N105" s="706"/>
      <c r="O105" s="1037"/>
    </row>
    <row r="106" spans="1:61" ht="24.95" hidden="1" customHeight="1">
      <c r="A106" s="1070" t="s">
        <v>290</v>
      </c>
      <c r="B106" s="643" t="s">
        <v>89</v>
      </c>
      <c r="C106" s="643"/>
      <c r="D106" s="643"/>
      <c r="E106" s="643"/>
      <c r="F106" s="643"/>
      <c r="G106" s="103"/>
      <c r="H106" s="103"/>
      <c r="I106" s="103"/>
      <c r="J106" s="103"/>
      <c r="K106" s="103"/>
      <c r="L106" s="103"/>
      <c r="M106" s="103"/>
      <c r="N106" s="706"/>
      <c r="O106" s="1037" t="s">
        <v>293</v>
      </c>
    </row>
    <row r="107" spans="1:61" ht="24.95" hidden="1" customHeight="1">
      <c r="A107" s="1071"/>
      <c r="B107" s="643" t="s">
        <v>237</v>
      </c>
      <c r="C107" s="643"/>
      <c r="D107" s="643"/>
      <c r="E107" s="643"/>
      <c r="F107" s="643"/>
      <c r="G107" s="103"/>
      <c r="H107" s="103"/>
      <c r="I107" s="103"/>
      <c r="J107" s="103"/>
      <c r="K107" s="103"/>
      <c r="L107" s="103"/>
      <c r="M107" s="103"/>
      <c r="N107" s="706"/>
      <c r="O107" s="1037"/>
    </row>
    <row r="108" spans="1:61" ht="24.95" hidden="1" customHeight="1">
      <c r="A108" s="1071"/>
      <c r="B108" s="643" t="s">
        <v>10</v>
      </c>
      <c r="C108" s="643"/>
      <c r="D108" s="643"/>
      <c r="E108" s="643"/>
      <c r="F108" s="643"/>
      <c r="G108" s="103"/>
      <c r="H108" s="103"/>
      <c r="I108" s="103"/>
      <c r="J108" s="103"/>
      <c r="K108" s="103"/>
      <c r="L108" s="103"/>
      <c r="M108" s="103"/>
      <c r="N108" s="706"/>
      <c r="O108" s="1037"/>
    </row>
    <row r="109" spans="1:61" ht="24.95" hidden="1" customHeight="1">
      <c r="A109" s="1072"/>
      <c r="B109" s="643" t="s">
        <v>443</v>
      </c>
      <c r="C109" s="643"/>
      <c r="D109" s="643"/>
      <c r="E109" s="643"/>
      <c r="F109" s="643"/>
      <c r="G109" s="103"/>
      <c r="H109" s="103"/>
      <c r="I109" s="103"/>
      <c r="J109" s="103"/>
      <c r="K109" s="103"/>
      <c r="L109" s="103"/>
      <c r="M109" s="103"/>
      <c r="N109" s="706"/>
      <c r="O109" s="1037"/>
    </row>
    <row r="110" spans="1:61" s="45" customFormat="1" ht="24.95" hidden="1" customHeight="1">
      <c r="A110" s="1038" t="s">
        <v>100</v>
      </c>
      <c r="B110" s="62" t="s">
        <v>89</v>
      </c>
      <c r="C110" s="62"/>
      <c r="D110" s="62"/>
      <c r="E110" s="62"/>
      <c r="F110" s="62"/>
      <c r="G110" s="102">
        <f>K110</f>
        <v>0</v>
      </c>
      <c r="H110" s="102">
        <f t="shared" ref="H110:J110" si="37">H123+H126+H134</f>
        <v>0</v>
      </c>
      <c r="I110" s="102">
        <f t="shared" si="37"/>
        <v>0</v>
      </c>
      <c r="J110" s="102">
        <f t="shared" si="37"/>
        <v>0</v>
      </c>
      <c r="K110" s="102">
        <f>K126</f>
        <v>0</v>
      </c>
      <c r="L110" s="102">
        <f t="shared" ref="L110:M110" si="38">L123+L126+L134</f>
        <v>0</v>
      </c>
      <c r="M110" s="102">
        <f t="shared" si="38"/>
        <v>0</v>
      </c>
      <c r="N110" s="706"/>
      <c r="O110" s="709"/>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row>
    <row r="111" spans="1:61" s="45" customFormat="1" ht="29.25" hidden="1" customHeight="1">
      <c r="A111" s="1038"/>
      <c r="B111" s="62" t="s">
        <v>237</v>
      </c>
      <c r="C111" s="62"/>
      <c r="D111" s="62"/>
      <c r="E111" s="62"/>
      <c r="F111" s="62"/>
      <c r="G111" s="102">
        <f t="shared" ref="G111:M111" si="39">G112+G113</f>
        <v>0</v>
      </c>
      <c r="H111" s="102">
        <f t="shared" si="39"/>
        <v>0</v>
      </c>
      <c r="I111" s="102">
        <f t="shared" si="39"/>
        <v>0</v>
      </c>
      <c r="J111" s="102">
        <f t="shared" si="39"/>
        <v>0</v>
      </c>
      <c r="K111" s="102">
        <f t="shared" si="39"/>
        <v>0</v>
      </c>
      <c r="L111" s="102">
        <f t="shared" si="39"/>
        <v>0</v>
      </c>
      <c r="M111" s="102">
        <f t="shared" si="39"/>
        <v>0</v>
      </c>
      <c r="N111" s="706"/>
      <c r="O111" s="709"/>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row>
    <row r="112" spans="1:61" s="45" customFormat="1" ht="24.95" hidden="1" customHeight="1">
      <c r="A112" s="1038"/>
      <c r="B112" s="62" t="s">
        <v>10</v>
      </c>
      <c r="C112" s="62"/>
      <c r="D112" s="62"/>
      <c r="E112" s="62"/>
      <c r="F112" s="62"/>
      <c r="G112" s="102">
        <f>G125+G128+G136</f>
        <v>0</v>
      </c>
      <c r="H112" s="102">
        <f t="shared" ref="H112:K112" si="40">H125+H128+H136</f>
        <v>0</v>
      </c>
      <c r="I112" s="102">
        <f t="shared" si="40"/>
        <v>0</v>
      </c>
      <c r="J112" s="102">
        <f t="shared" si="40"/>
        <v>0</v>
      </c>
      <c r="K112" s="102">
        <f t="shared" si="40"/>
        <v>0</v>
      </c>
      <c r="L112" s="102">
        <f t="shared" ref="L112:M112" si="41">L125+L128+L136</f>
        <v>0</v>
      </c>
      <c r="M112" s="102">
        <f t="shared" si="41"/>
        <v>0</v>
      </c>
      <c r="N112" s="706"/>
      <c r="O112" s="709"/>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row>
    <row r="113" spans="1:61" s="45" customFormat="1" ht="24.6" hidden="1" customHeight="1">
      <c r="A113" s="1038"/>
      <c r="B113" s="62" t="s">
        <v>443</v>
      </c>
      <c r="C113" s="62"/>
      <c r="D113" s="62"/>
      <c r="E113" s="62"/>
      <c r="F113" s="62"/>
      <c r="G113" s="102">
        <f>G129+G137</f>
        <v>0</v>
      </c>
      <c r="H113" s="102"/>
      <c r="I113" s="102"/>
      <c r="J113" s="102"/>
      <c r="K113" s="102"/>
      <c r="L113" s="102">
        <f t="shared" ref="L113:M113" si="42">L129+L137</f>
        <v>0</v>
      </c>
      <c r="M113" s="102">
        <f t="shared" si="42"/>
        <v>0</v>
      </c>
      <c r="N113" s="706"/>
      <c r="O113" s="709"/>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row>
    <row r="114" spans="1:61" s="45" customFormat="1" ht="24.95" hidden="1" customHeight="1">
      <c r="A114" s="1096" t="s">
        <v>285</v>
      </c>
      <c r="B114" s="643" t="s">
        <v>89</v>
      </c>
      <c r="C114" s="62"/>
      <c r="D114" s="62"/>
      <c r="E114" s="62"/>
      <c r="F114" s="62"/>
      <c r="G114" s="102"/>
      <c r="H114" s="102"/>
      <c r="I114" s="102"/>
      <c r="J114" s="102"/>
      <c r="K114" s="102"/>
      <c r="L114" s="102"/>
      <c r="M114" s="102"/>
      <c r="N114" s="706"/>
      <c r="O114" s="1037" t="s">
        <v>31</v>
      </c>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row>
    <row r="115" spans="1:61" ht="24.95" hidden="1" customHeight="1">
      <c r="A115" s="1097"/>
      <c r="B115" s="643" t="s">
        <v>237</v>
      </c>
      <c r="C115" s="643">
        <v>176</v>
      </c>
      <c r="D115" s="643" t="s">
        <v>15</v>
      </c>
      <c r="E115" s="643">
        <v>6100404</v>
      </c>
      <c r="F115" s="643">
        <v>414</v>
      </c>
      <c r="G115" s="103">
        <f t="shared" ref="G115" si="43">G116</f>
        <v>0</v>
      </c>
      <c r="H115" s="103"/>
      <c r="I115" s="103"/>
      <c r="J115" s="103"/>
      <c r="K115" s="103"/>
      <c r="L115" s="103">
        <f>L116</f>
        <v>0</v>
      </c>
      <c r="M115" s="103"/>
      <c r="N115" s="706"/>
      <c r="O115" s="1037"/>
    </row>
    <row r="116" spans="1:61" ht="24.95" hidden="1" customHeight="1">
      <c r="A116" s="1098"/>
      <c r="B116" s="643" t="s">
        <v>34</v>
      </c>
      <c r="C116" s="643"/>
      <c r="D116" s="643"/>
      <c r="E116" s="643"/>
      <c r="F116" s="643"/>
      <c r="G116" s="103"/>
      <c r="H116" s="103"/>
      <c r="I116" s="103"/>
      <c r="J116" s="103"/>
      <c r="K116" s="103"/>
      <c r="L116" s="103"/>
      <c r="M116" s="103"/>
      <c r="N116" s="706"/>
      <c r="O116" s="1037"/>
    </row>
    <row r="117" spans="1:61" ht="0.6" hidden="1" customHeight="1">
      <c r="A117" s="1096" t="s">
        <v>286</v>
      </c>
      <c r="B117" s="643" t="str">
        <f t="shared" ref="B117:L117" si="44">B114</f>
        <v>Мощность, км</v>
      </c>
      <c r="C117" s="643">
        <f t="shared" si="44"/>
        <v>0</v>
      </c>
      <c r="D117" s="643">
        <f t="shared" si="44"/>
        <v>0</v>
      </c>
      <c r="E117" s="643">
        <f t="shared" si="44"/>
        <v>0</v>
      </c>
      <c r="F117" s="643">
        <f t="shared" si="44"/>
        <v>0</v>
      </c>
      <c r="G117" s="103">
        <f t="shared" si="44"/>
        <v>0</v>
      </c>
      <c r="H117" s="103"/>
      <c r="I117" s="103"/>
      <c r="J117" s="103"/>
      <c r="K117" s="103"/>
      <c r="L117" s="103">
        <f t="shared" si="44"/>
        <v>0</v>
      </c>
      <c r="M117" s="103"/>
      <c r="N117" s="706"/>
      <c r="O117" s="1037" t="str">
        <f>O114</f>
        <v>Объем работ уточняется</v>
      </c>
    </row>
    <row r="118" spans="1:61" ht="24.6" hidden="1" customHeight="1">
      <c r="A118" s="1097"/>
      <c r="B118" s="643" t="str">
        <f t="shared" ref="B118:G118" si="45">B115</f>
        <v>Сумма затрат (тыс.руб.), в том числе:</v>
      </c>
      <c r="C118" s="643">
        <f t="shared" si="45"/>
        <v>176</v>
      </c>
      <c r="D118" s="643" t="str">
        <f t="shared" si="45"/>
        <v>0409</v>
      </c>
      <c r="E118" s="643">
        <f t="shared" si="45"/>
        <v>6100404</v>
      </c>
      <c r="F118" s="643">
        <f t="shared" si="45"/>
        <v>414</v>
      </c>
      <c r="G118" s="103">
        <f t="shared" si="45"/>
        <v>0</v>
      </c>
      <c r="H118" s="103"/>
      <c r="I118" s="103"/>
      <c r="J118" s="103"/>
      <c r="K118" s="103"/>
      <c r="L118" s="103">
        <f>L119</f>
        <v>0</v>
      </c>
      <c r="M118" s="103"/>
      <c r="N118" s="706"/>
      <c r="O118" s="1037"/>
    </row>
    <row r="119" spans="1:61" ht="24.6" hidden="1" customHeight="1">
      <c r="A119" s="1098"/>
      <c r="B119" s="643" t="str">
        <f t="shared" ref="B119:G119" si="46">B116</f>
        <v>федеральный бюджет *</v>
      </c>
      <c r="C119" s="643">
        <f t="shared" si="46"/>
        <v>0</v>
      </c>
      <c r="D119" s="643">
        <f t="shared" si="46"/>
        <v>0</v>
      </c>
      <c r="E119" s="643">
        <f t="shared" si="46"/>
        <v>0</v>
      </c>
      <c r="F119" s="643">
        <f t="shared" si="46"/>
        <v>0</v>
      </c>
      <c r="G119" s="103">
        <f t="shared" si="46"/>
        <v>0</v>
      </c>
      <c r="H119" s="103"/>
      <c r="I119" s="103"/>
      <c r="J119" s="103"/>
      <c r="K119" s="103"/>
      <c r="L119" s="103">
        <v>0</v>
      </c>
      <c r="M119" s="103"/>
      <c r="N119" s="706"/>
      <c r="O119" s="1037"/>
    </row>
    <row r="120" spans="1:61" ht="24.6" hidden="1" customHeight="1">
      <c r="A120" s="1096" t="s">
        <v>287</v>
      </c>
      <c r="B120" s="643" t="s">
        <v>89</v>
      </c>
      <c r="C120" s="643"/>
      <c r="D120" s="643"/>
      <c r="E120" s="643"/>
      <c r="F120" s="643"/>
      <c r="G120" s="103"/>
      <c r="H120" s="103"/>
      <c r="I120" s="103"/>
      <c r="J120" s="103"/>
      <c r="K120" s="103"/>
      <c r="L120" s="103"/>
      <c r="M120" s="103"/>
      <c r="N120" s="706"/>
      <c r="O120" s="703" t="s">
        <v>31</v>
      </c>
    </row>
    <row r="121" spans="1:61" ht="24.6" hidden="1" customHeight="1">
      <c r="A121" s="1097"/>
      <c r="B121" s="643" t="s">
        <v>237</v>
      </c>
      <c r="C121" s="643"/>
      <c r="D121" s="643"/>
      <c r="E121" s="643"/>
      <c r="F121" s="643"/>
      <c r="G121" s="103"/>
      <c r="H121" s="103"/>
      <c r="I121" s="103"/>
      <c r="J121" s="103"/>
      <c r="K121" s="103"/>
      <c r="L121" s="103">
        <f>L122</f>
        <v>0</v>
      </c>
      <c r="M121" s="103"/>
      <c r="N121" s="706"/>
      <c r="O121" s="703"/>
    </row>
    <row r="122" spans="1:61" ht="24.6" hidden="1" customHeight="1">
      <c r="A122" s="1098"/>
      <c r="B122" s="643" t="s">
        <v>34</v>
      </c>
      <c r="C122" s="643"/>
      <c r="D122" s="643"/>
      <c r="E122" s="643"/>
      <c r="F122" s="643"/>
      <c r="G122" s="103"/>
      <c r="H122" s="103"/>
      <c r="I122" s="103"/>
      <c r="J122" s="103"/>
      <c r="K122" s="103"/>
      <c r="L122" s="103">
        <v>0</v>
      </c>
      <c r="M122" s="103"/>
      <c r="N122" s="706"/>
      <c r="O122" s="703"/>
    </row>
    <row r="123" spans="1:61" ht="24.95" hidden="1" customHeight="1">
      <c r="A123" s="1096" t="s">
        <v>299</v>
      </c>
      <c r="B123" s="643" t="s">
        <v>89</v>
      </c>
      <c r="C123" s="62"/>
      <c r="D123" s="62"/>
      <c r="E123" s="62"/>
      <c r="F123" s="62"/>
      <c r="G123" s="103"/>
      <c r="H123" s="102"/>
      <c r="I123" s="102"/>
      <c r="J123" s="102"/>
      <c r="K123" s="102"/>
      <c r="L123" s="102"/>
      <c r="M123" s="102">
        <f t="shared" ref="M123" si="47">+M126+M134</f>
        <v>0</v>
      </c>
      <c r="N123" s="706"/>
      <c r="O123" s="1037" t="s">
        <v>444</v>
      </c>
      <c r="V123" s="44">
        <v>63.82</v>
      </c>
    </row>
    <row r="124" spans="1:61" ht="24.95" hidden="1" customHeight="1">
      <c r="A124" s="1097"/>
      <c r="B124" s="643" t="s">
        <v>237</v>
      </c>
      <c r="C124" s="643">
        <v>176</v>
      </c>
      <c r="D124" s="643" t="s">
        <v>15</v>
      </c>
      <c r="E124" s="643">
        <v>6100404</v>
      </c>
      <c r="F124" s="643">
        <v>414</v>
      </c>
      <c r="G124" s="103">
        <f t="shared" ref="G124" si="48">G125</f>
        <v>0</v>
      </c>
      <c r="H124" s="103"/>
      <c r="I124" s="103"/>
      <c r="J124" s="103">
        <f>J125</f>
        <v>0</v>
      </c>
      <c r="K124" s="103"/>
      <c r="L124" s="103"/>
      <c r="M124" s="103"/>
      <c r="N124" s="706"/>
      <c r="O124" s="1037"/>
    </row>
    <row r="125" spans="1:61" ht="22.15" hidden="1" customHeight="1">
      <c r="A125" s="1098"/>
      <c r="B125" s="643" t="s">
        <v>10</v>
      </c>
      <c r="C125" s="643"/>
      <c r="D125" s="643"/>
      <c r="E125" s="643"/>
      <c r="F125" s="643"/>
      <c r="G125" s="103">
        <f>J125</f>
        <v>0</v>
      </c>
      <c r="H125" s="103"/>
      <c r="I125" s="103"/>
      <c r="J125" s="103"/>
      <c r="K125" s="103"/>
      <c r="L125" s="103"/>
      <c r="M125" s="103"/>
      <c r="N125" s="706"/>
      <c r="O125" s="1037"/>
    </row>
    <row r="126" spans="1:61" ht="24.6" hidden="1" customHeight="1">
      <c r="A126" s="1118" t="s">
        <v>239</v>
      </c>
      <c r="B126" s="643" t="s">
        <v>89</v>
      </c>
      <c r="C126" s="643">
        <v>176</v>
      </c>
      <c r="D126" s="643" t="s">
        <v>15</v>
      </c>
      <c r="E126" s="643">
        <v>6100404</v>
      </c>
      <c r="F126" s="643">
        <v>414</v>
      </c>
      <c r="G126" s="103"/>
      <c r="H126" s="103"/>
      <c r="I126" s="103"/>
      <c r="J126" s="103"/>
      <c r="K126" s="103"/>
      <c r="L126" s="103"/>
      <c r="M126" s="103"/>
      <c r="N126" s="706"/>
      <c r="O126" s="1037" t="s">
        <v>912</v>
      </c>
      <c r="P126" s="122">
        <f>(K127+L127)/29200.7*1.074*1.037*1.049*1.05</f>
        <v>0</v>
      </c>
      <c r="AA126" s="656">
        <f>(K127+L127)/29200.7*1.074*1.037*1.049*1.05</f>
        <v>0</v>
      </c>
    </row>
    <row r="127" spans="1:61" ht="24.6" hidden="1" customHeight="1">
      <c r="A127" s="1118"/>
      <c r="B127" s="643" t="s">
        <v>237</v>
      </c>
      <c r="C127" s="643"/>
      <c r="D127" s="643"/>
      <c r="E127" s="643"/>
      <c r="F127" s="643"/>
      <c r="G127" s="103">
        <f t="shared" ref="G127:J127" si="49">G128+G129</f>
        <v>0</v>
      </c>
      <c r="H127" s="103">
        <f t="shared" si="49"/>
        <v>0</v>
      </c>
      <c r="I127" s="103">
        <f t="shared" si="49"/>
        <v>0</v>
      </c>
      <c r="J127" s="103">
        <f t="shared" si="49"/>
        <v>0</v>
      </c>
      <c r="K127" s="103">
        <f>K128</f>
        <v>0</v>
      </c>
      <c r="L127" s="103">
        <f>L128+L129</f>
        <v>0</v>
      </c>
      <c r="M127" s="103"/>
      <c r="N127" s="706"/>
      <c r="O127" s="1037"/>
    </row>
    <row r="128" spans="1:61" ht="24.6" hidden="1" customHeight="1">
      <c r="A128" s="1118"/>
      <c r="B128" s="643" t="s">
        <v>10</v>
      </c>
      <c r="C128" s="643"/>
      <c r="D128" s="643"/>
      <c r="E128" s="643"/>
      <c r="F128" s="643"/>
      <c r="G128" s="103">
        <f>K128</f>
        <v>0</v>
      </c>
      <c r="H128" s="103"/>
      <c r="I128" s="103"/>
      <c r="J128" s="103"/>
      <c r="K128" s="103"/>
      <c r="L128" s="103">
        <v>0</v>
      </c>
      <c r="M128" s="103"/>
      <c r="N128" s="706"/>
      <c r="O128" s="1037"/>
    </row>
    <row r="129" spans="1:15" ht="24" hidden="1" customHeight="1">
      <c r="A129" s="1118"/>
      <c r="B129" s="643" t="s">
        <v>443</v>
      </c>
      <c r="C129" s="643"/>
      <c r="D129" s="643"/>
      <c r="E129" s="643"/>
      <c r="F129" s="643"/>
      <c r="G129" s="103">
        <v>0</v>
      </c>
      <c r="H129" s="103"/>
      <c r="I129" s="103"/>
      <c r="J129" s="103"/>
      <c r="K129" s="103"/>
      <c r="L129" s="103"/>
      <c r="M129" s="103"/>
      <c r="N129" s="706"/>
      <c r="O129" s="1037"/>
    </row>
    <row r="130" spans="1:15" ht="24.6" hidden="1" customHeight="1">
      <c r="A130" s="1099" t="s">
        <v>238</v>
      </c>
      <c r="B130" s="643" t="s">
        <v>89</v>
      </c>
      <c r="C130" s="643"/>
      <c r="D130" s="643"/>
      <c r="E130" s="643"/>
      <c r="F130" s="643"/>
      <c r="G130" s="103"/>
      <c r="H130" s="103"/>
      <c r="I130" s="103"/>
      <c r="J130" s="103"/>
      <c r="K130" s="103"/>
      <c r="L130" s="103"/>
      <c r="M130" s="103"/>
      <c r="N130" s="706"/>
      <c r="O130" s="1037" t="s">
        <v>263</v>
      </c>
    </row>
    <row r="131" spans="1:15" ht="24.6" hidden="1" customHeight="1">
      <c r="A131" s="1099"/>
      <c r="B131" s="643" t="s">
        <v>237</v>
      </c>
      <c r="C131" s="643">
        <v>176</v>
      </c>
      <c r="D131" s="643" t="s">
        <v>15</v>
      </c>
      <c r="E131" s="643">
        <v>6100404</v>
      </c>
      <c r="F131" s="643">
        <v>414</v>
      </c>
      <c r="G131" s="103">
        <f t="shared" ref="G131:L131" si="50">G132+G133</f>
        <v>0</v>
      </c>
      <c r="H131" s="103"/>
      <c r="I131" s="103"/>
      <c r="J131" s="103"/>
      <c r="K131" s="103"/>
      <c r="L131" s="103">
        <f t="shared" si="50"/>
        <v>0</v>
      </c>
      <c r="M131" s="103"/>
      <c r="N131" s="706"/>
      <c r="O131" s="1037"/>
    </row>
    <row r="132" spans="1:15" ht="24.6" hidden="1" customHeight="1">
      <c r="A132" s="1099"/>
      <c r="B132" s="643" t="s">
        <v>10</v>
      </c>
      <c r="C132" s="643"/>
      <c r="D132" s="643"/>
      <c r="E132" s="643"/>
      <c r="F132" s="643"/>
      <c r="G132" s="103"/>
      <c r="H132" s="103"/>
      <c r="I132" s="103"/>
      <c r="J132" s="103"/>
      <c r="K132" s="103"/>
      <c r="L132" s="103"/>
      <c r="M132" s="103"/>
      <c r="N132" s="706"/>
      <c r="O132" s="1037"/>
    </row>
    <row r="133" spans="1:15" ht="24.6" hidden="1" customHeight="1">
      <c r="A133" s="1099"/>
      <c r="B133" s="643" t="s">
        <v>34</v>
      </c>
      <c r="C133" s="643"/>
      <c r="D133" s="643"/>
      <c r="E133" s="643"/>
      <c r="F133" s="643"/>
      <c r="G133" s="103"/>
      <c r="H133" s="103"/>
      <c r="I133" s="103"/>
      <c r="J133" s="103"/>
      <c r="K133" s="103"/>
      <c r="L133" s="103"/>
      <c r="M133" s="103"/>
      <c r="N133" s="706"/>
      <c r="O133" s="1037"/>
    </row>
    <row r="134" spans="1:15" ht="0.6" hidden="1" customHeight="1">
      <c r="A134" s="1099" t="s">
        <v>441</v>
      </c>
      <c r="B134" s="643" t="s">
        <v>89</v>
      </c>
      <c r="C134" s="643"/>
      <c r="D134" s="643"/>
      <c r="E134" s="643"/>
      <c r="F134" s="643"/>
      <c r="G134" s="103"/>
      <c r="H134" s="103"/>
      <c r="I134" s="103"/>
      <c r="J134" s="103"/>
      <c r="K134" s="103"/>
      <c r="L134" s="103"/>
      <c r="M134" s="103"/>
      <c r="N134" s="706"/>
      <c r="O134" s="1037" t="s">
        <v>323</v>
      </c>
    </row>
    <row r="135" spans="1:15" ht="24.6" hidden="1" customHeight="1">
      <c r="A135" s="1099"/>
      <c r="B135" s="643" t="s">
        <v>237</v>
      </c>
      <c r="C135" s="643">
        <v>176</v>
      </c>
      <c r="D135" s="643" t="s">
        <v>15</v>
      </c>
      <c r="E135" s="643">
        <v>6100404</v>
      </c>
      <c r="F135" s="643">
        <v>414</v>
      </c>
      <c r="G135" s="103">
        <f t="shared" ref="G135:L135" si="51">G136+G137</f>
        <v>0</v>
      </c>
      <c r="H135" s="103"/>
      <c r="I135" s="103"/>
      <c r="J135" s="103"/>
      <c r="K135" s="103"/>
      <c r="L135" s="103">
        <f t="shared" si="51"/>
        <v>0</v>
      </c>
      <c r="M135" s="103"/>
      <c r="N135" s="706"/>
      <c r="O135" s="1037"/>
    </row>
    <row r="136" spans="1:15" ht="30.6" hidden="1" customHeight="1">
      <c r="A136" s="1099"/>
      <c r="B136" s="643" t="s">
        <v>10</v>
      </c>
      <c r="C136" s="643"/>
      <c r="D136" s="643"/>
      <c r="E136" s="643"/>
      <c r="F136" s="643"/>
      <c r="G136" s="103"/>
      <c r="H136" s="103"/>
      <c r="I136" s="103"/>
      <c r="J136" s="103"/>
      <c r="K136" s="103"/>
      <c r="L136" s="103"/>
      <c r="M136" s="103"/>
      <c r="N136" s="706"/>
      <c r="O136" s="1037"/>
    </row>
    <row r="137" spans="1:15" ht="24" hidden="1" customHeight="1">
      <c r="A137" s="1099"/>
      <c r="B137" s="643" t="s">
        <v>34</v>
      </c>
      <c r="C137" s="643"/>
      <c r="D137" s="643"/>
      <c r="E137" s="643"/>
      <c r="F137" s="643"/>
      <c r="G137" s="103">
        <v>0</v>
      </c>
      <c r="H137" s="103"/>
      <c r="I137" s="103"/>
      <c r="J137" s="103"/>
      <c r="K137" s="103"/>
      <c r="L137" s="103"/>
      <c r="M137" s="103"/>
      <c r="N137" s="706"/>
      <c r="O137" s="1037"/>
    </row>
    <row r="138" spans="1:15" ht="24.75" customHeight="1">
      <c r="A138" s="1073" t="s">
        <v>119</v>
      </c>
      <c r="B138" s="62" t="s">
        <v>89</v>
      </c>
      <c r="C138" s="643"/>
      <c r="D138" s="643"/>
      <c r="E138" s="643"/>
      <c r="F138" s="643"/>
      <c r="G138" s="102">
        <f t="shared" ref="G138:K138" si="52">G142</f>
        <v>0</v>
      </c>
      <c r="H138" s="102">
        <f t="shared" si="52"/>
        <v>0</v>
      </c>
      <c r="I138" s="102">
        <f t="shared" si="52"/>
        <v>0</v>
      </c>
      <c r="J138" s="102">
        <f t="shared" si="52"/>
        <v>0</v>
      </c>
      <c r="K138" s="102">
        <f t="shared" si="52"/>
        <v>0</v>
      </c>
      <c r="L138" s="102"/>
      <c r="M138" s="102">
        <f>M142</f>
        <v>5.3</v>
      </c>
      <c r="N138" s="706"/>
      <c r="O138" s="703"/>
    </row>
    <row r="139" spans="1:15" ht="21.6" customHeight="1">
      <c r="A139" s="1073"/>
      <c r="B139" s="62" t="s">
        <v>237</v>
      </c>
      <c r="C139" s="643"/>
      <c r="D139" s="643"/>
      <c r="E139" s="643"/>
      <c r="F139" s="643"/>
      <c r="G139" s="102">
        <f t="shared" ref="G139:L139" si="53">G141+G140</f>
        <v>0</v>
      </c>
      <c r="H139" s="102">
        <f t="shared" si="53"/>
        <v>0</v>
      </c>
      <c r="I139" s="102">
        <f t="shared" si="53"/>
        <v>0</v>
      </c>
      <c r="J139" s="102">
        <f t="shared" si="53"/>
        <v>0</v>
      </c>
      <c r="K139" s="102">
        <f t="shared" si="53"/>
        <v>0</v>
      </c>
      <c r="L139" s="102">
        <f t="shared" si="53"/>
        <v>0</v>
      </c>
      <c r="M139" s="102">
        <f>M140</f>
        <v>280000</v>
      </c>
      <c r="N139" s="706"/>
      <c r="O139" s="703"/>
    </row>
    <row r="140" spans="1:15" ht="31.9" customHeight="1">
      <c r="A140" s="1073"/>
      <c r="B140" s="62" t="s">
        <v>10</v>
      </c>
      <c r="C140" s="643"/>
      <c r="D140" s="643"/>
      <c r="E140" s="643"/>
      <c r="F140" s="643"/>
      <c r="G140" s="102">
        <f t="shared" ref="G140:L141" si="54">G144</f>
        <v>0</v>
      </c>
      <c r="H140" s="102">
        <f t="shared" si="54"/>
        <v>0</v>
      </c>
      <c r="I140" s="102">
        <f t="shared" si="54"/>
        <v>0</v>
      </c>
      <c r="J140" s="102">
        <f t="shared" si="54"/>
        <v>0</v>
      </c>
      <c r="K140" s="102">
        <f t="shared" si="54"/>
        <v>0</v>
      </c>
      <c r="L140" s="102"/>
      <c r="M140" s="102">
        <f>M144</f>
        <v>280000</v>
      </c>
      <c r="N140" s="706"/>
      <c r="O140" s="703"/>
    </row>
    <row r="141" spans="1:15" ht="24.6" customHeight="1">
      <c r="A141" s="1073"/>
      <c r="B141" s="62" t="s">
        <v>34</v>
      </c>
      <c r="C141" s="643"/>
      <c r="D141" s="643"/>
      <c r="E141" s="643"/>
      <c r="F141" s="643"/>
      <c r="G141" s="102">
        <f t="shared" si="54"/>
        <v>0</v>
      </c>
      <c r="H141" s="102"/>
      <c r="I141" s="102"/>
      <c r="J141" s="102"/>
      <c r="K141" s="102"/>
      <c r="L141" s="102">
        <f t="shared" si="54"/>
        <v>0</v>
      </c>
      <c r="M141" s="102"/>
      <c r="N141" s="706"/>
      <c r="O141" s="703"/>
    </row>
    <row r="142" spans="1:15" ht="22.5" customHeight="1">
      <c r="A142" s="1115" t="s">
        <v>928</v>
      </c>
      <c r="B142" s="643" t="s">
        <v>89</v>
      </c>
      <c r="C142" s="643"/>
      <c r="D142" s="643"/>
      <c r="E142" s="643"/>
      <c r="F142" s="643"/>
      <c r="G142" s="103">
        <f>K142</f>
        <v>0</v>
      </c>
      <c r="H142" s="103"/>
      <c r="I142" s="103"/>
      <c r="J142" s="103"/>
      <c r="K142" s="103"/>
      <c r="L142" s="103"/>
      <c r="M142" s="103">
        <v>5.3</v>
      </c>
      <c r="N142" s="706"/>
      <c r="O142" s="1037" t="s">
        <v>929</v>
      </c>
    </row>
    <row r="143" spans="1:15" ht="24.6" customHeight="1">
      <c r="A143" s="1116"/>
      <c r="B143" s="643" t="s">
        <v>237</v>
      </c>
      <c r="C143" s="643"/>
      <c r="D143" s="643"/>
      <c r="E143" s="643"/>
      <c r="F143" s="643"/>
      <c r="G143" s="103">
        <f t="shared" ref="G143:G145" si="55">K143</f>
        <v>0</v>
      </c>
      <c r="H143" s="103"/>
      <c r="I143" s="103"/>
      <c r="J143" s="103"/>
      <c r="K143" s="103">
        <f>K144+K145</f>
        <v>0</v>
      </c>
      <c r="L143" s="103">
        <f t="shared" ref="L143" si="56">L145+L144</f>
        <v>0</v>
      </c>
      <c r="M143" s="103">
        <f>M144</f>
        <v>280000</v>
      </c>
      <c r="N143" s="706"/>
      <c r="O143" s="1037"/>
    </row>
    <row r="144" spans="1:15" ht="28.9" customHeight="1">
      <c r="A144" s="1116"/>
      <c r="B144" s="643" t="s">
        <v>10</v>
      </c>
      <c r="C144" s="643"/>
      <c r="D144" s="643"/>
      <c r="E144" s="643"/>
      <c r="F144" s="643"/>
      <c r="G144" s="103">
        <f t="shared" si="55"/>
        <v>0</v>
      </c>
      <c r="H144" s="103"/>
      <c r="I144" s="103"/>
      <c r="J144" s="103"/>
      <c r="K144" s="103"/>
      <c r="L144" s="103"/>
      <c r="M144" s="103">
        <v>280000</v>
      </c>
      <c r="N144" s="706"/>
      <c r="O144" s="1037"/>
    </row>
    <row r="145" spans="1:27" ht="24.6" customHeight="1">
      <c r="A145" s="1117"/>
      <c r="B145" s="643" t="s">
        <v>34</v>
      </c>
      <c r="C145" s="643"/>
      <c r="D145" s="643"/>
      <c r="E145" s="643"/>
      <c r="F145" s="643"/>
      <c r="G145" s="103">
        <f t="shared" si="55"/>
        <v>0</v>
      </c>
      <c r="H145" s="103"/>
      <c r="I145" s="103"/>
      <c r="J145" s="103"/>
      <c r="K145" s="103"/>
      <c r="L145" s="103"/>
      <c r="M145" s="103"/>
      <c r="N145" s="706"/>
      <c r="O145" s="1037"/>
    </row>
    <row r="146" spans="1:27" ht="24.6" hidden="1" customHeight="1">
      <c r="A146" s="1073" t="s">
        <v>124</v>
      </c>
      <c r="B146" s="62" t="s">
        <v>89</v>
      </c>
      <c r="C146" s="643"/>
      <c r="D146" s="643"/>
      <c r="E146" s="643"/>
      <c r="F146" s="643"/>
      <c r="G146" s="102">
        <f t="shared" ref="G146:M146" si="57">G150+G162</f>
        <v>0</v>
      </c>
      <c r="H146" s="102"/>
      <c r="I146" s="102"/>
      <c r="J146" s="102"/>
      <c r="K146" s="102"/>
      <c r="L146" s="102">
        <f t="shared" si="57"/>
        <v>0</v>
      </c>
      <c r="M146" s="102">
        <f t="shared" si="57"/>
        <v>0</v>
      </c>
      <c r="N146" s="706"/>
      <c r="O146" s="703"/>
    </row>
    <row r="147" spans="1:27" ht="24.6" hidden="1" customHeight="1">
      <c r="A147" s="1073"/>
      <c r="B147" s="62" t="s">
        <v>237</v>
      </c>
      <c r="C147" s="643"/>
      <c r="D147" s="643"/>
      <c r="E147" s="643"/>
      <c r="F147" s="643"/>
      <c r="G147" s="102">
        <f>G148+G149</f>
        <v>0</v>
      </c>
      <c r="H147" s="102"/>
      <c r="I147" s="102"/>
      <c r="J147" s="102"/>
      <c r="K147" s="102"/>
      <c r="L147" s="102">
        <f>L148+L149</f>
        <v>0</v>
      </c>
      <c r="M147" s="102">
        <f>M148+M149</f>
        <v>0</v>
      </c>
      <c r="N147" s="706"/>
      <c r="O147" s="703"/>
    </row>
    <row r="148" spans="1:27" ht="24.6" hidden="1" customHeight="1">
      <c r="A148" s="1073"/>
      <c r="B148" s="62" t="s">
        <v>10</v>
      </c>
      <c r="C148" s="643"/>
      <c r="D148" s="643"/>
      <c r="E148" s="643"/>
      <c r="F148" s="643"/>
      <c r="G148" s="102">
        <f>G151</f>
        <v>0</v>
      </c>
      <c r="H148" s="102"/>
      <c r="I148" s="102"/>
      <c r="J148" s="102"/>
      <c r="K148" s="102"/>
      <c r="L148" s="102">
        <f>L152</f>
        <v>0</v>
      </c>
      <c r="M148" s="102">
        <f>M152</f>
        <v>0</v>
      </c>
      <c r="N148" s="706"/>
      <c r="O148" s="703"/>
    </row>
    <row r="149" spans="1:27" ht="23.45" hidden="1" customHeight="1">
      <c r="A149" s="1073"/>
      <c r="B149" s="62" t="s">
        <v>34</v>
      </c>
      <c r="C149" s="643"/>
      <c r="D149" s="643"/>
      <c r="E149" s="643"/>
      <c r="F149" s="643"/>
      <c r="G149" s="102">
        <f t="shared" ref="G149:L149" si="58">G161+G164</f>
        <v>0</v>
      </c>
      <c r="H149" s="102"/>
      <c r="I149" s="102"/>
      <c r="J149" s="102"/>
      <c r="K149" s="102"/>
      <c r="L149" s="102">
        <f t="shared" si="58"/>
        <v>0</v>
      </c>
      <c r="M149" s="102"/>
      <c r="N149" s="706"/>
      <c r="O149" s="703"/>
    </row>
    <row r="150" spans="1:27" ht="24.6" hidden="1" customHeight="1">
      <c r="A150" s="1122" t="s">
        <v>508</v>
      </c>
      <c r="B150" s="643" t="s">
        <v>89</v>
      </c>
      <c r="C150" s="643"/>
      <c r="D150" s="643"/>
      <c r="E150" s="643"/>
      <c r="F150" s="643"/>
      <c r="G150" s="103"/>
      <c r="H150" s="103"/>
      <c r="I150" s="103"/>
      <c r="J150" s="103"/>
      <c r="K150" s="103"/>
      <c r="L150" s="103"/>
      <c r="M150" s="103"/>
      <c r="N150" s="706"/>
      <c r="O150" s="1037" t="s">
        <v>467</v>
      </c>
    </row>
    <row r="151" spans="1:27" ht="24.6" hidden="1" customHeight="1">
      <c r="A151" s="1123"/>
      <c r="B151" s="643" t="s">
        <v>237</v>
      </c>
      <c r="C151" s="643"/>
      <c r="D151" s="643"/>
      <c r="E151" s="643"/>
      <c r="F151" s="643"/>
      <c r="G151" s="103">
        <f>G152</f>
        <v>0</v>
      </c>
      <c r="H151" s="103">
        <f t="shared" ref="H151:K151" si="59">H152</f>
        <v>0</v>
      </c>
      <c r="I151" s="103">
        <f t="shared" si="59"/>
        <v>0</v>
      </c>
      <c r="J151" s="103">
        <f t="shared" si="59"/>
        <v>0</v>
      </c>
      <c r="K151" s="103">
        <f t="shared" si="59"/>
        <v>0</v>
      </c>
      <c r="L151" s="103">
        <f>L152</f>
        <v>0</v>
      </c>
      <c r="M151" s="103"/>
      <c r="N151" s="706"/>
      <c r="O151" s="1037"/>
    </row>
    <row r="152" spans="1:27" ht="24.6" hidden="1" customHeight="1">
      <c r="A152" s="1123"/>
      <c r="B152" s="643" t="s">
        <v>10</v>
      </c>
      <c r="C152" s="643"/>
      <c r="D152" s="643"/>
      <c r="E152" s="643"/>
      <c r="F152" s="643"/>
      <c r="G152" s="103"/>
      <c r="H152" s="138"/>
      <c r="I152" s="138"/>
      <c r="J152" s="138"/>
      <c r="K152" s="138"/>
      <c r="L152" s="293"/>
      <c r="M152" s="103"/>
      <c r="N152" s="706"/>
      <c r="O152" s="1037"/>
    </row>
    <row r="153" spans="1:27" ht="24.6" hidden="1" customHeight="1">
      <c r="A153" s="1113"/>
      <c r="B153" s="639" t="s">
        <v>443</v>
      </c>
      <c r="C153" s="639"/>
      <c r="D153" s="639"/>
      <c r="E153" s="639"/>
      <c r="F153" s="639"/>
      <c r="G153" s="107"/>
      <c r="H153" s="107"/>
      <c r="I153" s="107"/>
      <c r="J153" s="107"/>
      <c r="K153" s="107"/>
      <c r="L153" s="293"/>
      <c r="M153" s="107"/>
      <c r="N153" s="706"/>
      <c r="O153" s="1037"/>
    </row>
    <row r="154" spans="1:27" ht="24.6" hidden="1" customHeight="1">
      <c r="A154" s="1119" t="s">
        <v>122</v>
      </c>
      <c r="B154" s="297" t="s">
        <v>89</v>
      </c>
      <c r="C154" s="639"/>
      <c r="D154" s="639"/>
      <c r="E154" s="639"/>
      <c r="F154" s="639"/>
      <c r="G154" s="290">
        <f>G158</f>
        <v>0</v>
      </c>
      <c r="H154" s="290">
        <f t="shared" ref="H154:K154" si="60">H158</f>
        <v>0</v>
      </c>
      <c r="I154" s="290">
        <f t="shared" si="60"/>
        <v>0</v>
      </c>
      <c r="J154" s="290">
        <f t="shared" si="60"/>
        <v>0</v>
      </c>
      <c r="K154" s="290">
        <f t="shared" si="60"/>
        <v>0</v>
      </c>
      <c r="L154" s="348">
        <f>L158</f>
        <v>0</v>
      </c>
      <c r="M154" s="107"/>
      <c r="N154" s="706"/>
      <c r="O154" s="1037"/>
    </row>
    <row r="155" spans="1:27" ht="24.6" hidden="1" customHeight="1">
      <c r="A155" s="1120"/>
      <c r="B155" s="297" t="s">
        <v>237</v>
      </c>
      <c r="C155" s="639"/>
      <c r="D155" s="639"/>
      <c r="E155" s="639"/>
      <c r="F155" s="639"/>
      <c r="G155" s="290">
        <f>G156</f>
        <v>0</v>
      </c>
      <c r="H155" s="290">
        <f t="shared" ref="H155:K155" si="61">H156</f>
        <v>0</v>
      </c>
      <c r="I155" s="290">
        <f t="shared" si="61"/>
        <v>0</v>
      </c>
      <c r="J155" s="290">
        <f t="shared" si="61"/>
        <v>0</v>
      </c>
      <c r="K155" s="290">
        <f t="shared" si="61"/>
        <v>0</v>
      </c>
      <c r="L155" s="348">
        <f>L159</f>
        <v>0</v>
      </c>
      <c r="M155" s="107"/>
      <c r="N155" s="706"/>
      <c r="O155" s="1037"/>
    </row>
    <row r="156" spans="1:27" ht="24.6" hidden="1" customHeight="1">
      <c r="A156" s="1120"/>
      <c r="B156" s="297" t="s">
        <v>10</v>
      </c>
      <c r="C156" s="639"/>
      <c r="D156" s="639"/>
      <c r="E156" s="639"/>
      <c r="F156" s="639"/>
      <c r="G156" s="290">
        <f>G160</f>
        <v>0</v>
      </c>
      <c r="H156" s="290">
        <f t="shared" ref="H156:K156" si="62">H160</f>
        <v>0</v>
      </c>
      <c r="I156" s="290">
        <f t="shared" si="62"/>
        <v>0</v>
      </c>
      <c r="J156" s="290">
        <f t="shared" si="62"/>
        <v>0</v>
      </c>
      <c r="K156" s="290">
        <f t="shared" si="62"/>
        <v>0</v>
      </c>
      <c r="L156" s="348">
        <f>L160</f>
        <v>0</v>
      </c>
      <c r="M156" s="107"/>
      <c r="N156" s="706"/>
      <c r="O156" s="1037"/>
    </row>
    <row r="157" spans="1:27" ht="24.6" hidden="1" customHeight="1">
      <c r="A157" s="1121"/>
      <c r="B157" s="297" t="s">
        <v>443</v>
      </c>
      <c r="C157" s="639"/>
      <c r="D157" s="639"/>
      <c r="E157" s="639"/>
      <c r="F157" s="639"/>
      <c r="G157" s="107"/>
      <c r="H157" s="107"/>
      <c r="I157" s="107"/>
      <c r="J157" s="107"/>
      <c r="K157" s="107"/>
      <c r="L157" s="293"/>
      <c r="M157" s="107"/>
      <c r="N157" s="706"/>
      <c r="O157" s="1037"/>
    </row>
    <row r="158" spans="1:27" ht="24.6" hidden="1" customHeight="1">
      <c r="A158" s="1122" t="s">
        <v>510</v>
      </c>
      <c r="B158" s="296" t="s">
        <v>89</v>
      </c>
      <c r="C158" s="639"/>
      <c r="D158" s="639"/>
      <c r="E158" s="639"/>
      <c r="F158" s="639"/>
      <c r="G158" s="107">
        <f>K158</f>
        <v>0</v>
      </c>
      <c r="H158" s="107"/>
      <c r="I158" s="107"/>
      <c r="J158" s="107"/>
      <c r="K158" s="107">
        <f>AA158</f>
        <v>0</v>
      </c>
      <c r="L158" s="293"/>
      <c r="M158" s="107"/>
      <c r="N158" s="706"/>
      <c r="O158" s="1037" t="s">
        <v>728</v>
      </c>
      <c r="P158" s="44">
        <f>K159/29200.7*1.074*1.037*1.049*1.05</f>
        <v>0</v>
      </c>
      <c r="AA158" s="656">
        <f>K159/29200.7*1.074*1.037*1.049*1.05</f>
        <v>0</v>
      </c>
    </row>
    <row r="159" spans="1:27" ht="24.6" hidden="1" customHeight="1">
      <c r="A159" s="1123"/>
      <c r="B159" s="296" t="s">
        <v>237</v>
      </c>
      <c r="C159" s="639"/>
      <c r="D159" s="639"/>
      <c r="E159" s="639"/>
      <c r="F159" s="639"/>
      <c r="G159" s="107">
        <f>G160</f>
        <v>0</v>
      </c>
      <c r="H159" s="107"/>
      <c r="I159" s="107"/>
      <c r="J159" s="107"/>
      <c r="K159" s="107">
        <f>K160</f>
        <v>0</v>
      </c>
      <c r="L159" s="293"/>
      <c r="M159" s="107"/>
      <c r="N159" s="706"/>
      <c r="O159" s="1037"/>
    </row>
    <row r="160" spans="1:27" ht="24.6" hidden="1" customHeight="1">
      <c r="A160" s="1123"/>
      <c r="B160" s="296" t="s">
        <v>10</v>
      </c>
      <c r="C160" s="639"/>
      <c r="D160" s="639"/>
      <c r="E160" s="639"/>
      <c r="F160" s="639"/>
      <c r="G160" s="107">
        <f>K160</f>
        <v>0</v>
      </c>
      <c r="H160" s="107"/>
      <c r="I160" s="107"/>
      <c r="J160" s="107"/>
      <c r="K160" s="107">
        <v>0</v>
      </c>
      <c r="L160" s="293"/>
      <c r="M160" s="107"/>
      <c r="N160" s="706"/>
      <c r="O160" s="1037"/>
    </row>
    <row r="161" spans="1:62" s="55" customFormat="1" ht="24" hidden="1" customHeight="1">
      <c r="A161" s="1113"/>
      <c r="B161" s="648" t="s">
        <v>443</v>
      </c>
      <c r="C161" s="643"/>
      <c r="D161" s="643"/>
      <c r="E161" s="643"/>
      <c r="F161" s="643"/>
      <c r="G161" s="103"/>
      <c r="H161" s="103"/>
      <c r="I161" s="103"/>
      <c r="J161" s="103"/>
      <c r="K161" s="103"/>
      <c r="L161" s="103"/>
      <c r="M161" s="103"/>
      <c r="N161" s="706"/>
      <c r="O161" s="1037"/>
      <c r="P161" s="295"/>
      <c r="Q161" s="295"/>
      <c r="R161" s="295"/>
      <c r="S161" s="295"/>
      <c r="T161" s="295"/>
      <c r="U161" s="295"/>
      <c r="V161" s="295"/>
      <c r="W161" s="295"/>
      <c r="X161" s="295"/>
      <c r="Y161" s="295"/>
      <c r="Z161" s="295"/>
      <c r="AA161" s="295"/>
      <c r="AB161" s="295"/>
      <c r="AC161" s="295"/>
      <c r="AD161" s="295"/>
      <c r="AE161" s="295"/>
      <c r="AF161" s="295"/>
      <c r="AG161" s="295"/>
      <c r="AH161" s="295"/>
      <c r="AI161" s="351"/>
      <c r="AJ161" s="295"/>
      <c r="AK161" s="295"/>
      <c r="AL161" s="295"/>
      <c r="AM161" s="295"/>
      <c r="AN161" s="295"/>
      <c r="AO161" s="295"/>
      <c r="AP161" s="295"/>
      <c r="AQ161" s="295"/>
      <c r="AR161" s="295"/>
      <c r="AS161" s="295"/>
      <c r="AT161" s="295"/>
      <c r="AU161" s="295"/>
      <c r="AV161" s="295"/>
      <c r="AW161" s="295"/>
      <c r="AX161" s="295"/>
      <c r="AY161" s="295"/>
      <c r="AZ161" s="295"/>
      <c r="BA161" s="295"/>
      <c r="BB161" s="295"/>
      <c r="BC161" s="295"/>
      <c r="BD161" s="295"/>
      <c r="BE161" s="295"/>
      <c r="BF161" s="295"/>
      <c r="BG161" s="295"/>
      <c r="BH161" s="295"/>
      <c r="BI161" s="295"/>
      <c r="BJ161" s="294"/>
    </row>
    <row r="162" spans="1:62" s="45" customFormat="1" ht="24.6" hidden="1" customHeight="1">
      <c r="A162" s="1113" t="s">
        <v>217</v>
      </c>
      <c r="B162" s="641" t="s">
        <v>89</v>
      </c>
      <c r="C162" s="641"/>
      <c r="D162" s="641"/>
      <c r="E162" s="641"/>
      <c r="F162" s="641"/>
      <c r="G162" s="292">
        <v>0</v>
      </c>
      <c r="H162" s="292"/>
      <c r="I162" s="292"/>
      <c r="J162" s="292"/>
      <c r="K162" s="292"/>
      <c r="L162" s="292">
        <v>0</v>
      </c>
      <c r="M162" s="292"/>
      <c r="N162" s="706"/>
      <c r="O162" s="1037" t="s">
        <v>221</v>
      </c>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row>
    <row r="163" spans="1:62" s="45" customFormat="1" ht="24.6" hidden="1" customHeight="1">
      <c r="A163" s="1114"/>
      <c r="B163" s="643" t="s">
        <v>237</v>
      </c>
      <c r="C163" s="643"/>
      <c r="D163" s="643"/>
      <c r="E163" s="643"/>
      <c r="F163" s="643"/>
      <c r="G163" s="103">
        <f t="shared" ref="G163:L163" si="63">G164</f>
        <v>0</v>
      </c>
      <c r="H163" s="103"/>
      <c r="I163" s="103"/>
      <c r="J163" s="103"/>
      <c r="K163" s="103"/>
      <c r="L163" s="103">
        <f t="shared" si="63"/>
        <v>0</v>
      </c>
      <c r="M163" s="103"/>
      <c r="N163" s="706"/>
      <c r="O163" s="1037"/>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row>
    <row r="164" spans="1:62" s="45" customFormat="1" ht="11.25" hidden="1" customHeight="1">
      <c r="A164" s="1114"/>
      <c r="B164" s="643" t="s">
        <v>34</v>
      </c>
      <c r="C164" s="643"/>
      <c r="D164" s="643"/>
      <c r="E164" s="643"/>
      <c r="F164" s="643"/>
      <c r="G164" s="103">
        <v>0</v>
      </c>
      <c r="H164" s="103"/>
      <c r="I164" s="103"/>
      <c r="J164" s="103"/>
      <c r="K164" s="103"/>
      <c r="L164" s="103">
        <v>0</v>
      </c>
      <c r="M164" s="103"/>
      <c r="N164" s="706"/>
      <c r="O164" s="1037"/>
      <c r="AJ164" s="113"/>
      <c r="AK164" s="113"/>
      <c r="AL164" s="113"/>
      <c r="AM164" s="113"/>
      <c r="AN164" s="113"/>
      <c r="AO164" s="113"/>
      <c r="AP164" s="113"/>
      <c r="AQ164" s="113"/>
      <c r="AR164" s="113"/>
      <c r="AS164" s="113"/>
      <c r="AT164" s="113"/>
      <c r="AU164" s="113"/>
      <c r="AV164" s="113"/>
      <c r="AW164" s="113"/>
      <c r="AX164" s="113"/>
      <c r="AY164" s="113"/>
      <c r="AZ164" s="113"/>
      <c r="BA164" s="113"/>
      <c r="BB164" s="113"/>
      <c r="BC164" s="113"/>
      <c r="BD164" s="113"/>
      <c r="BE164" s="113"/>
      <c r="BF164" s="113"/>
      <c r="BG164" s="113"/>
      <c r="BH164" s="113"/>
      <c r="BI164" s="113"/>
    </row>
    <row r="165" spans="1:62" s="45" customFormat="1" ht="24.95" customHeight="1">
      <c r="A165" s="1124" t="s">
        <v>101</v>
      </c>
      <c r="B165" s="62" t="s">
        <v>89</v>
      </c>
      <c r="C165" s="62"/>
      <c r="D165" s="62"/>
      <c r="E165" s="62"/>
      <c r="F165" s="62"/>
      <c r="G165" s="102">
        <f t="shared" ref="G165:L165" si="64">G169+G173</f>
        <v>1.5</v>
      </c>
      <c r="H165" s="102">
        <f t="shared" si="64"/>
        <v>0</v>
      </c>
      <c r="I165" s="102">
        <f t="shared" si="64"/>
        <v>0</v>
      </c>
      <c r="J165" s="102">
        <f t="shared" si="64"/>
        <v>0</v>
      </c>
      <c r="K165" s="102">
        <f t="shared" si="64"/>
        <v>1.5</v>
      </c>
      <c r="L165" s="102">
        <f t="shared" si="64"/>
        <v>0</v>
      </c>
      <c r="M165" s="102"/>
      <c r="N165" s="706"/>
      <c r="O165" s="709"/>
      <c r="AJ165" s="113"/>
      <c r="AK165" s="113"/>
      <c r="AL165" s="113"/>
      <c r="AM165" s="113"/>
      <c r="AN165" s="113"/>
      <c r="AO165" s="113"/>
      <c r="AP165" s="113"/>
      <c r="AQ165" s="113"/>
      <c r="AR165" s="113"/>
      <c r="AS165" s="113"/>
      <c r="AT165" s="113"/>
      <c r="AU165" s="113"/>
      <c r="AV165" s="113"/>
      <c r="AW165" s="113"/>
      <c r="AX165" s="113"/>
      <c r="AY165" s="113"/>
      <c r="AZ165" s="113"/>
      <c r="BA165" s="113"/>
      <c r="BB165" s="113"/>
      <c r="BC165" s="113"/>
      <c r="BD165" s="113"/>
      <c r="BE165" s="113"/>
      <c r="BF165" s="113"/>
      <c r="BG165" s="113"/>
      <c r="BH165" s="113"/>
      <c r="BI165" s="113"/>
    </row>
    <row r="166" spans="1:62" ht="24.95" customHeight="1">
      <c r="A166" s="1124"/>
      <c r="B166" s="62" t="s">
        <v>237</v>
      </c>
      <c r="C166" s="62"/>
      <c r="D166" s="62"/>
      <c r="E166" s="62"/>
      <c r="F166" s="62"/>
      <c r="G166" s="102">
        <f t="shared" ref="G166:M166" si="65">G167+G168</f>
        <v>72000</v>
      </c>
      <c r="H166" s="102">
        <f t="shared" si="65"/>
        <v>0</v>
      </c>
      <c r="I166" s="102">
        <f t="shared" si="65"/>
        <v>0</v>
      </c>
      <c r="J166" s="102">
        <f t="shared" si="65"/>
        <v>0</v>
      </c>
      <c r="K166" s="102">
        <f t="shared" si="65"/>
        <v>72000</v>
      </c>
      <c r="L166" s="102">
        <f t="shared" si="65"/>
        <v>1000</v>
      </c>
      <c r="M166" s="102">
        <f t="shared" si="65"/>
        <v>0</v>
      </c>
      <c r="N166" s="706"/>
      <c r="O166" s="709"/>
    </row>
    <row r="167" spans="1:62" ht="24.95" customHeight="1">
      <c r="A167" s="1124"/>
      <c r="B167" s="62" t="s">
        <v>10</v>
      </c>
      <c r="C167" s="62"/>
      <c r="D167" s="62"/>
      <c r="E167" s="62"/>
      <c r="F167" s="62"/>
      <c r="G167" s="102">
        <f t="shared" ref="G167:K167" si="66">G171+G175</f>
        <v>72000</v>
      </c>
      <c r="H167" s="102">
        <f t="shared" si="66"/>
        <v>0</v>
      </c>
      <c r="I167" s="102">
        <f t="shared" si="66"/>
        <v>0</v>
      </c>
      <c r="J167" s="102">
        <f t="shared" si="66"/>
        <v>0</v>
      </c>
      <c r="K167" s="102">
        <f t="shared" si="66"/>
        <v>72000</v>
      </c>
      <c r="L167" s="102">
        <f>L179</f>
        <v>1000</v>
      </c>
      <c r="M167" s="102">
        <f>M179</f>
        <v>0</v>
      </c>
      <c r="N167" s="706"/>
      <c r="O167" s="709"/>
    </row>
    <row r="168" spans="1:62" ht="28.5" customHeight="1">
      <c r="A168" s="1124"/>
      <c r="B168" s="62" t="s">
        <v>443</v>
      </c>
      <c r="C168" s="62"/>
      <c r="D168" s="62"/>
      <c r="E168" s="62"/>
      <c r="F168" s="62"/>
      <c r="G168" s="102">
        <f>G172+G176</f>
        <v>0</v>
      </c>
      <c r="H168" s="102"/>
      <c r="I168" s="102"/>
      <c r="J168" s="102"/>
      <c r="K168" s="102"/>
      <c r="L168" s="102">
        <f>L172+L176</f>
        <v>0</v>
      </c>
      <c r="M168" s="102"/>
      <c r="N168" s="706"/>
      <c r="O168" s="709"/>
    </row>
    <row r="169" spans="1:62" ht="28.5" customHeight="1">
      <c r="A169" s="1065" t="s">
        <v>300</v>
      </c>
      <c r="B169" s="643" t="s">
        <v>89</v>
      </c>
      <c r="C169" s="643">
        <v>176</v>
      </c>
      <c r="D169" s="643" t="s">
        <v>15</v>
      </c>
      <c r="E169" s="643">
        <v>6100404</v>
      </c>
      <c r="F169" s="643">
        <v>414</v>
      </c>
      <c r="G169" s="103">
        <f>K169</f>
        <v>1.5</v>
      </c>
      <c r="H169" s="103"/>
      <c r="I169" s="103"/>
      <c r="J169" s="103"/>
      <c r="K169" s="103">
        <v>1.5</v>
      </c>
      <c r="L169" s="103">
        <v>0</v>
      </c>
      <c r="M169" s="103"/>
      <c r="N169" s="706"/>
      <c r="O169" s="1037" t="s">
        <v>302</v>
      </c>
    </row>
    <row r="170" spans="1:62" ht="28.5" customHeight="1">
      <c r="A170" s="1065"/>
      <c r="B170" s="643" t="s">
        <v>237</v>
      </c>
      <c r="C170" s="643"/>
      <c r="D170" s="643"/>
      <c r="E170" s="643"/>
      <c r="F170" s="643"/>
      <c r="G170" s="103">
        <f t="shared" ref="G170:L170" si="67">G171+G172</f>
        <v>72000</v>
      </c>
      <c r="H170" s="103"/>
      <c r="I170" s="103"/>
      <c r="J170" s="103"/>
      <c r="K170" s="103">
        <f>K171</f>
        <v>72000</v>
      </c>
      <c r="L170" s="103">
        <f t="shared" si="67"/>
        <v>0</v>
      </c>
      <c r="M170" s="103"/>
      <c r="N170" s="706"/>
      <c r="O170" s="1037"/>
      <c r="V170" s="44">
        <v>121.4</v>
      </c>
      <c r="X170" s="48"/>
    </row>
    <row r="171" spans="1:62" ht="24.6" customHeight="1">
      <c r="A171" s="1065"/>
      <c r="B171" s="643" t="s">
        <v>10</v>
      </c>
      <c r="C171" s="643"/>
      <c r="D171" s="643"/>
      <c r="E171" s="643"/>
      <c r="F171" s="643"/>
      <c r="G171" s="103">
        <f>K171</f>
        <v>72000</v>
      </c>
      <c r="H171" s="103"/>
      <c r="I171" s="103"/>
      <c r="J171" s="103"/>
      <c r="K171" s="103">
        <v>72000</v>
      </c>
      <c r="L171" s="103">
        <v>0</v>
      </c>
      <c r="M171" s="103"/>
      <c r="N171" s="706"/>
      <c r="O171" s="1037"/>
    </row>
    <row r="172" spans="1:62" ht="24.6" customHeight="1">
      <c r="A172" s="1065"/>
      <c r="B172" s="643" t="s">
        <v>443</v>
      </c>
      <c r="C172" s="643"/>
      <c r="D172" s="643"/>
      <c r="E172" s="643"/>
      <c r="F172" s="643"/>
      <c r="G172" s="103"/>
      <c r="H172" s="103"/>
      <c r="I172" s="103"/>
      <c r="J172" s="103"/>
      <c r="K172" s="103"/>
      <c r="L172" s="103"/>
      <c r="M172" s="103"/>
      <c r="N172" s="706"/>
      <c r="O172" s="1037"/>
    </row>
    <row r="173" spans="1:62" ht="24.95" hidden="1" customHeight="1">
      <c r="A173" s="1065" t="s">
        <v>203</v>
      </c>
      <c r="B173" s="643" t="s">
        <v>89</v>
      </c>
      <c r="C173" s="643"/>
      <c r="D173" s="643"/>
      <c r="E173" s="643"/>
      <c r="F173" s="643"/>
      <c r="G173" s="103">
        <f>K173</f>
        <v>0</v>
      </c>
      <c r="H173" s="103"/>
      <c r="I173" s="103"/>
      <c r="J173" s="103"/>
      <c r="K173" s="103">
        <v>0</v>
      </c>
      <c r="L173" s="103"/>
      <c r="M173" s="103"/>
      <c r="N173" s="706"/>
      <c r="O173" s="1030" t="s">
        <v>677</v>
      </c>
      <c r="P173" s="44">
        <f>(91884+K174)/29200.7*1.074*1.037*1.049*1.05</f>
        <v>3.8600635583964902</v>
      </c>
      <c r="AA173" s="44">
        <f>K174/29200.7*1.074*1.037*1.049*1.05</f>
        <v>0</v>
      </c>
    </row>
    <row r="174" spans="1:62" ht="24.95" hidden="1" customHeight="1">
      <c r="A174" s="1065"/>
      <c r="B174" s="643" t="s">
        <v>237</v>
      </c>
      <c r="C174" s="643"/>
      <c r="D174" s="643"/>
      <c r="E174" s="643"/>
      <c r="F174" s="643"/>
      <c r="G174" s="103">
        <f>G175+G176</f>
        <v>0</v>
      </c>
      <c r="H174" s="103"/>
      <c r="I174" s="103"/>
      <c r="J174" s="103">
        <f>J175</f>
        <v>0</v>
      </c>
      <c r="K174" s="103">
        <f>K175</f>
        <v>0</v>
      </c>
      <c r="L174" s="103">
        <f>L175+L176</f>
        <v>0</v>
      </c>
      <c r="M174" s="103"/>
      <c r="N174" s="706"/>
      <c r="O174" s="1032"/>
    </row>
    <row r="175" spans="1:62" ht="29.25" hidden="1" customHeight="1">
      <c r="A175" s="1065"/>
      <c r="B175" s="643" t="s">
        <v>10</v>
      </c>
      <c r="C175" s="643"/>
      <c r="D175" s="643"/>
      <c r="E175" s="643"/>
      <c r="F175" s="643"/>
      <c r="G175" s="103">
        <f>H175+I175+J175+K175</f>
        <v>0</v>
      </c>
      <c r="H175" s="103"/>
      <c r="I175" s="103"/>
      <c r="J175" s="103"/>
      <c r="K175" s="103">
        <v>0</v>
      </c>
      <c r="L175" s="103"/>
      <c r="M175" s="103"/>
      <c r="N175" s="706"/>
      <c r="O175" s="1032"/>
    </row>
    <row r="176" spans="1:62" ht="24.95" hidden="1" customHeight="1">
      <c r="A176" s="1065"/>
      <c r="B176" s="643" t="s">
        <v>443</v>
      </c>
      <c r="C176" s="643"/>
      <c r="D176" s="643"/>
      <c r="E176" s="643"/>
      <c r="F176" s="643"/>
      <c r="G176" s="103"/>
      <c r="H176" s="103"/>
      <c r="I176" s="103"/>
      <c r="J176" s="103"/>
      <c r="K176" s="103"/>
      <c r="L176" s="103"/>
      <c r="M176" s="103"/>
      <c r="N176" s="706"/>
      <c r="O176" s="1031"/>
    </row>
    <row r="177" spans="1:15" ht="24.95" customHeight="1">
      <c r="A177" s="1070" t="s">
        <v>558</v>
      </c>
      <c r="B177" s="643" t="s">
        <v>89</v>
      </c>
      <c r="C177" s="643"/>
      <c r="D177" s="643"/>
      <c r="E177" s="643"/>
      <c r="F177" s="643"/>
      <c r="G177" s="103"/>
      <c r="H177" s="103"/>
      <c r="I177" s="103"/>
      <c r="J177" s="103"/>
      <c r="K177" s="103"/>
      <c r="L177" s="103"/>
      <c r="M177" s="103"/>
      <c r="N177" s="706"/>
      <c r="O177" s="1030" t="s">
        <v>561</v>
      </c>
    </row>
    <row r="178" spans="1:15" ht="24.95" customHeight="1">
      <c r="A178" s="1071"/>
      <c r="B178" s="643" t="s">
        <v>237</v>
      </c>
      <c r="C178" s="643"/>
      <c r="D178" s="643"/>
      <c r="E178" s="643"/>
      <c r="F178" s="643"/>
      <c r="G178" s="103"/>
      <c r="H178" s="103"/>
      <c r="I178" s="103"/>
      <c r="J178" s="103"/>
      <c r="K178" s="103"/>
      <c r="L178" s="103">
        <f>L179</f>
        <v>1000</v>
      </c>
      <c r="M178" s="103">
        <f>M179+M180</f>
        <v>0</v>
      </c>
      <c r="N178" s="706"/>
      <c r="O178" s="1032"/>
    </row>
    <row r="179" spans="1:15" ht="24.95" customHeight="1">
      <c r="A179" s="1071"/>
      <c r="B179" s="643" t="s">
        <v>10</v>
      </c>
      <c r="C179" s="643"/>
      <c r="D179" s="643"/>
      <c r="E179" s="643"/>
      <c r="F179" s="643"/>
      <c r="G179" s="103"/>
      <c r="H179" s="103"/>
      <c r="I179" s="103"/>
      <c r="J179" s="103"/>
      <c r="K179" s="103"/>
      <c r="L179" s="103">
        <v>1000</v>
      </c>
      <c r="M179" s="103">
        <v>0</v>
      </c>
      <c r="N179" s="706"/>
      <c r="O179" s="1032"/>
    </row>
    <row r="180" spans="1:15" ht="24.95" customHeight="1">
      <c r="A180" s="1072"/>
      <c r="B180" s="643" t="s">
        <v>443</v>
      </c>
      <c r="C180" s="643"/>
      <c r="D180" s="643"/>
      <c r="E180" s="643"/>
      <c r="F180" s="643"/>
      <c r="G180" s="103"/>
      <c r="H180" s="103"/>
      <c r="I180" s="103"/>
      <c r="J180" s="103"/>
      <c r="K180" s="103"/>
      <c r="L180" s="103"/>
      <c r="M180" s="103"/>
      <c r="N180" s="706"/>
      <c r="O180" s="1031"/>
    </row>
    <row r="181" spans="1:15" ht="24.95" customHeight="1">
      <c r="A181" s="1124" t="s">
        <v>125</v>
      </c>
      <c r="B181" s="62" t="s">
        <v>89</v>
      </c>
      <c r="C181" s="643"/>
      <c r="D181" s="643"/>
      <c r="E181" s="643"/>
      <c r="F181" s="643"/>
      <c r="G181" s="102">
        <f>G194</f>
        <v>5.1593230925767743</v>
      </c>
      <c r="H181" s="102"/>
      <c r="I181" s="102"/>
      <c r="J181" s="102"/>
      <c r="K181" s="102">
        <f>K194</f>
        <v>5.1593230925767743</v>
      </c>
      <c r="L181" s="102">
        <f>L185+L188+L194+L198</f>
        <v>0</v>
      </c>
      <c r="M181" s="115">
        <f>M185+M188+M194+M198</f>
        <v>0</v>
      </c>
      <c r="N181" s="706"/>
      <c r="O181" s="703"/>
    </row>
    <row r="182" spans="1:15" ht="28.5" customHeight="1">
      <c r="A182" s="1124"/>
      <c r="B182" s="62" t="s">
        <v>237</v>
      </c>
      <c r="C182" s="643"/>
      <c r="D182" s="643"/>
      <c r="E182" s="643"/>
      <c r="F182" s="643"/>
      <c r="G182" s="102">
        <v>0</v>
      </c>
      <c r="H182" s="102">
        <f t="shared" ref="H182:K182" si="68">H183+H184</f>
        <v>0</v>
      </c>
      <c r="I182" s="102">
        <f t="shared" si="68"/>
        <v>0</v>
      </c>
      <c r="J182" s="102">
        <f t="shared" si="68"/>
        <v>0</v>
      </c>
      <c r="K182" s="102">
        <f t="shared" si="68"/>
        <v>50860</v>
      </c>
      <c r="L182" s="102">
        <f>L183+L184</f>
        <v>1000</v>
      </c>
      <c r="M182" s="102">
        <f>M183</f>
        <v>0</v>
      </c>
      <c r="N182" s="706"/>
      <c r="O182" s="703"/>
    </row>
    <row r="183" spans="1:15" ht="26.25" customHeight="1">
      <c r="A183" s="1124"/>
      <c r="B183" s="62" t="s">
        <v>10</v>
      </c>
      <c r="C183" s="643"/>
      <c r="D183" s="643"/>
      <c r="E183" s="643"/>
      <c r="F183" s="643"/>
      <c r="G183" s="102">
        <f>G196</f>
        <v>50860</v>
      </c>
      <c r="H183" s="102">
        <f t="shared" ref="H183:K183" si="69">H196</f>
        <v>0</v>
      </c>
      <c r="I183" s="102">
        <f t="shared" si="69"/>
        <v>0</v>
      </c>
      <c r="J183" s="102">
        <f t="shared" si="69"/>
        <v>0</v>
      </c>
      <c r="K183" s="102">
        <f t="shared" si="69"/>
        <v>50860</v>
      </c>
      <c r="L183" s="102">
        <f>L200</f>
        <v>1000</v>
      </c>
      <c r="M183" s="102">
        <f>M200</f>
        <v>0</v>
      </c>
      <c r="N183" s="706"/>
      <c r="O183" s="703"/>
    </row>
    <row r="184" spans="1:15" ht="26.25" customHeight="1">
      <c r="A184" s="1124"/>
      <c r="B184" s="62" t="s">
        <v>443</v>
      </c>
      <c r="C184" s="643"/>
      <c r="D184" s="643"/>
      <c r="E184" s="643"/>
      <c r="F184" s="643"/>
      <c r="G184" s="102">
        <f>G187+G190+G193+G197</f>
        <v>0</v>
      </c>
      <c r="H184" s="102">
        <f t="shared" ref="H184:K184" si="70">H187+H190+H193+H197</f>
        <v>0</v>
      </c>
      <c r="I184" s="102">
        <f t="shared" si="70"/>
        <v>0</v>
      </c>
      <c r="J184" s="102">
        <f t="shared" si="70"/>
        <v>0</v>
      </c>
      <c r="K184" s="102">
        <f t="shared" si="70"/>
        <v>0</v>
      </c>
      <c r="L184" s="102"/>
      <c r="M184" s="102">
        <f t="shared" ref="M184" si="71">M187+M190+M193+M197</f>
        <v>0</v>
      </c>
      <c r="N184" s="706"/>
      <c r="O184" s="703"/>
    </row>
    <row r="185" spans="1:15" ht="24" hidden="1" customHeight="1">
      <c r="A185" s="1092" t="s">
        <v>301</v>
      </c>
      <c r="B185" s="643" t="s">
        <v>89</v>
      </c>
      <c r="C185" s="643"/>
      <c r="D185" s="643"/>
      <c r="E185" s="643"/>
      <c r="F185" s="643"/>
      <c r="G185" s="103"/>
      <c r="H185" s="103"/>
      <c r="I185" s="103"/>
      <c r="J185" s="103"/>
      <c r="K185" s="103"/>
      <c r="L185" s="114">
        <v>0</v>
      </c>
      <c r="M185" s="114">
        <v>0</v>
      </c>
      <c r="N185" s="706"/>
      <c r="O185" s="1037" t="s">
        <v>340</v>
      </c>
    </row>
    <row r="186" spans="1:15" ht="27.75" hidden="1" customHeight="1">
      <c r="A186" s="1093"/>
      <c r="B186" s="643" t="s">
        <v>237</v>
      </c>
      <c r="C186" s="643"/>
      <c r="D186" s="643"/>
      <c r="E186" s="643"/>
      <c r="F186" s="643"/>
      <c r="G186" s="103">
        <f t="shared" ref="G186:L186" si="72">G187</f>
        <v>0</v>
      </c>
      <c r="H186" s="103"/>
      <c r="I186" s="103"/>
      <c r="J186" s="103"/>
      <c r="K186" s="103"/>
      <c r="L186" s="103">
        <f t="shared" si="72"/>
        <v>0</v>
      </c>
      <c r="M186" s="103"/>
      <c r="N186" s="706"/>
      <c r="O186" s="1037"/>
    </row>
    <row r="187" spans="1:15" ht="21.75" hidden="1" customHeight="1">
      <c r="A187" s="1094"/>
      <c r="B187" s="643" t="s">
        <v>34</v>
      </c>
      <c r="C187" s="643"/>
      <c r="D187" s="643"/>
      <c r="E187" s="643"/>
      <c r="F187" s="643"/>
      <c r="G187" s="132">
        <v>0</v>
      </c>
      <c r="H187" s="289"/>
      <c r="I187" s="289"/>
      <c r="J187" s="289"/>
      <c r="K187" s="289"/>
      <c r="L187" s="103"/>
      <c r="M187" s="103"/>
      <c r="N187" s="706"/>
      <c r="O187" s="1037"/>
    </row>
    <row r="188" spans="1:15" ht="24.75" hidden="1" customHeight="1">
      <c r="A188" s="1086" t="s">
        <v>324</v>
      </c>
      <c r="B188" s="643" t="s">
        <v>89</v>
      </c>
      <c r="C188" s="643"/>
      <c r="D188" s="643"/>
      <c r="E188" s="643"/>
      <c r="F188" s="643"/>
      <c r="G188" s="103"/>
      <c r="H188" s="103"/>
      <c r="I188" s="103"/>
      <c r="J188" s="103"/>
      <c r="K188" s="103"/>
      <c r="L188" s="103">
        <v>0</v>
      </c>
      <c r="M188" s="103"/>
      <c r="N188" s="706"/>
      <c r="O188" s="1037" t="s">
        <v>278</v>
      </c>
    </row>
    <row r="189" spans="1:15" ht="27" hidden="1" customHeight="1">
      <c r="A189" s="1086"/>
      <c r="B189" s="643" t="s">
        <v>237</v>
      </c>
      <c r="C189" s="643"/>
      <c r="D189" s="643"/>
      <c r="E189" s="643"/>
      <c r="F189" s="643"/>
      <c r="G189" s="103">
        <f t="shared" ref="G189:L189" si="73">G190</f>
        <v>0</v>
      </c>
      <c r="H189" s="103"/>
      <c r="I189" s="103"/>
      <c r="J189" s="103"/>
      <c r="K189" s="103"/>
      <c r="L189" s="103">
        <f t="shared" si="73"/>
        <v>0</v>
      </c>
      <c r="M189" s="103"/>
      <c r="N189" s="706"/>
      <c r="O189" s="1037"/>
    </row>
    <row r="190" spans="1:15" ht="33" hidden="1" customHeight="1">
      <c r="A190" s="1086"/>
      <c r="B190" s="643" t="s">
        <v>34</v>
      </c>
      <c r="C190" s="643"/>
      <c r="D190" s="643"/>
      <c r="E190" s="643"/>
      <c r="F190" s="643"/>
      <c r="G190" s="103"/>
      <c r="H190" s="103"/>
      <c r="I190" s="103"/>
      <c r="J190" s="103"/>
      <c r="K190" s="103"/>
      <c r="L190" s="103">
        <v>0</v>
      </c>
      <c r="M190" s="103"/>
      <c r="N190" s="706"/>
      <c r="O190" s="1037"/>
    </row>
    <row r="191" spans="1:15" ht="22.5" hidden="1" customHeight="1">
      <c r="A191" s="1092" t="s">
        <v>288</v>
      </c>
      <c r="B191" s="643" t="s">
        <v>89</v>
      </c>
      <c r="C191" s="643"/>
      <c r="D191" s="643"/>
      <c r="E191" s="643"/>
      <c r="F191" s="643"/>
      <c r="G191" s="103"/>
      <c r="H191" s="103"/>
      <c r="I191" s="103"/>
      <c r="J191" s="103"/>
      <c r="K191" s="103"/>
      <c r="L191" s="103"/>
      <c r="M191" s="103"/>
      <c r="N191" s="706"/>
      <c r="O191" s="1037" t="s">
        <v>302</v>
      </c>
    </row>
    <row r="192" spans="1:15" ht="24" hidden="1" customHeight="1">
      <c r="A192" s="1093"/>
      <c r="B192" s="643" t="s">
        <v>237</v>
      </c>
      <c r="C192" s="643"/>
      <c r="D192" s="643"/>
      <c r="E192" s="643"/>
      <c r="F192" s="643"/>
      <c r="G192" s="103"/>
      <c r="H192" s="103"/>
      <c r="I192" s="103"/>
      <c r="J192" s="103"/>
      <c r="K192" s="103"/>
      <c r="L192" s="103">
        <f>L193</f>
        <v>0</v>
      </c>
      <c r="M192" s="103"/>
      <c r="N192" s="706"/>
      <c r="O192" s="1037"/>
    </row>
    <row r="193" spans="1:61" ht="66" hidden="1" customHeight="1">
      <c r="A193" s="1094"/>
      <c r="B193" s="643" t="s">
        <v>34</v>
      </c>
      <c r="C193" s="643"/>
      <c r="D193" s="643"/>
      <c r="E193" s="643"/>
      <c r="F193" s="643"/>
      <c r="G193" s="103"/>
      <c r="H193" s="103"/>
      <c r="I193" s="103"/>
      <c r="J193" s="103"/>
      <c r="K193" s="103"/>
      <c r="L193" s="103">
        <v>0</v>
      </c>
      <c r="M193" s="103"/>
      <c r="N193" s="706"/>
      <c r="O193" s="1037"/>
    </row>
    <row r="194" spans="1:61" s="106" customFormat="1" ht="24.75" customHeight="1">
      <c r="A194" s="1092" t="s">
        <v>729</v>
      </c>
      <c r="B194" s="653" t="s">
        <v>89</v>
      </c>
      <c r="C194" s="653"/>
      <c r="D194" s="653"/>
      <c r="E194" s="653"/>
      <c r="F194" s="653"/>
      <c r="G194" s="105">
        <f>K194</f>
        <v>5.1593230925767743</v>
      </c>
      <c r="H194" s="105"/>
      <c r="I194" s="105"/>
      <c r="J194" s="105"/>
      <c r="K194" s="105">
        <f>P194</f>
        <v>5.1593230925767743</v>
      </c>
      <c r="L194" s="105"/>
      <c r="M194" s="124"/>
      <c r="N194" s="706"/>
      <c r="O194" s="1037" t="s">
        <v>678</v>
      </c>
      <c r="P194" s="106">
        <f>(K195+61600+5175.3)/29200.7*1.074*1.037*1.049*1.05*1.044</f>
        <v>5.1593230925767743</v>
      </c>
      <c r="AA194" s="657">
        <f>(K195+L195)/29200.7*1.074*1.037*1.049*1.05*1.044</f>
        <v>2.2306499196113307</v>
      </c>
      <c r="AJ194" s="352"/>
      <c r="AK194" s="352"/>
      <c r="AL194" s="352"/>
      <c r="AM194" s="352"/>
      <c r="AN194" s="352"/>
      <c r="AO194" s="352"/>
      <c r="AP194" s="352"/>
      <c r="AQ194" s="352"/>
      <c r="AR194" s="352"/>
      <c r="AS194" s="352"/>
      <c r="AT194" s="352"/>
      <c r="AU194" s="352"/>
      <c r="AV194" s="352"/>
      <c r="AW194" s="352"/>
      <c r="AX194" s="352"/>
      <c r="AY194" s="352"/>
      <c r="AZ194" s="352"/>
      <c r="BA194" s="352"/>
      <c r="BB194" s="352"/>
      <c r="BC194" s="352"/>
      <c r="BD194" s="352"/>
      <c r="BE194" s="352"/>
      <c r="BF194" s="352"/>
      <c r="BG194" s="352"/>
      <c r="BH194" s="352"/>
      <c r="BI194" s="352"/>
    </row>
    <row r="195" spans="1:61" s="106" customFormat="1" ht="24.6" customHeight="1">
      <c r="A195" s="1093"/>
      <c r="B195" s="643" t="s">
        <v>237</v>
      </c>
      <c r="C195" s="653"/>
      <c r="D195" s="653"/>
      <c r="E195" s="653"/>
      <c r="F195" s="653"/>
      <c r="G195" s="105">
        <f>G196+G197</f>
        <v>50860</v>
      </c>
      <c r="H195" s="105">
        <f t="shared" ref="H195:K195" si="74">H196+H197</f>
        <v>0</v>
      </c>
      <c r="I195" s="105">
        <f t="shared" si="74"/>
        <v>0</v>
      </c>
      <c r="J195" s="105">
        <f t="shared" si="74"/>
        <v>0</v>
      </c>
      <c r="K195" s="105">
        <f t="shared" si="74"/>
        <v>50860</v>
      </c>
      <c r="L195" s="105">
        <f>L196+L197</f>
        <v>0</v>
      </c>
      <c r="M195" s="105">
        <f>M196</f>
        <v>0</v>
      </c>
      <c r="N195" s="706"/>
      <c r="O195" s="1037"/>
      <c r="AJ195" s="352"/>
      <c r="AK195" s="352"/>
      <c r="AL195" s="352"/>
      <c r="AM195" s="352"/>
      <c r="AN195" s="352"/>
      <c r="AO195" s="352"/>
      <c r="AP195" s="352"/>
      <c r="AQ195" s="352"/>
      <c r="AR195" s="352"/>
      <c r="AS195" s="352"/>
      <c r="AT195" s="352"/>
      <c r="AU195" s="352"/>
      <c r="AV195" s="352"/>
      <c r="AW195" s="352"/>
      <c r="AX195" s="352"/>
      <c r="AY195" s="352"/>
      <c r="AZ195" s="352"/>
      <c r="BA195" s="352"/>
      <c r="BB195" s="352"/>
      <c r="BC195" s="352"/>
      <c r="BD195" s="352"/>
      <c r="BE195" s="352"/>
      <c r="BF195" s="352"/>
      <c r="BG195" s="352"/>
      <c r="BH195" s="352"/>
      <c r="BI195" s="352"/>
    </row>
    <row r="196" spans="1:61" s="106" customFormat="1" ht="24.6" customHeight="1">
      <c r="A196" s="1093"/>
      <c r="B196" s="639" t="s">
        <v>10</v>
      </c>
      <c r="C196" s="646"/>
      <c r="D196" s="646"/>
      <c r="E196" s="646"/>
      <c r="F196" s="646"/>
      <c r="G196" s="109">
        <f>K196</f>
        <v>50860</v>
      </c>
      <c r="H196" s="109"/>
      <c r="I196" s="109"/>
      <c r="J196" s="109"/>
      <c r="K196" s="109">
        <v>50860</v>
      </c>
      <c r="L196" s="105"/>
      <c r="M196" s="109"/>
      <c r="N196" s="706"/>
      <c r="O196" s="1037"/>
      <c r="AJ196" s="352"/>
      <c r="AK196" s="352"/>
      <c r="AL196" s="352"/>
      <c r="AM196" s="352"/>
      <c r="AN196" s="352"/>
      <c r="AO196" s="352"/>
      <c r="AP196" s="352"/>
      <c r="AQ196" s="352"/>
      <c r="AR196" s="352"/>
      <c r="AS196" s="352"/>
      <c r="AT196" s="352"/>
      <c r="AU196" s="352"/>
      <c r="AV196" s="352"/>
      <c r="AW196" s="352"/>
      <c r="AX196" s="352"/>
      <c r="AY196" s="352"/>
      <c r="AZ196" s="352"/>
      <c r="BA196" s="352"/>
      <c r="BB196" s="352"/>
      <c r="BC196" s="352"/>
      <c r="BD196" s="352"/>
      <c r="BE196" s="352"/>
      <c r="BF196" s="352"/>
      <c r="BG196" s="352"/>
      <c r="BH196" s="352"/>
      <c r="BI196" s="352"/>
    </row>
    <row r="197" spans="1:61" s="119" customFormat="1" ht="24.6" customHeight="1">
      <c r="A197" s="1093"/>
      <c r="B197" s="120" t="s">
        <v>443</v>
      </c>
      <c r="C197" s="117"/>
      <c r="D197" s="117"/>
      <c r="E197" s="117"/>
      <c r="F197" s="117"/>
      <c r="G197" s="366">
        <f>K197</f>
        <v>0</v>
      </c>
      <c r="H197" s="366"/>
      <c r="I197" s="366"/>
      <c r="J197" s="366"/>
      <c r="K197" s="366">
        <v>0</v>
      </c>
      <c r="L197" s="367">
        <v>0</v>
      </c>
      <c r="M197" s="118"/>
      <c r="N197" s="706"/>
      <c r="O197" s="1037"/>
      <c r="AJ197" s="353"/>
      <c r="AK197" s="353"/>
      <c r="AL197" s="353"/>
      <c r="AM197" s="353"/>
      <c r="AN197" s="353"/>
      <c r="AO197" s="353"/>
      <c r="AP197" s="353"/>
      <c r="AQ197" s="353"/>
      <c r="AR197" s="353"/>
      <c r="AS197" s="353"/>
      <c r="AT197" s="353"/>
      <c r="AU197" s="353"/>
      <c r="AV197" s="353"/>
      <c r="AW197" s="353"/>
      <c r="AX197" s="353"/>
      <c r="AY197" s="353"/>
      <c r="AZ197" s="353"/>
      <c r="BA197" s="353"/>
      <c r="BB197" s="353"/>
      <c r="BC197" s="353"/>
      <c r="BD197" s="353"/>
      <c r="BE197" s="353"/>
      <c r="BF197" s="353"/>
      <c r="BG197" s="353"/>
      <c r="BH197" s="353"/>
      <c r="BI197" s="353"/>
    </row>
    <row r="198" spans="1:61" s="106" customFormat="1" ht="21.75" customHeight="1">
      <c r="A198" s="1092" t="s">
        <v>730</v>
      </c>
      <c r="B198" s="368" t="s">
        <v>89</v>
      </c>
      <c r="C198" s="368"/>
      <c r="D198" s="368"/>
      <c r="E198" s="368"/>
      <c r="F198" s="368"/>
      <c r="G198" s="366"/>
      <c r="H198" s="366"/>
      <c r="I198" s="366"/>
      <c r="J198" s="366"/>
      <c r="K198" s="366"/>
      <c r="L198" s="367"/>
      <c r="M198" s="366"/>
      <c r="N198" s="706"/>
      <c r="O198" s="1037" t="s">
        <v>561</v>
      </c>
      <c r="AJ198" s="352"/>
      <c r="AK198" s="352"/>
      <c r="AL198" s="352"/>
      <c r="AM198" s="352"/>
      <c r="AN198" s="352"/>
      <c r="AO198" s="352"/>
      <c r="AP198" s="352"/>
      <c r="AQ198" s="352"/>
      <c r="AR198" s="352"/>
      <c r="AS198" s="352"/>
      <c r="AT198" s="352"/>
      <c r="AU198" s="352"/>
      <c r="AV198" s="352"/>
      <c r="AW198" s="352"/>
      <c r="AX198" s="352"/>
      <c r="AY198" s="352"/>
      <c r="AZ198" s="352"/>
      <c r="BA198" s="352"/>
      <c r="BB198" s="352"/>
      <c r="BC198" s="352"/>
      <c r="BD198" s="352"/>
      <c r="BE198" s="352"/>
      <c r="BF198" s="352"/>
      <c r="BG198" s="352"/>
      <c r="BH198" s="352"/>
      <c r="BI198" s="352"/>
    </row>
    <row r="199" spans="1:61" s="106" customFormat="1" ht="24.6" customHeight="1">
      <c r="A199" s="1093"/>
      <c r="B199" s="369" t="s">
        <v>237</v>
      </c>
      <c r="C199" s="368"/>
      <c r="D199" s="368"/>
      <c r="E199" s="368"/>
      <c r="F199" s="368"/>
      <c r="G199" s="366"/>
      <c r="H199" s="366"/>
      <c r="I199" s="366"/>
      <c r="J199" s="366"/>
      <c r="K199" s="366"/>
      <c r="L199" s="367">
        <f>L200</f>
        <v>1000</v>
      </c>
      <c r="M199" s="366">
        <f>M200</f>
        <v>0</v>
      </c>
      <c r="N199" s="706"/>
      <c r="O199" s="1037"/>
      <c r="AJ199" s="352"/>
      <c r="AK199" s="352"/>
      <c r="AL199" s="352"/>
      <c r="AM199" s="352"/>
      <c r="AN199" s="352"/>
      <c r="AO199" s="352"/>
      <c r="AP199" s="352"/>
      <c r="AQ199" s="352"/>
      <c r="AR199" s="352"/>
      <c r="AS199" s="352"/>
      <c r="AT199" s="352"/>
      <c r="AU199" s="352"/>
      <c r="AV199" s="352"/>
      <c r="AW199" s="352"/>
      <c r="AX199" s="352"/>
      <c r="AY199" s="352"/>
      <c r="AZ199" s="352"/>
      <c r="BA199" s="352"/>
      <c r="BB199" s="352"/>
      <c r="BC199" s="352"/>
      <c r="BD199" s="352"/>
      <c r="BE199" s="352"/>
      <c r="BF199" s="352"/>
      <c r="BG199" s="352"/>
      <c r="BH199" s="352"/>
      <c r="BI199" s="352"/>
    </row>
    <row r="200" spans="1:61" s="106" customFormat="1" ht="23.25" customHeight="1">
      <c r="A200" s="1094"/>
      <c r="B200" s="370" t="s">
        <v>10</v>
      </c>
      <c r="C200" s="370"/>
      <c r="D200" s="370"/>
      <c r="E200" s="370"/>
      <c r="F200" s="370"/>
      <c r="G200" s="367"/>
      <c r="H200" s="367"/>
      <c r="I200" s="367"/>
      <c r="J200" s="367"/>
      <c r="K200" s="367"/>
      <c r="L200" s="367">
        <v>1000</v>
      </c>
      <c r="M200" s="367">
        <v>0</v>
      </c>
      <c r="N200" s="706"/>
      <c r="O200" s="1037"/>
      <c r="AJ200" s="352"/>
      <c r="AK200" s="352"/>
      <c r="AL200" s="352"/>
      <c r="AM200" s="352"/>
      <c r="AN200" s="352"/>
      <c r="AO200" s="352"/>
      <c r="AP200" s="352"/>
      <c r="AQ200" s="352"/>
      <c r="AR200" s="352"/>
      <c r="AS200" s="352"/>
      <c r="AT200" s="352"/>
      <c r="AU200" s="352"/>
      <c r="AV200" s="352"/>
      <c r="AW200" s="352"/>
      <c r="AX200" s="352"/>
      <c r="AY200" s="352"/>
      <c r="AZ200" s="352"/>
      <c r="BA200" s="352"/>
      <c r="BB200" s="352"/>
      <c r="BC200" s="352"/>
      <c r="BD200" s="352"/>
      <c r="BE200" s="352"/>
      <c r="BF200" s="352"/>
      <c r="BG200" s="352"/>
      <c r="BH200" s="352"/>
      <c r="BI200" s="352"/>
    </row>
    <row r="201" spans="1:61" ht="24.95" customHeight="1">
      <c r="A201" s="1124" t="s">
        <v>127</v>
      </c>
      <c r="B201" s="660" t="s">
        <v>89</v>
      </c>
      <c r="C201" s="641"/>
      <c r="D201" s="641"/>
      <c r="E201" s="641"/>
      <c r="F201" s="641"/>
      <c r="G201" s="108">
        <f>G205+G208</f>
        <v>0</v>
      </c>
      <c r="H201" s="108">
        <f t="shared" ref="H201:K201" si="75">H205+H208</f>
        <v>0</v>
      </c>
      <c r="I201" s="108">
        <f t="shared" si="75"/>
        <v>0</v>
      </c>
      <c r="J201" s="108">
        <f t="shared" si="75"/>
        <v>0</v>
      </c>
      <c r="K201" s="108">
        <f t="shared" si="75"/>
        <v>0</v>
      </c>
      <c r="L201" s="108">
        <f t="shared" ref="L201:M201" si="76">L205+L208</f>
        <v>0</v>
      </c>
      <c r="M201" s="108">
        <f t="shared" si="76"/>
        <v>1.2</v>
      </c>
      <c r="N201" s="706"/>
      <c r="O201" s="703"/>
    </row>
    <row r="202" spans="1:61" ht="31.5" customHeight="1">
      <c r="A202" s="1124"/>
      <c r="B202" s="62" t="s">
        <v>237</v>
      </c>
      <c r="C202" s="643"/>
      <c r="D202" s="643"/>
      <c r="E202" s="643"/>
      <c r="F202" s="643"/>
      <c r="G202" s="102">
        <f>G206+G209</f>
        <v>0</v>
      </c>
      <c r="H202" s="102">
        <f t="shared" ref="H202:K202" si="77">H206+H209</f>
        <v>0</v>
      </c>
      <c r="I202" s="102">
        <f t="shared" si="77"/>
        <v>0</v>
      </c>
      <c r="J202" s="102">
        <f t="shared" si="77"/>
        <v>0</v>
      </c>
      <c r="K202" s="102">
        <f t="shared" si="77"/>
        <v>0</v>
      </c>
      <c r="L202" s="102">
        <f t="shared" ref="L202:M202" si="78">L206+L209</f>
        <v>0</v>
      </c>
      <c r="M202" s="102">
        <f t="shared" si="78"/>
        <v>45000</v>
      </c>
      <c r="N202" s="706"/>
      <c r="O202" s="703"/>
    </row>
    <row r="203" spans="1:61" ht="31.5" customHeight="1">
      <c r="A203" s="1124"/>
      <c r="B203" s="62" t="s">
        <v>10</v>
      </c>
      <c r="C203" s="643"/>
      <c r="D203" s="643"/>
      <c r="E203" s="643"/>
      <c r="F203" s="643"/>
      <c r="G203" s="102">
        <f>G210</f>
        <v>0</v>
      </c>
      <c r="H203" s="102">
        <f t="shared" ref="H203:K203" si="79">H210</f>
        <v>0</v>
      </c>
      <c r="I203" s="102">
        <f t="shared" si="79"/>
        <v>0</v>
      </c>
      <c r="J203" s="102">
        <f t="shared" si="79"/>
        <v>0</v>
      </c>
      <c r="K203" s="102">
        <f t="shared" si="79"/>
        <v>0</v>
      </c>
      <c r="L203" s="102">
        <f t="shared" ref="L203" si="80">L210</f>
        <v>0</v>
      </c>
      <c r="M203" s="102">
        <f>M207</f>
        <v>45000</v>
      </c>
      <c r="N203" s="706"/>
      <c r="O203" s="703"/>
    </row>
    <row r="204" spans="1:61" ht="24" customHeight="1">
      <c r="A204" s="1124"/>
      <c r="B204" s="62" t="s">
        <v>443</v>
      </c>
      <c r="C204" s="643"/>
      <c r="D204" s="643"/>
      <c r="E204" s="643"/>
      <c r="F204" s="643"/>
      <c r="G204" s="102">
        <f>G207+G211</f>
        <v>0</v>
      </c>
      <c r="H204" s="102"/>
      <c r="I204" s="102"/>
      <c r="J204" s="102"/>
      <c r="K204" s="102"/>
      <c r="L204" s="102">
        <f t="shared" ref="L204" si="81">L207+L211</f>
        <v>0</v>
      </c>
      <c r="M204" s="102"/>
      <c r="N204" s="706"/>
      <c r="O204" s="703"/>
    </row>
    <row r="205" spans="1:61" ht="24.6" customHeight="1">
      <c r="A205" s="1125" t="s">
        <v>849</v>
      </c>
      <c r="B205" s="643" t="s">
        <v>89</v>
      </c>
      <c r="C205" s="643"/>
      <c r="D205" s="643"/>
      <c r="E205" s="643"/>
      <c r="F205" s="643"/>
      <c r="G205" s="103"/>
      <c r="H205" s="103"/>
      <c r="I205" s="103"/>
      <c r="J205" s="103"/>
      <c r="K205" s="103"/>
      <c r="L205" s="103"/>
      <c r="M205" s="114">
        <v>1.2</v>
      </c>
      <c r="N205" s="706"/>
      <c r="O205" s="1037" t="s">
        <v>206</v>
      </c>
    </row>
    <row r="206" spans="1:61" ht="24.6" customHeight="1">
      <c r="A206" s="1126"/>
      <c r="B206" s="643" t="s">
        <v>237</v>
      </c>
      <c r="C206" s="643"/>
      <c r="D206" s="643"/>
      <c r="E206" s="643"/>
      <c r="F206" s="643"/>
      <c r="G206" s="103"/>
      <c r="H206" s="103"/>
      <c r="I206" s="103"/>
      <c r="J206" s="103"/>
      <c r="K206" s="103"/>
      <c r="L206" s="103"/>
      <c r="M206" s="103">
        <f>M207</f>
        <v>45000</v>
      </c>
      <c r="N206" s="706"/>
      <c r="O206" s="1037"/>
    </row>
    <row r="207" spans="1:61" ht="24.6" customHeight="1">
      <c r="A207" s="1127"/>
      <c r="B207" s="643" t="s">
        <v>10</v>
      </c>
      <c r="C207" s="643"/>
      <c r="D207" s="643"/>
      <c r="E207" s="643"/>
      <c r="F207" s="643"/>
      <c r="G207" s="103"/>
      <c r="H207" s="103"/>
      <c r="I207" s="103"/>
      <c r="J207" s="103"/>
      <c r="K207" s="103"/>
      <c r="L207" s="103"/>
      <c r="M207" s="103">
        <v>45000</v>
      </c>
      <c r="N207" s="706"/>
      <c r="O207" s="1037"/>
    </row>
    <row r="208" spans="1:61" ht="24.95" hidden="1" customHeight="1">
      <c r="A208" s="1065" t="s">
        <v>218</v>
      </c>
      <c r="B208" s="643" t="s">
        <v>89</v>
      </c>
      <c r="C208" s="643"/>
      <c r="D208" s="643"/>
      <c r="E208" s="643"/>
      <c r="F208" s="643"/>
      <c r="G208" s="103"/>
      <c r="H208" s="103"/>
      <c r="I208" s="103"/>
      <c r="J208" s="103"/>
      <c r="K208" s="103"/>
      <c r="L208" s="103"/>
      <c r="M208" s="103"/>
      <c r="N208" s="706"/>
      <c r="O208" s="1037" t="s">
        <v>219</v>
      </c>
    </row>
    <row r="209" spans="1:22" ht="28.5" hidden="1" customHeight="1">
      <c r="A209" s="1065"/>
      <c r="B209" s="643" t="s">
        <v>237</v>
      </c>
      <c r="C209" s="643"/>
      <c r="D209" s="643"/>
      <c r="E209" s="643"/>
      <c r="F209" s="643"/>
      <c r="G209" s="103">
        <f>G210+G211</f>
        <v>0</v>
      </c>
      <c r="H209" s="103"/>
      <c r="I209" s="103"/>
      <c r="J209" s="103"/>
      <c r="K209" s="103">
        <f>K210</f>
        <v>0</v>
      </c>
      <c r="L209" s="103">
        <f t="shared" ref="L209" si="82">L211</f>
        <v>0</v>
      </c>
      <c r="M209" s="103">
        <v>0</v>
      </c>
      <c r="N209" s="706"/>
      <c r="O209" s="1037"/>
    </row>
    <row r="210" spans="1:22" ht="28.5" hidden="1" customHeight="1">
      <c r="A210" s="1065"/>
      <c r="B210" s="643" t="s">
        <v>10</v>
      </c>
      <c r="C210" s="643"/>
      <c r="D210" s="643"/>
      <c r="E210" s="643"/>
      <c r="F210" s="643"/>
      <c r="G210" s="103">
        <f>I210+J210+K210</f>
        <v>0</v>
      </c>
      <c r="H210" s="103"/>
      <c r="I210" s="103"/>
      <c r="J210" s="103"/>
      <c r="K210" s="103"/>
      <c r="L210" s="103">
        <v>0</v>
      </c>
      <c r="M210" s="103">
        <v>0</v>
      </c>
      <c r="N210" s="706"/>
      <c r="O210" s="1037"/>
    </row>
    <row r="211" spans="1:22" ht="24.95" hidden="1" customHeight="1">
      <c r="A211" s="1065"/>
      <c r="B211" s="643" t="s">
        <v>443</v>
      </c>
      <c r="C211" s="643"/>
      <c r="D211" s="643"/>
      <c r="E211" s="643"/>
      <c r="F211" s="643"/>
      <c r="G211" s="103">
        <v>0</v>
      </c>
      <c r="H211" s="103"/>
      <c r="I211" s="103"/>
      <c r="J211" s="103"/>
      <c r="K211" s="103"/>
      <c r="L211" s="103">
        <v>0</v>
      </c>
      <c r="M211" s="103">
        <v>0</v>
      </c>
      <c r="N211" s="706"/>
      <c r="O211" s="1037"/>
    </row>
    <row r="212" spans="1:22" ht="24.95" hidden="1" customHeight="1">
      <c r="A212" s="1135" t="s">
        <v>129</v>
      </c>
      <c r="B212" s="62" t="s">
        <v>89</v>
      </c>
      <c r="C212" s="643"/>
      <c r="D212" s="643"/>
      <c r="E212" s="643"/>
      <c r="F212" s="643"/>
      <c r="G212" s="102">
        <f t="shared" ref="G212:L212" si="83">G216+G220+G224+G227</f>
        <v>0</v>
      </c>
      <c r="H212" s="102">
        <f t="shared" si="83"/>
        <v>0</v>
      </c>
      <c r="I212" s="102">
        <f t="shared" si="83"/>
        <v>0</v>
      </c>
      <c r="J212" s="102">
        <f t="shared" si="83"/>
        <v>0</v>
      </c>
      <c r="K212" s="102"/>
      <c r="L212" s="102">
        <f t="shared" si="83"/>
        <v>0</v>
      </c>
      <c r="M212" s="102"/>
      <c r="N212" s="706"/>
      <c r="O212" s="703"/>
    </row>
    <row r="213" spans="1:22" ht="24.95" hidden="1" customHeight="1">
      <c r="A213" s="1135"/>
      <c r="B213" s="62" t="s">
        <v>237</v>
      </c>
      <c r="C213" s="643"/>
      <c r="D213" s="643"/>
      <c r="E213" s="643"/>
      <c r="F213" s="643"/>
      <c r="G213" s="102">
        <f>G214+G215</f>
        <v>0</v>
      </c>
      <c r="H213" s="102">
        <f t="shared" ref="H213:J213" si="84">H214+H215</f>
        <v>0</v>
      </c>
      <c r="I213" s="102">
        <f t="shared" si="84"/>
        <v>0</v>
      </c>
      <c r="J213" s="102">
        <f t="shared" si="84"/>
        <v>0</v>
      </c>
      <c r="K213" s="102"/>
      <c r="L213" s="102">
        <f t="shared" ref="L213" si="85">L214+L215</f>
        <v>0</v>
      </c>
      <c r="M213" s="102"/>
      <c r="N213" s="706"/>
      <c r="O213" s="703"/>
    </row>
    <row r="214" spans="1:22" ht="27.6" hidden="1" customHeight="1">
      <c r="A214" s="1135"/>
      <c r="B214" s="62" t="s">
        <v>10</v>
      </c>
      <c r="C214" s="643"/>
      <c r="D214" s="643"/>
      <c r="E214" s="643"/>
      <c r="F214" s="643"/>
      <c r="G214" s="102">
        <f>G218+G222</f>
        <v>0</v>
      </c>
      <c r="H214" s="102">
        <f t="shared" ref="H214:J214" si="86">H218+H222</f>
        <v>0</v>
      </c>
      <c r="I214" s="102">
        <f t="shared" si="86"/>
        <v>0</v>
      </c>
      <c r="J214" s="102">
        <f t="shared" si="86"/>
        <v>0</v>
      </c>
      <c r="K214" s="102"/>
      <c r="L214" s="102">
        <f t="shared" ref="L214" si="87">L218+L222</f>
        <v>0</v>
      </c>
      <c r="M214" s="102"/>
      <c r="N214" s="706"/>
      <c r="O214" s="703"/>
    </row>
    <row r="215" spans="1:22" ht="24" hidden="1" customHeight="1">
      <c r="A215" s="1135"/>
      <c r="B215" s="62" t="s">
        <v>443</v>
      </c>
      <c r="C215" s="643"/>
      <c r="D215" s="643"/>
      <c r="E215" s="643"/>
      <c r="F215" s="643"/>
      <c r="G215" s="102">
        <f t="shared" ref="G215:L215" si="88">G219+G226+G229</f>
        <v>0</v>
      </c>
      <c r="H215" s="102"/>
      <c r="I215" s="102"/>
      <c r="J215" s="102"/>
      <c r="K215" s="102"/>
      <c r="L215" s="102">
        <f t="shared" si="88"/>
        <v>0</v>
      </c>
      <c r="M215" s="102"/>
      <c r="N215" s="706"/>
      <c r="O215" s="703"/>
    </row>
    <row r="216" spans="1:22" ht="24.6" hidden="1" customHeight="1">
      <c r="A216" s="1086" t="s">
        <v>204</v>
      </c>
      <c r="B216" s="650" t="s">
        <v>89</v>
      </c>
      <c r="C216" s="650"/>
      <c r="D216" s="650"/>
      <c r="E216" s="650"/>
      <c r="F216" s="650"/>
      <c r="G216" s="104"/>
      <c r="H216" s="104"/>
      <c r="I216" s="104"/>
      <c r="J216" s="104"/>
      <c r="K216" s="104"/>
      <c r="L216" s="104"/>
      <c r="M216" s="104"/>
      <c r="N216" s="706"/>
      <c r="O216" s="1074" t="s">
        <v>205</v>
      </c>
    </row>
    <row r="217" spans="1:22" ht="24.6" hidden="1" customHeight="1">
      <c r="A217" s="1086"/>
      <c r="B217" s="650" t="s">
        <v>237</v>
      </c>
      <c r="C217" s="650"/>
      <c r="D217" s="650"/>
      <c r="E217" s="650"/>
      <c r="F217" s="650"/>
      <c r="G217" s="104">
        <f>G218+G219</f>
        <v>0</v>
      </c>
      <c r="H217" s="104"/>
      <c r="I217" s="104"/>
      <c r="J217" s="104"/>
      <c r="K217" s="104"/>
      <c r="L217" s="104">
        <f>L218+L219</f>
        <v>0</v>
      </c>
      <c r="M217" s="104"/>
      <c r="N217" s="706"/>
      <c r="O217" s="1074"/>
      <c r="V217" s="44">
        <v>247.3</v>
      </c>
    </row>
    <row r="218" spans="1:22" ht="28.9" hidden="1" customHeight="1">
      <c r="A218" s="1086"/>
      <c r="B218" s="650" t="s">
        <v>10</v>
      </c>
      <c r="C218" s="650"/>
      <c r="D218" s="650"/>
      <c r="E218" s="650"/>
      <c r="F218" s="650"/>
      <c r="G218" s="104"/>
      <c r="H218" s="104"/>
      <c r="I218" s="104"/>
      <c r="J218" s="104"/>
      <c r="K218" s="104"/>
      <c r="L218" s="104"/>
      <c r="M218" s="104"/>
      <c r="N218" s="706"/>
      <c r="O218" s="1074"/>
    </row>
    <row r="219" spans="1:22" ht="24.6" hidden="1" customHeight="1">
      <c r="A219" s="1086"/>
      <c r="B219" s="650" t="s">
        <v>34</v>
      </c>
      <c r="C219" s="650"/>
      <c r="D219" s="650"/>
      <c r="E219" s="650"/>
      <c r="F219" s="650"/>
      <c r="G219" s="104"/>
      <c r="H219" s="104"/>
      <c r="I219" s="104"/>
      <c r="J219" s="104"/>
      <c r="K219" s="104"/>
      <c r="L219" s="104"/>
      <c r="M219" s="104"/>
      <c r="N219" s="706"/>
      <c r="O219" s="1074"/>
    </row>
    <row r="220" spans="1:22" ht="24.95" hidden="1" customHeight="1">
      <c r="A220" s="1086" t="s">
        <v>220</v>
      </c>
      <c r="B220" s="643" t="s">
        <v>89</v>
      </c>
      <c r="C220" s="643"/>
      <c r="D220" s="643"/>
      <c r="E220" s="643"/>
      <c r="F220" s="643"/>
      <c r="G220" s="103"/>
      <c r="H220" s="103"/>
      <c r="I220" s="103"/>
      <c r="J220" s="103"/>
      <c r="K220" s="103"/>
      <c r="L220" s="103"/>
      <c r="M220" s="103"/>
      <c r="N220" s="706"/>
      <c r="O220" s="1037" t="s">
        <v>445</v>
      </c>
    </row>
    <row r="221" spans="1:22" ht="24.95" hidden="1" customHeight="1">
      <c r="A221" s="1086"/>
      <c r="B221" s="643" t="s">
        <v>237</v>
      </c>
      <c r="C221" s="643"/>
      <c r="D221" s="643"/>
      <c r="E221" s="643"/>
      <c r="F221" s="643"/>
      <c r="G221" s="103">
        <f>G222</f>
        <v>0</v>
      </c>
      <c r="H221" s="103"/>
      <c r="I221" s="103">
        <f>I222</f>
        <v>0</v>
      </c>
      <c r="J221" s="103"/>
      <c r="K221" s="103"/>
      <c r="L221" s="103">
        <f>L222</f>
        <v>0</v>
      </c>
      <c r="M221" s="103"/>
      <c r="N221" s="706"/>
      <c r="O221" s="1037"/>
    </row>
    <row r="222" spans="1:22" ht="28.5" hidden="1" customHeight="1">
      <c r="A222" s="1086"/>
      <c r="B222" s="643" t="s">
        <v>10</v>
      </c>
      <c r="C222" s="643"/>
      <c r="D222" s="643"/>
      <c r="E222" s="643"/>
      <c r="F222" s="643"/>
      <c r="G222" s="103">
        <f>I222</f>
        <v>0</v>
      </c>
      <c r="H222" s="103"/>
      <c r="I222" s="103"/>
      <c r="J222" s="103"/>
      <c r="K222" s="103"/>
      <c r="L222" s="103"/>
      <c r="M222" s="103"/>
      <c r="N222" s="706"/>
      <c r="O222" s="1037"/>
    </row>
    <row r="223" spans="1:22" ht="24.6" hidden="1" customHeight="1">
      <c r="A223" s="1086"/>
      <c r="B223" s="643" t="s">
        <v>443</v>
      </c>
      <c r="C223" s="643"/>
      <c r="D223" s="643"/>
      <c r="E223" s="643"/>
      <c r="F223" s="643"/>
      <c r="G223" s="103"/>
      <c r="H223" s="103"/>
      <c r="I223" s="103"/>
      <c r="J223" s="103"/>
      <c r="K223" s="103"/>
      <c r="L223" s="103"/>
      <c r="M223" s="103"/>
      <c r="N223" s="706"/>
      <c r="O223" s="1037"/>
    </row>
    <row r="224" spans="1:22" ht="24.6" hidden="1" customHeight="1">
      <c r="A224" s="1086" t="s">
        <v>240</v>
      </c>
      <c r="B224" s="643" t="s">
        <v>89</v>
      </c>
      <c r="C224" s="643"/>
      <c r="D224" s="643"/>
      <c r="E224" s="643"/>
      <c r="F224" s="643"/>
      <c r="G224" s="103"/>
      <c r="H224" s="103"/>
      <c r="I224" s="103"/>
      <c r="J224" s="103"/>
      <c r="K224" s="103"/>
      <c r="L224" s="103"/>
      <c r="M224" s="103"/>
      <c r="N224" s="706"/>
      <c r="O224" s="1037" t="s">
        <v>283</v>
      </c>
    </row>
    <row r="225" spans="1:61" ht="27.6" hidden="1" customHeight="1">
      <c r="A225" s="1086"/>
      <c r="B225" s="643" t="s">
        <v>237</v>
      </c>
      <c r="C225" s="643"/>
      <c r="D225" s="643"/>
      <c r="E225" s="643"/>
      <c r="F225" s="643"/>
      <c r="G225" s="103">
        <f>G226</f>
        <v>0</v>
      </c>
      <c r="H225" s="103"/>
      <c r="I225" s="103"/>
      <c r="J225" s="103"/>
      <c r="K225" s="103"/>
      <c r="L225" s="103">
        <f>L226</f>
        <v>0</v>
      </c>
      <c r="M225" s="103"/>
      <c r="N225" s="706"/>
      <c r="O225" s="1037"/>
    </row>
    <row r="226" spans="1:61" ht="24.6" hidden="1" customHeight="1">
      <c r="A226" s="1086"/>
      <c r="B226" s="643" t="s">
        <v>34</v>
      </c>
      <c r="C226" s="643"/>
      <c r="D226" s="643"/>
      <c r="E226" s="643"/>
      <c r="F226" s="643"/>
      <c r="G226" s="103"/>
      <c r="H226" s="103"/>
      <c r="I226" s="103"/>
      <c r="J226" s="103"/>
      <c r="K226" s="103"/>
      <c r="L226" s="103"/>
      <c r="M226" s="103"/>
      <c r="N226" s="706"/>
      <c r="O226" s="1037"/>
    </row>
    <row r="227" spans="1:61" s="45" customFormat="1" ht="0.6" hidden="1" customHeight="1">
      <c r="A227" s="1086" t="s">
        <v>303</v>
      </c>
      <c r="B227" s="643" t="s">
        <v>89</v>
      </c>
      <c r="C227" s="643"/>
      <c r="D227" s="643"/>
      <c r="E227" s="643"/>
      <c r="F227" s="643"/>
      <c r="G227" s="103">
        <v>0</v>
      </c>
      <c r="H227" s="103"/>
      <c r="I227" s="103"/>
      <c r="J227" s="103"/>
      <c r="K227" s="103"/>
      <c r="L227" s="103"/>
      <c r="M227" s="103"/>
      <c r="N227" s="706"/>
      <c r="O227" s="1037" t="s">
        <v>223</v>
      </c>
      <c r="AJ227" s="113"/>
      <c r="AK227" s="113"/>
      <c r="AL227" s="113"/>
      <c r="AM227" s="113"/>
      <c r="AN227" s="113"/>
      <c r="AO227" s="113"/>
      <c r="AP227" s="113"/>
      <c r="AQ227" s="113"/>
      <c r="AR227" s="113"/>
      <c r="AS227" s="113"/>
      <c r="AT227" s="113"/>
      <c r="AU227" s="113"/>
      <c r="AV227" s="113"/>
      <c r="AW227" s="113"/>
      <c r="AX227" s="113"/>
      <c r="AY227" s="113"/>
      <c r="AZ227" s="113"/>
      <c r="BA227" s="113"/>
      <c r="BB227" s="113"/>
      <c r="BC227" s="113"/>
      <c r="BD227" s="113"/>
      <c r="BE227" s="113"/>
      <c r="BF227" s="113"/>
      <c r="BG227" s="113"/>
      <c r="BH227" s="113"/>
      <c r="BI227" s="113"/>
    </row>
    <row r="228" spans="1:61" s="45" customFormat="1" ht="24.6" hidden="1" customHeight="1">
      <c r="A228" s="1086"/>
      <c r="B228" s="643" t="s">
        <v>237</v>
      </c>
      <c r="C228" s="643"/>
      <c r="D228" s="643"/>
      <c r="E228" s="643"/>
      <c r="F228" s="643"/>
      <c r="G228" s="103">
        <f>G229</f>
        <v>0</v>
      </c>
      <c r="H228" s="103"/>
      <c r="I228" s="103"/>
      <c r="J228" s="103"/>
      <c r="K228" s="103"/>
      <c r="L228" s="103">
        <f>L229</f>
        <v>0</v>
      </c>
      <c r="M228" s="103"/>
      <c r="N228" s="706"/>
      <c r="O228" s="1037"/>
      <c r="AJ228" s="113"/>
      <c r="AK228" s="113"/>
      <c r="AL228" s="113"/>
      <c r="AM228" s="113"/>
      <c r="AN228" s="113"/>
      <c r="AO228" s="113"/>
      <c r="AP228" s="113"/>
      <c r="AQ228" s="113"/>
      <c r="AR228" s="113"/>
      <c r="AS228" s="113"/>
      <c r="AT228" s="113"/>
      <c r="AU228" s="113"/>
      <c r="AV228" s="113"/>
      <c r="AW228" s="113"/>
      <c r="AX228" s="113"/>
      <c r="AY228" s="113"/>
      <c r="AZ228" s="113"/>
      <c r="BA228" s="113"/>
      <c r="BB228" s="113"/>
      <c r="BC228" s="113"/>
      <c r="BD228" s="113"/>
      <c r="BE228" s="113"/>
      <c r="BF228" s="113"/>
      <c r="BG228" s="113"/>
      <c r="BH228" s="113"/>
      <c r="BI228" s="113"/>
    </row>
    <row r="229" spans="1:61" s="45" customFormat="1" ht="24.6" hidden="1" customHeight="1">
      <c r="A229" s="1086"/>
      <c r="B229" s="643" t="s">
        <v>34</v>
      </c>
      <c r="C229" s="643"/>
      <c r="D229" s="643"/>
      <c r="E229" s="643"/>
      <c r="F229" s="643"/>
      <c r="G229" s="103">
        <v>0</v>
      </c>
      <c r="H229" s="103"/>
      <c r="I229" s="103"/>
      <c r="J229" s="103"/>
      <c r="K229" s="103"/>
      <c r="L229" s="103"/>
      <c r="M229" s="103"/>
      <c r="N229" s="706"/>
      <c r="O229" s="1037"/>
      <c r="AJ229" s="113"/>
      <c r="AK229" s="113"/>
      <c r="AL229" s="113"/>
      <c r="AM229" s="113"/>
      <c r="AN229" s="113"/>
      <c r="AO229" s="113"/>
      <c r="AP229" s="113"/>
      <c r="AQ229" s="113"/>
      <c r="AR229" s="113"/>
      <c r="AS229" s="113"/>
      <c r="AT229" s="113"/>
      <c r="AU229" s="113"/>
      <c r="AV229" s="113"/>
      <c r="AW229" s="113"/>
      <c r="AX229" s="113"/>
      <c r="AY229" s="113"/>
      <c r="AZ229" s="113"/>
      <c r="BA229" s="113"/>
      <c r="BB229" s="113"/>
      <c r="BC229" s="113"/>
      <c r="BD229" s="113"/>
      <c r="BE229" s="113"/>
      <c r="BF229" s="113"/>
      <c r="BG229" s="113"/>
      <c r="BH229" s="113"/>
      <c r="BI229" s="113"/>
    </row>
    <row r="230" spans="1:61" s="45" customFormat="1" ht="24.95" hidden="1" customHeight="1">
      <c r="A230" s="1092" t="s">
        <v>289</v>
      </c>
      <c r="B230" s="643" t="s">
        <v>89</v>
      </c>
      <c r="C230" s="643"/>
      <c r="D230" s="643"/>
      <c r="E230" s="643"/>
      <c r="F230" s="643"/>
      <c r="G230" s="103"/>
      <c r="H230" s="103"/>
      <c r="I230" s="103"/>
      <c r="J230" s="103"/>
      <c r="K230" s="103"/>
      <c r="L230" s="103"/>
      <c r="M230" s="103"/>
      <c r="N230" s="706"/>
      <c r="O230" s="1037" t="s">
        <v>293</v>
      </c>
      <c r="AJ230" s="113"/>
      <c r="AK230" s="113"/>
      <c r="AL230" s="113"/>
      <c r="AM230" s="113"/>
      <c r="AN230" s="113"/>
      <c r="AO230" s="113"/>
      <c r="AP230" s="113"/>
      <c r="AQ230" s="113"/>
      <c r="AR230" s="113"/>
      <c r="AS230" s="113"/>
      <c r="AT230" s="113"/>
      <c r="AU230" s="113"/>
      <c r="AV230" s="113"/>
      <c r="AW230" s="113"/>
      <c r="AX230" s="113"/>
      <c r="AY230" s="113"/>
      <c r="AZ230" s="113"/>
      <c r="BA230" s="113"/>
      <c r="BB230" s="113"/>
      <c r="BC230" s="113"/>
      <c r="BD230" s="113"/>
      <c r="BE230" s="113"/>
      <c r="BF230" s="113"/>
      <c r="BG230" s="113"/>
      <c r="BH230" s="113"/>
      <c r="BI230" s="113"/>
    </row>
    <row r="231" spans="1:61" s="45" customFormat="1" ht="24.95" hidden="1" customHeight="1">
      <c r="A231" s="1093"/>
      <c r="B231" s="643" t="s">
        <v>237</v>
      </c>
      <c r="C231" s="643"/>
      <c r="D231" s="643"/>
      <c r="E231" s="643"/>
      <c r="F231" s="643"/>
      <c r="G231" s="103"/>
      <c r="H231" s="103"/>
      <c r="I231" s="103"/>
      <c r="J231" s="103"/>
      <c r="K231" s="103"/>
      <c r="L231" s="103"/>
      <c r="M231" s="103"/>
      <c r="N231" s="706"/>
      <c r="O231" s="1037"/>
      <c r="AJ231" s="113"/>
      <c r="AK231" s="113"/>
      <c r="AL231" s="113"/>
      <c r="AM231" s="113"/>
      <c r="AN231" s="113"/>
      <c r="AO231" s="113"/>
      <c r="AP231" s="113"/>
      <c r="AQ231" s="113"/>
      <c r="AR231" s="113"/>
      <c r="AS231" s="113"/>
      <c r="AT231" s="113"/>
      <c r="AU231" s="113"/>
      <c r="AV231" s="113"/>
      <c r="AW231" s="113"/>
      <c r="AX231" s="113"/>
      <c r="AY231" s="113"/>
      <c r="AZ231" s="113"/>
      <c r="BA231" s="113"/>
      <c r="BB231" s="113"/>
      <c r="BC231" s="113"/>
      <c r="BD231" s="113"/>
      <c r="BE231" s="113"/>
      <c r="BF231" s="113"/>
      <c r="BG231" s="113"/>
      <c r="BH231" s="113"/>
      <c r="BI231" s="113"/>
    </row>
    <row r="232" spans="1:61" s="45" customFormat="1" ht="24.95" hidden="1" customHeight="1">
      <c r="A232" s="1093"/>
      <c r="B232" s="643" t="s">
        <v>10</v>
      </c>
      <c r="C232" s="643"/>
      <c r="D232" s="643"/>
      <c r="E232" s="643"/>
      <c r="F232" s="643"/>
      <c r="G232" s="103"/>
      <c r="H232" s="103"/>
      <c r="I232" s="103"/>
      <c r="J232" s="103"/>
      <c r="K232" s="103"/>
      <c r="L232" s="103"/>
      <c r="M232" s="103"/>
      <c r="N232" s="706"/>
      <c r="O232" s="1037"/>
      <c r="AJ232" s="113"/>
      <c r="AK232" s="113"/>
      <c r="AL232" s="113"/>
      <c r="AM232" s="113"/>
      <c r="AN232" s="113"/>
      <c r="AO232" s="113"/>
      <c r="AP232" s="113"/>
      <c r="AQ232" s="113"/>
      <c r="AR232" s="113"/>
      <c r="AS232" s="113"/>
      <c r="AT232" s="113"/>
      <c r="AU232" s="113"/>
      <c r="AV232" s="113"/>
      <c r="AW232" s="113"/>
      <c r="AX232" s="113"/>
      <c r="AY232" s="113"/>
      <c r="AZ232" s="113"/>
      <c r="BA232" s="113"/>
      <c r="BB232" s="113"/>
      <c r="BC232" s="113"/>
      <c r="BD232" s="113"/>
      <c r="BE232" s="113"/>
      <c r="BF232" s="113"/>
      <c r="BG232" s="113"/>
      <c r="BH232" s="113"/>
      <c r="BI232" s="113"/>
    </row>
    <row r="233" spans="1:61" s="45" customFormat="1" ht="24.95" hidden="1" customHeight="1">
      <c r="A233" s="1094"/>
      <c r="B233" s="643" t="s">
        <v>443</v>
      </c>
      <c r="C233" s="643"/>
      <c r="D233" s="643"/>
      <c r="E233" s="643"/>
      <c r="F233" s="643"/>
      <c r="G233" s="103"/>
      <c r="H233" s="103"/>
      <c r="I233" s="103"/>
      <c r="J233" s="103"/>
      <c r="K233" s="103"/>
      <c r="L233" s="103"/>
      <c r="M233" s="103"/>
      <c r="N233" s="706"/>
      <c r="O233" s="1037"/>
      <c r="AJ233" s="113"/>
      <c r="AK233" s="113"/>
      <c r="AL233" s="113"/>
      <c r="AM233" s="113"/>
      <c r="AN233" s="113"/>
      <c r="AO233" s="113"/>
      <c r="AP233" s="113"/>
      <c r="AQ233" s="113"/>
      <c r="AR233" s="113"/>
      <c r="AS233" s="113"/>
      <c r="AT233" s="113"/>
      <c r="AU233" s="113"/>
      <c r="AV233" s="113"/>
      <c r="AW233" s="113"/>
      <c r="AX233" s="113"/>
      <c r="AY233" s="113"/>
      <c r="AZ233" s="113"/>
      <c r="BA233" s="113"/>
      <c r="BB233" s="113"/>
      <c r="BC233" s="113"/>
      <c r="BD233" s="113"/>
      <c r="BE233" s="113"/>
      <c r="BF233" s="113"/>
      <c r="BG233" s="113"/>
      <c r="BH233" s="113"/>
      <c r="BI233" s="113"/>
    </row>
    <row r="234" spans="1:61" s="45" customFormat="1" ht="24.6" hidden="1" customHeight="1">
      <c r="A234" s="1067" t="s">
        <v>102</v>
      </c>
      <c r="B234" s="62" t="s">
        <v>89</v>
      </c>
      <c r="C234" s="62"/>
      <c r="D234" s="62"/>
      <c r="E234" s="62"/>
      <c r="F234" s="62"/>
      <c r="G234" s="102">
        <f t="shared" ref="G234:L234" si="89">G238+G242</f>
        <v>0</v>
      </c>
      <c r="H234" s="102"/>
      <c r="I234" s="102"/>
      <c r="J234" s="102"/>
      <c r="K234" s="102"/>
      <c r="L234" s="102">
        <f t="shared" si="89"/>
        <v>0</v>
      </c>
      <c r="M234" s="102"/>
      <c r="N234" s="706"/>
      <c r="O234" s="709"/>
      <c r="AJ234" s="113"/>
      <c r="AK234" s="113"/>
      <c r="AL234" s="113"/>
      <c r="AM234" s="113"/>
      <c r="AN234" s="113"/>
      <c r="AO234" s="113"/>
      <c r="AP234" s="113"/>
      <c r="AQ234" s="113"/>
      <c r="AR234" s="113"/>
      <c r="AS234" s="113"/>
      <c r="AT234" s="113"/>
      <c r="AU234" s="113"/>
      <c r="AV234" s="113"/>
      <c r="AW234" s="113"/>
      <c r="AX234" s="113"/>
      <c r="AY234" s="113"/>
      <c r="AZ234" s="113"/>
      <c r="BA234" s="113"/>
      <c r="BB234" s="113"/>
      <c r="BC234" s="113"/>
      <c r="BD234" s="113"/>
      <c r="BE234" s="113"/>
      <c r="BF234" s="113"/>
      <c r="BG234" s="113"/>
      <c r="BH234" s="113"/>
      <c r="BI234" s="113"/>
    </row>
    <row r="235" spans="1:61" ht="30" hidden="1" customHeight="1">
      <c r="A235" s="1068"/>
      <c r="B235" s="62" t="s">
        <v>237</v>
      </c>
      <c r="C235" s="62"/>
      <c r="D235" s="62"/>
      <c r="E235" s="62"/>
      <c r="F235" s="62"/>
      <c r="G235" s="102">
        <f t="shared" ref="G235:L235" si="90">G236+G237</f>
        <v>0</v>
      </c>
      <c r="H235" s="102"/>
      <c r="I235" s="102"/>
      <c r="J235" s="102"/>
      <c r="K235" s="102"/>
      <c r="L235" s="102">
        <f t="shared" si="90"/>
        <v>0</v>
      </c>
      <c r="M235" s="102"/>
      <c r="N235" s="706"/>
      <c r="O235" s="709"/>
    </row>
    <row r="236" spans="1:61" ht="31.15" hidden="1" customHeight="1">
      <c r="A236" s="1068"/>
      <c r="B236" s="62" t="s">
        <v>10</v>
      </c>
      <c r="C236" s="62"/>
      <c r="D236" s="62"/>
      <c r="E236" s="62"/>
      <c r="F236" s="62"/>
      <c r="G236" s="102">
        <f t="shared" ref="G236:L236" si="91">G240</f>
        <v>0</v>
      </c>
      <c r="H236" s="102"/>
      <c r="I236" s="102"/>
      <c r="J236" s="102"/>
      <c r="K236" s="102"/>
      <c r="L236" s="102">
        <f t="shared" si="91"/>
        <v>0</v>
      </c>
      <c r="M236" s="102"/>
      <c r="N236" s="706"/>
      <c r="O236" s="709"/>
    </row>
    <row r="237" spans="1:61" ht="22.9" hidden="1" customHeight="1">
      <c r="A237" s="1069"/>
      <c r="B237" s="62" t="s">
        <v>34</v>
      </c>
      <c r="C237" s="62"/>
      <c r="D237" s="62"/>
      <c r="E237" s="62"/>
      <c r="F237" s="62"/>
      <c r="G237" s="102">
        <f t="shared" ref="G237:L237" si="92">G241+G244</f>
        <v>0</v>
      </c>
      <c r="H237" s="102"/>
      <c r="I237" s="102"/>
      <c r="J237" s="102"/>
      <c r="K237" s="102"/>
      <c r="L237" s="102">
        <f t="shared" si="92"/>
        <v>0</v>
      </c>
      <c r="M237" s="102"/>
      <c r="N237" s="706"/>
      <c r="O237" s="709"/>
    </row>
    <row r="238" spans="1:61" ht="30.75" hidden="1" customHeight="1">
      <c r="A238" s="1065" t="s">
        <v>23</v>
      </c>
      <c r="B238" s="643" t="s">
        <v>89</v>
      </c>
      <c r="C238" s="643">
        <v>176</v>
      </c>
      <c r="D238" s="643" t="s">
        <v>15</v>
      </c>
      <c r="E238" s="643">
        <v>6100404</v>
      </c>
      <c r="F238" s="643">
        <v>414</v>
      </c>
      <c r="G238" s="103">
        <v>0</v>
      </c>
      <c r="H238" s="103"/>
      <c r="I238" s="103"/>
      <c r="J238" s="103"/>
      <c r="K238" s="103"/>
      <c r="L238" s="103"/>
      <c r="M238" s="103"/>
      <c r="N238" s="706"/>
      <c r="O238" s="1037" t="s">
        <v>265</v>
      </c>
    </row>
    <row r="239" spans="1:61" ht="24.95" hidden="1" customHeight="1">
      <c r="A239" s="1065"/>
      <c r="B239" s="643" t="s">
        <v>237</v>
      </c>
      <c r="C239" s="643"/>
      <c r="D239" s="643"/>
      <c r="E239" s="643"/>
      <c r="F239" s="643"/>
      <c r="G239" s="103">
        <f t="shared" ref="G239:L239" si="93">G240+G241</f>
        <v>0</v>
      </c>
      <c r="H239" s="103"/>
      <c r="I239" s="103"/>
      <c r="J239" s="103"/>
      <c r="K239" s="103"/>
      <c r="L239" s="103">
        <f t="shared" si="93"/>
        <v>0</v>
      </c>
      <c r="M239" s="103"/>
      <c r="N239" s="706"/>
      <c r="O239" s="1037"/>
    </row>
    <row r="240" spans="1:61" ht="29.25" hidden="1" customHeight="1">
      <c r="A240" s="1065"/>
      <c r="B240" s="643" t="s">
        <v>10</v>
      </c>
      <c r="C240" s="643"/>
      <c r="D240" s="643"/>
      <c r="E240" s="643"/>
      <c r="F240" s="643"/>
      <c r="G240" s="103"/>
      <c r="H240" s="103"/>
      <c r="I240" s="103"/>
      <c r="J240" s="103"/>
      <c r="K240" s="103"/>
      <c r="L240" s="103"/>
      <c r="M240" s="103"/>
      <c r="N240" s="706"/>
      <c r="O240" s="1037"/>
    </row>
    <row r="241" spans="1:15" ht="24.95" hidden="1" customHeight="1">
      <c r="A241" s="1065"/>
      <c r="B241" s="643" t="s">
        <v>34</v>
      </c>
      <c r="C241" s="643"/>
      <c r="D241" s="643"/>
      <c r="E241" s="643"/>
      <c r="F241" s="643"/>
      <c r="G241" s="103"/>
      <c r="H241" s="103"/>
      <c r="I241" s="103"/>
      <c r="J241" s="103"/>
      <c r="K241" s="103"/>
      <c r="L241" s="103"/>
      <c r="M241" s="103"/>
      <c r="N241" s="706"/>
      <c r="O241" s="1037"/>
    </row>
    <row r="242" spans="1:15" ht="24.6" hidden="1" customHeight="1">
      <c r="A242" s="1086" t="s">
        <v>304</v>
      </c>
      <c r="B242" s="643" t="s">
        <v>89</v>
      </c>
      <c r="C242" s="643"/>
      <c r="D242" s="643"/>
      <c r="E242" s="643"/>
      <c r="F242" s="643"/>
      <c r="G242" s="103">
        <v>0</v>
      </c>
      <c r="H242" s="103"/>
      <c r="I242" s="103"/>
      <c r="J242" s="103"/>
      <c r="K242" s="103"/>
      <c r="L242" s="103">
        <v>0</v>
      </c>
      <c r="M242" s="103"/>
      <c r="N242" s="706"/>
      <c r="O242" s="1037" t="s">
        <v>221</v>
      </c>
    </row>
    <row r="243" spans="1:15" ht="1.5" hidden="1" customHeight="1">
      <c r="A243" s="1086"/>
      <c r="B243" s="643" t="s">
        <v>237</v>
      </c>
      <c r="C243" s="643"/>
      <c r="D243" s="643"/>
      <c r="E243" s="643"/>
      <c r="F243" s="643"/>
      <c r="G243" s="103">
        <f t="shared" ref="G243:L243" si="94">G244</f>
        <v>0</v>
      </c>
      <c r="H243" s="103"/>
      <c r="I243" s="103"/>
      <c r="J243" s="103"/>
      <c r="K243" s="103"/>
      <c r="L243" s="103">
        <f t="shared" si="94"/>
        <v>0</v>
      </c>
      <c r="M243" s="103"/>
      <c r="N243" s="706"/>
      <c r="O243" s="1037"/>
    </row>
    <row r="244" spans="1:15" ht="9.75" hidden="1" customHeight="1">
      <c r="A244" s="1086"/>
      <c r="B244" s="643" t="s">
        <v>34</v>
      </c>
      <c r="C244" s="643"/>
      <c r="D244" s="643"/>
      <c r="E244" s="643"/>
      <c r="F244" s="643"/>
      <c r="G244" s="103">
        <v>0</v>
      </c>
      <c r="H244" s="103"/>
      <c r="I244" s="103"/>
      <c r="J244" s="103"/>
      <c r="K244" s="103"/>
      <c r="L244" s="103">
        <v>0</v>
      </c>
      <c r="M244" s="103"/>
      <c r="N244" s="706"/>
      <c r="O244" s="1037"/>
    </row>
    <row r="245" spans="1:15" ht="24.95" customHeight="1">
      <c r="A245" s="1038" t="s">
        <v>132</v>
      </c>
      <c r="B245" s="62" t="s">
        <v>89</v>
      </c>
      <c r="C245" s="643"/>
      <c r="D245" s="643"/>
      <c r="E245" s="643"/>
      <c r="F245" s="643"/>
      <c r="G245" s="102">
        <f t="shared" ref="G245:L245" si="95">G249</f>
        <v>0</v>
      </c>
      <c r="H245" s="102"/>
      <c r="I245" s="102"/>
      <c r="J245" s="102"/>
      <c r="K245" s="102"/>
      <c r="L245" s="102">
        <f t="shared" si="95"/>
        <v>2.1</v>
      </c>
      <c r="M245" s="102">
        <f>M249</f>
        <v>0</v>
      </c>
      <c r="N245" s="706"/>
      <c r="O245" s="703"/>
    </row>
    <row r="246" spans="1:15" ht="24.95" customHeight="1">
      <c r="A246" s="1038"/>
      <c r="B246" s="62" t="s">
        <v>237</v>
      </c>
      <c r="C246" s="643"/>
      <c r="D246" s="643"/>
      <c r="E246" s="643"/>
      <c r="F246" s="643"/>
      <c r="G246" s="102">
        <f t="shared" ref="G246" si="96">G248</f>
        <v>0</v>
      </c>
      <c r="H246" s="102"/>
      <c r="I246" s="102"/>
      <c r="J246" s="102"/>
      <c r="K246" s="102"/>
      <c r="L246" s="102">
        <f>L247+L248</f>
        <v>95000</v>
      </c>
      <c r="M246" s="102">
        <f>M247+M248</f>
        <v>0</v>
      </c>
      <c r="N246" s="706"/>
      <c r="O246" s="703"/>
    </row>
    <row r="247" spans="1:15" ht="24.95" customHeight="1">
      <c r="A247" s="1038"/>
      <c r="B247" s="62" t="s">
        <v>10</v>
      </c>
      <c r="C247" s="643"/>
      <c r="D247" s="643"/>
      <c r="E247" s="643"/>
      <c r="F247" s="643"/>
      <c r="G247" s="102"/>
      <c r="H247" s="102"/>
      <c r="I247" s="102"/>
      <c r="J247" s="102"/>
      <c r="K247" s="102"/>
      <c r="L247" s="102">
        <f>L251</f>
        <v>95000</v>
      </c>
      <c r="M247" s="102">
        <f>M251</f>
        <v>0</v>
      </c>
      <c r="N247" s="706"/>
      <c r="O247" s="703"/>
    </row>
    <row r="248" spans="1:15" ht="24.6" customHeight="1">
      <c r="A248" s="1038"/>
      <c r="B248" s="62" t="s">
        <v>443</v>
      </c>
      <c r="C248" s="643"/>
      <c r="D248" s="643"/>
      <c r="E248" s="643"/>
      <c r="F248" s="643"/>
      <c r="G248" s="102">
        <f t="shared" ref="G248" si="97">G252</f>
        <v>0</v>
      </c>
      <c r="H248" s="102"/>
      <c r="I248" s="102"/>
      <c r="J248" s="102"/>
      <c r="K248" s="102"/>
      <c r="L248" s="102"/>
      <c r="M248" s="102"/>
      <c r="N248" s="706"/>
      <c r="O248" s="703"/>
    </row>
    <row r="249" spans="1:15" ht="24" customHeight="1">
      <c r="A249" s="1086" t="s">
        <v>551</v>
      </c>
      <c r="B249" s="643" t="s">
        <v>89</v>
      </c>
      <c r="C249" s="643"/>
      <c r="D249" s="643"/>
      <c r="E249" s="643"/>
      <c r="F249" s="643"/>
      <c r="G249" s="103">
        <v>0</v>
      </c>
      <c r="H249" s="103"/>
      <c r="I249" s="103"/>
      <c r="J249" s="103"/>
      <c r="K249" s="103"/>
      <c r="L249" s="103">
        <v>2.1</v>
      </c>
      <c r="M249" s="103"/>
      <c r="N249" s="706"/>
      <c r="O249" s="1037" t="s">
        <v>326</v>
      </c>
    </row>
    <row r="250" spans="1:15" ht="24.6" customHeight="1">
      <c r="A250" s="1086"/>
      <c r="B250" s="643" t="s">
        <v>237</v>
      </c>
      <c r="C250" s="643"/>
      <c r="D250" s="643"/>
      <c r="E250" s="643"/>
      <c r="F250" s="643"/>
      <c r="G250" s="103">
        <f t="shared" ref="G250" si="98">G252</f>
        <v>0</v>
      </c>
      <c r="H250" s="103"/>
      <c r="I250" s="103"/>
      <c r="J250" s="103"/>
      <c r="K250" s="103"/>
      <c r="L250" s="103">
        <f>L251+L252</f>
        <v>95000</v>
      </c>
      <c r="M250" s="103">
        <f>M251</f>
        <v>0</v>
      </c>
      <c r="N250" s="706"/>
      <c r="O250" s="1037"/>
    </row>
    <row r="251" spans="1:15" ht="24.6" customHeight="1">
      <c r="A251" s="1086"/>
      <c r="B251" s="643" t="s">
        <v>10</v>
      </c>
      <c r="C251" s="643"/>
      <c r="D251" s="643"/>
      <c r="E251" s="643"/>
      <c r="F251" s="643"/>
      <c r="G251" s="103"/>
      <c r="H251" s="103"/>
      <c r="I251" s="103"/>
      <c r="J251" s="103"/>
      <c r="K251" s="103"/>
      <c r="L251" s="103">
        <v>95000</v>
      </c>
      <c r="M251" s="103"/>
      <c r="N251" s="706"/>
      <c r="O251" s="1037"/>
    </row>
    <row r="252" spans="1:15" ht="24.6" customHeight="1">
      <c r="A252" s="1086"/>
      <c r="B252" s="643" t="s">
        <v>443</v>
      </c>
      <c r="C252" s="643"/>
      <c r="D252" s="643"/>
      <c r="E252" s="643"/>
      <c r="F252" s="643"/>
      <c r="G252" s="103">
        <v>0</v>
      </c>
      <c r="H252" s="103"/>
      <c r="I252" s="103"/>
      <c r="J252" s="103"/>
      <c r="K252" s="103"/>
      <c r="L252" s="103">
        <v>0</v>
      </c>
      <c r="M252" s="103"/>
      <c r="N252" s="706"/>
      <c r="O252" s="1037"/>
    </row>
    <row r="253" spans="1:15" ht="24.95" hidden="1" customHeight="1">
      <c r="A253" s="1092" t="s">
        <v>292</v>
      </c>
      <c r="B253" s="643" t="s">
        <v>89</v>
      </c>
      <c r="C253" s="643"/>
      <c r="D253" s="643"/>
      <c r="E253" s="643"/>
      <c r="F253" s="643"/>
      <c r="G253" s="103"/>
      <c r="H253" s="103"/>
      <c r="I253" s="103"/>
      <c r="J253" s="103"/>
      <c r="K253" s="103"/>
      <c r="L253" s="103"/>
      <c r="M253" s="103"/>
      <c r="N253" s="706"/>
      <c r="O253" s="1037" t="s">
        <v>516</v>
      </c>
    </row>
    <row r="254" spans="1:15" ht="24.95" hidden="1" customHeight="1">
      <c r="A254" s="1093"/>
      <c r="B254" s="643" t="s">
        <v>237</v>
      </c>
      <c r="C254" s="643"/>
      <c r="D254" s="643"/>
      <c r="E254" s="643"/>
      <c r="F254" s="643"/>
      <c r="G254" s="103"/>
      <c r="H254" s="103"/>
      <c r="I254" s="103"/>
      <c r="J254" s="103"/>
      <c r="K254" s="103"/>
      <c r="L254" s="103"/>
      <c r="M254" s="103"/>
      <c r="N254" s="706"/>
      <c r="O254" s="1037"/>
    </row>
    <row r="255" spans="1:15" ht="24.95" hidden="1" customHeight="1">
      <c r="A255" s="1093"/>
      <c r="B255" s="643" t="s">
        <v>10</v>
      </c>
      <c r="C255" s="643"/>
      <c r="D255" s="643"/>
      <c r="E255" s="643"/>
      <c r="F255" s="643"/>
      <c r="G255" s="103"/>
      <c r="H255" s="103"/>
      <c r="I255" s="103"/>
      <c r="J255" s="103"/>
      <c r="K255" s="103"/>
      <c r="L255" s="103"/>
      <c r="M255" s="103"/>
      <c r="N255" s="706"/>
      <c r="O255" s="1037"/>
    </row>
    <row r="256" spans="1:15" ht="24.95" hidden="1" customHeight="1">
      <c r="A256" s="1094"/>
      <c r="B256" s="643" t="s">
        <v>443</v>
      </c>
      <c r="C256" s="643"/>
      <c r="D256" s="643"/>
      <c r="E256" s="643"/>
      <c r="F256" s="643"/>
      <c r="G256" s="103"/>
      <c r="H256" s="103"/>
      <c r="I256" s="103"/>
      <c r="J256" s="103"/>
      <c r="K256" s="103"/>
      <c r="L256" s="103"/>
      <c r="M256" s="103"/>
      <c r="N256" s="706"/>
      <c r="O256" s="1037"/>
    </row>
    <row r="257" spans="1:61" ht="24.95" hidden="1" customHeight="1">
      <c r="A257" s="985" t="s">
        <v>161</v>
      </c>
      <c r="B257" s="62" t="s">
        <v>89</v>
      </c>
      <c r="C257" s="643"/>
      <c r="D257" s="643"/>
      <c r="E257" s="643"/>
      <c r="F257" s="643"/>
      <c r="G257" s="102">
        <f t="shared" ref="G257:M257" si="99">G261</f>
        <v>0</v>
      </c>
      <c r="H257" s="102"/>
      <c r="I257" s="102"/>
      <c r="J257" s="102"/>
      <c r="K257" s="102"/>
      <c r="L257" s="102">
        <f t="shared" si="99"/>
        <v>0</v>
      </c>
      <c r="M257" s="102">
        <f t="shared" si="99"/>
        <v>0</v>
      </c>
      <c r="N257" s="706"/>
      <c r="O257" s="703"/>
    </row>
    <row r="258" spans="1:61" ht="24.95" hidden="1" customHeight="1">
      <c r="A258" s="986"/>
      <c r="B258" s="62" t="s">
        <v>237</v>
      </c>
      <c r="C258" s="643"/>
      <c r="D258" s="643"/>
      <c r="E258" s="643"/>
      <c r="F258" s="643"/>
      <c r="G258" s="102">
        <f t="shared" ref="G258:M258" si="100">G259+G260</f>
        <v>0</v>
      </c>
      <c r="H258" s="102"/>
      <c r="I258" s="102"/>
      <c r="J258" s="102"/>
      <c r="K258" s="102"/>
      <c r="L258" s="102">
        <f t="shared" si="100"/>
        <v>0</v>
      </c>
      <c r="M258" s="102">
        <f t="shared" si="100"/>
        <v>0</v>
      </c>
      <c r="N258" s="706"/>
      <c r="O258" s="703"/>
    </row>
    <row r="259" spans="1:61" ht="24.95" hidden="1" customHeight="1">
      <c r="A259" s="986"/>
      <c r="B259" s="62" t="s">
        <v>10</v>
      </c>
      <c r="C259" s="643"/>
      <c r="D259" s="643"/>
      <c r="E259" s="643"/>
      <c r="F259" s="643"/>
      <c r="G259" s="102">
        <f t="shared" ref="G259:M260" si="101">G263</f>
        <v>0</v>
      </c>
      <c r="H259" s="102"/>
      <c r="I259" s="102"/>
      <c r="J259" s="102"/>
      <c r="K259" s="102"/>
      <c r="L259" s="102">
        <f t="shared" si="101"/>
        <v>0</v>
      </c>
      <c r="M259" s="102">
        <f t="shared" si="101"/>
        <v>0</v>
      </c>
      <c r="N259" s="706"/>
      <c r="O259" s="703"/>
    </row>
    <row r="260" spans="1:61" ht="24.95" hidden="1" customHeight="1">
      <c r="A260" s="987"/>
      <c r="B260" s="62" t="s">
        <v>443</v>
      </c>
      <c r="C260" s="643"/>
      <c r="D260" s="643"/>
      <c r="E260" s="643"/>
      <c r="F260" s="643"/>
      <c r="G260" s="102">
        <f t="shared" si="101"/>
        <v>0</v>
      </c>
      <c r="H260" s="102"/>
      <c r="I260" s="102"/>
      <c r="J260" s="102"/>
      <c r="K260" s="102"/>
      <c r="L260" s="102">
        <f t="shared" si="101"/>
        <v>0</v>
      </c>
      <c r="M260" s="102"/>
      <c r="N260" s="706"/>
      <c r="O260" s="703"/>
    </row>
    <row r="261" spans="1:61" ht="24.95" hidden="1" customHeight="1">
      <c r="A261" s="1086" t="s">
        <v>241</v>
      </c>
      <c r="B261" s="643" t="s">
        <v>89</v>
      </c>
      <c r="C261" s="643"/>
      <c r="D261" s="643"/>
      <c r="E261" s="643"/>
      <c r="F261" s="643"/>
      <c r="G261" s="103"/>
      <c r="H261" s="103"/>
      <c r="I261" s="103"/>
      <c r="J261" s="103"/>
      <c r="K261" s="103"/>
      <c r="L261" s="103"/>
      <c r="M261" s="103"/>
      <c r="N261" s="706"/>
      <c r="O261" s="1037" t="s">
        <v>818</v>
      </c>
    </row>
    <row r="262" spans="1:61" s="45" customFormat="1" ht="24.95" hidden="1" customHeight="1">
      <c r="A262" s="1086"/>
      <c r="B262" s="643" t="s">
        <v>237</v>
      </c>
      <c r="C262" s="643"/>
      <c r="D262" s="643"/>
      <c r="E262" s="643"/>
      <c r="F262" s="643"/>
      <c r="G262" s="103">
        <f t="shared" ref="G262:L262" si="102">G263+G264</f>
        <v>0</v>
      </c>
      <c r="H262" s="103"/>
      <c r="I262" s="103"/>
      <c r="J262" s="103"/>
      <c r="K262" s="103"/>
      <c r="L262" s="103">
        <f t="shared" si="102"/>
        <v>0</v>
      </c>
      <c r="M262" s="103">
        <f>M263</f>
        <v>0</v>
      </c>
      <c r="N262" s="706"/>
      <c r="O262" s="1037"/>
      <c r="AJ262" s="113"/>
      <c r="AK262" s="113"/>
      <c r="AL262" s="113"/>
      <c r="AM262" s="113"/>
      <c r="AN262" s="113"/>
      <c r="AO262" s="113"/>
      <c r="AP262" s="113"/>
      <c r="AQ262" s="113"/>
      <c r="AR262" s="113"/>
      <c r="AS262" s="113"/>
      <c r="AT262" s="113"/>
      <c r="AU262" s="113"/>
      <c r="AV262" s="113"/>
      <c r="AW262" s="113"/>
      <c r="AX262" s="113"/>
      <c r="AY262" s="113"/>
      <c r="AZ262" s="113"/>
      <c r="BA262" s="113"/>
      <c r="BB262" s="113"/>
      <c r="BC262" s="113"/>
      <c r="BD262" s="113"/>
      <c r="BE262" s="113"/>
      <c r="BF262" s="113"/>
      <c r="BG262" s="113"/>
      <c r="BH262" s="113"/>
      <c r="BI262" s="113"/>
    </row>
    <row r="263" spans="1:61" s="45" customFormat="1" ht="28.5" hidden="1" customHeight="1">
      <c r="A263" s="1086"/>
      <c r="B263" s="643" t="s">
        <v>10</v>
      </c>
      <c r="C263" s="643"/>
      <c r="D263" s="643"/>
      <c r="E263" s="643"/>
      <c r="F263" s="643"/>
      <c r="G263" s="103"/>
      <c r="H263" s="103"/>
      <c r="I263" s="103"/>
      <c r="J263" s="103"/>
      <c r="K263" s="103"/>
      <c r="L263" s="103"/>
      <c r="M263" s="103">
        <v>0</v>
      </c>
      <c r="N263" s="706"/>
      <c r="O263" s="1037"/>
      <c r="AJ263" s="113"/>
      <c r="AK263" s="113"/>
      <c r="AL263" s="113"/>
      <c r="AM263" s="113"/>
      <c r="AN263" s="113"/>
      <c r="AO263" s="113"/>
      <c r="AP263" s="113"/>
      <c r="AQ263" s="113"/>
      <c r="AR263" s="113"/>
      <c r="AS263" s="113"/>
      <c r="AT263" s="113"/>
      <c r="AU263" s="113"/>
      <c r="AV263" s="113"/>
      <c r="AW263" s="113"/>
      <c r="AX263" s="113"/>
      <c r="AY263" s="113"/>
      <c r="AZ263" s="113"/>
      <c r="BA263" s="113"/>
      <c r="BB263" s="113"/>
      <c r="BC263" s="113"/>
      <c r="BD263" s="113"/>
      <c r="BE263" s="113"/>
      <c r="BF263" s="113"/>
      <c r="BG263" s="113"/>
      <c r="BH263" s="113"/>
      <c r="BI263" s="113"/>
    </row>
    <row r="264" spans="1:61" s="45" customFormat="1" ht="24.95" hidden="1" customHeight="1">
      <c r="A264" s="1086"/>
      <c r="B264" s="643" t="s">
        <v>443</v>
      </c>
      <c r="C264" s="643"/>
      <c r="D264" s="643"/>
      <c r="E264" s="643"/>
      <c r="F264" s="643"/>
      <c r="G264" s="103"/>
      <c r="H264" s="103"/>
      <c r="I264" s="103"/>
      <c r="J264" s="103"/>
      <c r="K264" s="103"/>
      <c r="L264" s="103"/>
      <c r="M264" s="103"/>
      <c r="N264" s="706"/>
      <c r="O264" s="1037"/>
      <c r="AJ264" s="113"/>
      <c r="AK264" s="113"/>
      <c r="AL264" s="113"/>
      <c r="AM264" s="113"/>
      <c r="AN264" s="113"/>
      <c r="AO264" s="113"/>
      <c r="AP264" s="113"/>
      <c r="AQ264" s="113"/>
      <c r="AR264" s="113"/>
      <c r="AS264" s="113"/>
      <c r="AT264" s="113"/>
      <c r="AU264" s="113"/>
      <c r="AV264" s="113"/>
      <c r="AW264" s="113"/>
      <c r="AX264" s="113"/>
      <c r="AY264" s="113"/>
      <c r="AZ264" s="113"/>
      <c r="BA264" s="113"/>
      <c r="BB264" s="113"/>
      <c r="BC264" s="113"/>
      <c r="BD264" s="113"/>
      <c r="BE264" s="113"/>
      <c r="BF264" s="113"/>
      <c r="BG264" s="113"/>
      <c r="BH264" s="113"/>
      <c r="BI264" s="113"/>
    </row>
    <row r="265" spans="1:61" s="45" customFormat="1" ht="24.95" customHeight="1">
      <c r="A265" s="1067" t="s">
        <v>103</v>
      </c>
      <c r="B265" s="62" t="s">
        <v>89</v>
      </c>
      <c r="C265" s="62"/>
      <c r="D265" s="62"/>
      <c r="E265" s="62"/>
      <c r="F265" s="62"/>
      <c r="G265" s="102">
        <f>G275+G280+G284+G288+G297+G301+G305+G309+G314+G318+G322</f>
        <v>0</v>
      </c>
      <c r="H265" s="102">
        <f t="shared" ref="H265:K265" si="103">H275+H280+H284+H288+H297+H301+H305+H309+H314+H318+H322</f>
        <v>0</v>
      </c>
      <c r="I265" s="102">
        <f t="shared" si="103"/>
        <v>0</v>
      </c>
      <c r="J265" s="102">
        <f t="shared" si="103"/>
        <v>0</v>
      </c>
      <c r="K265" s="102">
        <f t="shared" si="103"/>
        <v>1.3</v>
      </c>
      <c r="L265" s="102">
        <f>L271+L275+L297+L305</f>
        <v>10.6</v>
      </c>
      <c r="M265" s="102">
        <f>M271+M275+M297+M305</f>
        <v>5.5</v>
      </c>
      <c r="N265" s="706"/>
      <c r="O265" s="709"/>
      <c r="AJ265" s="113"/>
      <c r="AK265" s="113"/>
      <c r="AL265" s="113"/>
      <c r="AM265" s="113"/>
      <c r="AN265" s="113"/>
      <c r="AO265" s="113"/>
      <c r="AP265" s="113"/>
      <c r="AQ265" s="113"/>
      <c r="AR265" s="113"/>
      <c r="AS265" s="113"/>
      <c r="AT265" s="113"/>
      <c r="AU265" s="113"/>
      <c r="AV265" s="113"/>
      <c r="AW265" s="113"/>
      <c r="AX265" s="113"/>
      <c r="AY265" s="113"/>
      <c r="AZ265" s="113"/>
      <c r="BA265" s="113"/>
      <c r="BB265" s="113"/>
      <c r="BC265" s="113"/>
      <c r="BD265" s="113"/>
      <c r="BE265" s="113"/>
      <c r="BF265" s="113"/>
      <c r="BG265" s="113"/>
      <c r="BH265" s="113"/>
      <c r="BI265" s="113"/>
    </row>
    <row r="266" spans="1:61" ht="24.95" customHeight="1">
      <c r="A266" s="1068"/>
      <c r="B266" s="62" t="s">
        <v>237</v>
      </c>
      <c r="C266" s="62"/>
      <c r="D266" s="62"/>
      <c r="E266" s="62"/>
      <c r="F266" s="62"/>
      <c r="G266" s="102">
        <f>G267+G270+G269</f>
        <v>883850</v>
      </c>
      <c r="H266" s="102">
        <f t="shared" ref="H266:K266" si="104">H267+H270+H269</f>
        <v>0</v>
      </c>
      <c r="I266" s="102">
        <f t="shared" si="104"/>
        <v>0</v>
      </c>
      <c r="J266" s="102">
        <f t="shared" si="104"/>
        <v>0</v>
      </c>
      <c r="K266" s="102">
        <f t="shared" si="104"/>
        <v>883850</v>
      </c>
      <c r="L266" s="102">
        <f t="shared" ref="L266:M266" si="105">L267+L270</f>
        <v>1579000</v>
      </c>
      <c r="M266" s="102">
        <f t="shared" si="105"/>
        <v>635000</v>
      </c>
      <c r="N266" s="706"/>
      <c r="O266" s="709"/>
    </row>
    <row r="267" spans="1:61" ht="24.95" customHeight="1">
      <c r="A267" s="1068"/>
      <c r="B267" s="62" t="s">
        <v>10</v>
      </c>
      <c r="C267" s="62"/>
      <c r="D267" s="62"/>
      <c r="E267" s="62"/>
      <c r="F267" s="62"/>
      <c r="G267" s="102">
        <f>G273+G277+G299+G320+G324</f>
        <v>186050</v>
      </c>
      <c r="H267" s="102">
        <f t="shared" ref="H267:K267" si="106">H273+H277+H299+H320+H324</f>
        <v>0</v>
      </c>
      <c r="I267" s="102">
        <f t="shared" si="106"/>
        <v>0</v>
      </c>
      <c r="J267" s="102">
        <f t="shared" si="106"/>
        <v>0</v>
      </c>
      <c r="K267" s="102">
        <f t="shared" si="106"/>
        <v>186050</v>
      </c>
      <c r="L267" s="102">
        <f>L273+L277+L299+L307</f>
        <v>674000</v>
      </c>
      <c r="M267" s="102">
        <f>M273+M277+M299+M307</f>
        <v>635000</v>
      </c>
      <c r="N267" s="706"/>
      <c r="O267" s="709"/>
    </row>
    <row r="268" spans="1:61" ht="24.6" hidden="1" customHeight="1">
      <c r="A268" s="1068"/>
      <c r="B268" s="62" t="s">
        <v>443</v>
      </c>
      <c r="C268" s="62"/>
      <c r="D268" s="62"/>
      <c r="E268" s="62"/>
      <c r="F268" s="62"/>
      <c r="G268" s="102">
        <f>G278+G283+G291+G296+G304+G308+G317+G321+G325</f>
        <v>0</v>
      </c>
      <c r="H268" s="102"/>
      <c r="I268" s="102"/>
      <c r="J268" s="102"/>
      <c r="K268" s="102"/>
      <c r="L268" s="102">
        <f t="shared" ref="L268" si="107">L278+L283+L291+L296+L304+L308+L317+L321+L325</f>
        <v>0</v>
      </c>
      <c r="M268" s="102"/>
      <c r="N268" s="706"/>
      <c r="O268" s="709"/>
    </row>
    <row r="269" spans="1:61" ht="24.6" hidden="1" customHeight="1">
      <c r="A269" s="1068"/>
      <c r="B269" s="62" t="s">
        <v>462</v>
      </c>
      <c r="C269" s="62"/>
      <c r="D269" s="62"/>
      <c r="E269" s="62"/>
      <c r="F269" s="62"/>
      <c r="G269" s="102">
        <f>G311</f>
        <v>0</v>
      </c>
      <c r="H269" s="102">
        <f t="shared" ref="H269:K269" si="108">H311</f>
        <v>0</v>
      </c>
      <c r="I269" s="102">
        <f t="shared" si="108"/>
        <v>0</v>
      </c>
      <c r="J269" s="102">
        <f t="shared" si="108"/>
        <v>0</v>
      </c>
      <c r="K269" s="102">
        <f t="shared" si="108"/>
        <v>0</v>
      </c>
      <c r="L269" s="102"/>
      <c r="M269" s="102"/>
      <c r="N269" s="706"/>
      <c r="O269" s="709"/>
    </row>
    <row r="270" spans="1:61" ht="24.95" customHeight="1">
      <c r="A270" s="1069"/>
      <c r="B270" s="62" t="s">
        <v>443</v>
      </c>
      <c r="C270" s="62"/>
      <c r="D270" s="62"/>
      <c r="E270" s="62"/>
      <c r="F270" s="62"/>
      <c r="G270" s="102">
        <f>G274+G279+G300</f>
        <v>697800</v>
      </c>
      <c r="H270" s="102">
        <f t="shared" ref="H270:J270" si="109">H274+H279</f>
        <v>0</v>
      </c>
      <c r="I270" s="102">
        <f t="shared" si="109"/>
        <v>0</v>
      </c>
      <c r="J270" s="102">
        <f t="shared" si="109"/>
        <v>0</v>
      </c>
      <c r="K270" s="102">
        <f>K274+K279+K300</f>
        <v>697800</v>
      </c>
      <c r="L270" s="102">
        <f>L274+L279+L300</f>
        <v>905000</v>
      </c>
      <c r="M270" s="102">
        <f>M274+M279+M300</f>
        <v>0</v>
      </c>
      <c r="N270" s="706"/>
      <c r="O270" s="709"/>
    </row>
    <row r="271" spans="1:61" ht="24.95" customHeight="1">
      <c r="A271" s="1028" t="s">
        <v>489</v>
      </c>
      <c r="B271" s="643" t="s">
        <v>89</v>
      </c>
      <c r="C271" s="643">
        <v>176</v>
      </c>
      <c r="D271" s="643" t="s">
        <v>15</v>
      </c>
      <c r="E271" s="643">
        <v>6100404</v>
      </c>
      <c r="F271" s="643">
        <v>414</v>
      </c>
      <c r="G271" s="103">
        <v>0</v>
      </c>
      <c r="H271" s="103"/>
      <c r="I271" s="103"/>
      <c r="J271" s="103"/>
      <c r="K271" s="103"/>
      <c r="L271" s="103">
        <v>8.6999999999999993</v>
      </c>
      <c r="M271" s="103">
        <v>4.5</v>
      </c>
      <c r="N271" s="706"/>
      <c r="O271" s="1037" t="s">
        <v>932</v>
      </c>
      <c r="P271" s="48"/>
      <c r="V271" s="44">
        <v>24.7</v>
      </c>
    </row>
    <row r="272" spans="1:61" ht="30.75" customHeight="1">
      <c r="A272" s="1036"/>
      <c r="B272" s="643" t="s">
        <v>237</v>
      </c>
      <c r="C272" s="643"/>
      <c r="D272" s="643"/>
      <c r="E272" s="643"/>
      <c r="F272" s="643"/>
      <c r="G272" s="103">
        <f>G273+G274</f>
        <v>648850</v>
      </c>
      <c r="H272" s="103">
        <f t="shared" ref="H272:M272" si="110">H273+H274</f>
        <v>0</v>
      </c>
      <c r="I272" s="103">
        <f t="shared" si="110"/>
        <v>0</v>
      </c>
      <c r="J272" s="103">
        <f t="shared" si="110"/>
        <v>0</v>
      </c>
      <c r="K272" s="103">
        <f t="shared" si="110"/>
        <v>648850</v>
      </c>
      <c r="L272" s="103">
        <f t="shared" si="110"/>
        <v>880000</v>
      </c>
      <c r="M272" s="103">
        <f t="shared" si="110"/>
        <v>15000</v>
      </c>
      <c r="N272" s="706"/>
      <c r="O272" s="1037"/>
      <c r="P272" s="122"/>
    </row>
    <row r="273" spans="1:17" ht="24.95" customHeight="1">
      <c r="A273" s="1036"/>
      <c r="B273" s="643" t="s">
        <v>10</v>
      </c>
      <c r="C273" s="643"/>
      <c r="D273" s="643"/>
      <c r="E273" s="643"/>
      <c r="F273" s="643"/>
      <c r="G273" s="103">
        <f>I273+J273+K273</f>
        <v>79050</v>
      </c>
      <c r="H273" s="103"/>
      <c r="I273" s="103"/>
      <c r="J273" s="103"/>
      <c r="K273" s="103">
        <v>79050</v>
      </c>
      <c r="L273" s="103">
        <v>125000</v>
      </c>
      <c r="M273" s="103">
        <v>15000</v>
      </c>
      <c r="N273" s="706"/>
      <c r="O273" s="1037"/>
    </row>
    <row r="274" spans="1:17" ht="24.95" customHeight="1">
      <c r="A274" s="1029"/>
      <c r="B274" s="643" t="s">
        <v>443</v>
      </c>
      <c r="C274" s="643"/>
      <c r="D274" s="643"/>
      <c r="E274" s="643"/>
      <c r="F274" s="643"/>
      <c r="G274" s="103">
        <f>K274</f>
        <v>569800</v>
      </c>
      <c r="H274" s="103"/>
      <c r="I274" s="103"/>
      <c r="J274" s="103"/>
      <c r="K274" s="103">
        <v>569800</v>
      </c>
      <c r="L274" s="103">
        <v>755000</v>
      </c>
      <c r="M274" s="103">
        <v>0</v>
      </c>
      <c r="N274" s="706"/>
      <c r="O274" s="1037"/>
    </row>
    <row r="275" spans="1:17" ht="24.95" customHeight="1">
      <c r="A275" s="1095" t="s">
        <v>306</v>
      </c>
      <c r="B275" s="643" t="s">
        <v>89</v>
      </c>
      <c r="C275" s="643">
        <v>176</v>
      </c>
      <c r="D275" s="643" t="s">
        <v>15</v>
      </c>
      <c r="E275" s="643">
        <v>6100404</v>
      </c>
      <c r="F275" s="643">
        <v>414</v>
      </c>
      <c r="G275" s="103"/>
      <c r="H275" s="103"/>
      <c r="I275" s="103"/>
      <c r="J275" s="103"/>
      <c r="K275" s="103"/>
      <c r="L275" s="103">
        <v>1.9</v>
      </c>
      <c r="M275" s="103"/>
      <c r="N275" s="706"/>
      <c r="O275" s="1037" t="s">
        <v>933</v>
      </c>
    </row>
    <row r="276" spans="1:17" ht="24.95" customHeight="1">
      <c r="A276" s="1095"/>
      <c r="B276" s="643" t="s">
        <v>237</v>
      </c>
      <c r="C276" s="643"/>
      <c r="D276" s="643"/>
      <c r="E276" s="643"/>
      <c r="F276" s="643"/>
      <c r="G276" s="103">
        <f>G277+G279+G278</f>
        <v>170000</v>
      </c>
      <c r="H276" s="103">
        <f t="shared" ref="H276:K276" si="111">H277+H279+H278</f>
        <v>0</v>
      </c>
      <c r="I276" s="103">
        <f t="shared" si="111"/>
        <v>0</v>
      </c>
      <c r="J276" s="103">
        <f t="shared" si="111"/>
        <v>0</v>
      </c>
      <c r="K276" s="103">
        <f t="shared" si="111"/>
        <v>170000</v>
      </c>
      <c r="L276" s="103">
        <f>L277+L279</f>
        <v>389000</v>
      </c>
      <c r="M276" s="103">
        <f>M277+M279</f>
        <v>300000</v>
      </c>
      <c r="N276" s="706"/>
      <c r="O276" s="1037"/>
      <c r="P276" s="122"/>
    </row>
    <row r="277" spans="1:17" ht="24.95" customHeight="1">
      <c r="A277" s="1095"/>
      <c r="B277" s="643" t="s">
        <v>10</v>
      </c>
      <c r="C277" s="643"/>
      <c r="D277" s="643"/>
      <c r="E277" s="643"/>
      <c r="F277" s="643"/>
      <c r="G277" s="103">
        <f>J277+K277</f>
        <v>70000</v>
      </c>
      <c r="H277" s="103"/>
      <c r="I277" s="103"/>
      <c r="J277" s="103"/>
      <c r="K277" s="103">
        <v>70000</v>
      </c>
      <c r="L277" s="103">
        <v>239000</v>
      </c>
      <c r="M277" s="103">
        <v>300000</v>
      </c>
      <c r="N277" s="706"/>
      <c r="O277" s="1037"/>
    </row>
    <row r="278" spans="1:17" ht="0.6" customHeight="1">
      <c r="A278" s="1095"/>
      <c r="B278" s="643" t="s">
        <v>443</v>
      </c>
      <c r="C278" s="643"/>
      <c r="D278" s="643"/>
      <c r="E278" s="643"/>
      <c r="F278" s="643"/>
      <c r="G278" s="103">
        <v>0</v>
      </c>
      <c r="H278" s="103"/>
      <c r="I278" s="103"/>
      <c r="J278" s="103"/>
      <c r="K278" s="103"/>
      <c r="L278" s="103"/>
      <c r="M278" s="138"/>
      <c r="N278" s="706"/>
      <c r="O278" s="1037"/>
    </row>
    <row r="279" spans="1:17" ht="24.75" customHeight="1">
      <c r="A279" s="1095"/>
      <c r="B279" s="643" t="s">
        <v>443</v>
      </c>
      <c r="C279" s="643"/>
      <c r="D279" s="643"/>
      <c r="E279" s="643"/>
      <c r="F279" s="643"/>
      <c r="G279" s="103">
        <f>K279</f>
        <v>100000</v>
      </c>
      <c r="H279" s="103"/>
      <c r="I279" s="103"/>
      <c r="J279" s="103"/>
      <c r="K279" s="103">
        <v>100000</v>
      </c>
      <c r="L279" s="103">
        <v>150000</v>
      </c>
      <c r="M279" s="133"/>
      <c r="N279" s="706"/>
      <c r="O279" s="1037"/>
      <c r="Q279" s="48"/>
    </row>
    <row r="280" spans="1:17" ht="0.6" customHeight="1">
      <c r="A280" s="1090" t="s">
        <v>530</v>
      </c>
      <c r="B280" s="643" t="s">
        <v>89</v>
      </c>
      <c r="C280" s="643">
        <v>176</v>
      </c>
      <c r="D280" s="643" t="s">
        <v>15</v>
      </c>
      <c r="E280" s="643">
        <v>6100404</v>
      </c>
      <c r="F280" s="643">
        <v>414</v>
      </c>
      <c r="G280" s="103"/>
      <c r="H280" s="103"/>
      <c r="I280" s="103"/>
      <c r="J280" s="103"/>
      <c r="K280" s="103"/>
      <c r="L280" s="103"/>
      <c r="M280" s="103"/>
      <c r="N280" s="706"/>
      <c r="O280" s="1037" t="s">
        <v>284</v>
      </c>
    </row>
    <row r="281" spans="1:17" ht="24.6" hidden="1" customHeight="1">
      <c r="A281" s="1090"/>
      <c r="B281" s="643" t="s">
        <v>237</v>
      </c>
      <c r="C281" s="643"/>
      <c r="D281" s="643"/>
      <c r="E281" s="643"/>
      <c r="F281" s="643"/>
      <c r="G281" s="103">
        <f t="shared" ref="G281:L281" si="112">G282+G283</f>
        <v>0</v>
      </c>
      <c r="H281" s="103"/>
      <c r="I281" s="103"/>
      <c r="J281" s="103"/>
      <c r="K281" s="103"/>
      <c r="L281" s="103">
        <f t="shared" si="112"/>
        <v>0</v>
      </c>
      <c r="M281" s="103"/>
      <c r="N281" s="706"/>
      <c r="O281" s="1037"/>
    </row>
    <row r="282" spans="1:17" ht="24.6" hidden="1" customHeight="1">
      <c r="A282" s="1090"/>
      <c r="B282" s="643" t="s">
        <v>10</v>
      </c>
      <c r="C282" s="643"/>
      <c r="D282" s="643"/>
      <c r="E282" s="643"/>
      <c r="F282" s="643"/>
      <c r="G282" s="103"/>
      <c r="H282" s="103"/>
      <c r="I282" s="103"/>
      <c r="J282" s="103"/>
      <c r="K282" s="103"/>
      <c r="L282" s="103"/>
      <c r="M282" s="103"/>
      <c r="N282" s="706"/>
      <c r="O282" s="1037"/>
    </row>
    <row r="283" spans="1:17" ht="24.6" hidden="1" customHeight="1">
      <c r="A283" s="1090"/>
      <c r="B283" s="643" t="s">
        <v>34</v>
      </c>
      <c r="C283" s="643"/>
      <c r="D283" s="643"/>
      <c r="E283" s="643"/>
      <c r="F283" s="643"/>
      <c r="G283" s="103"/>
      <c r="H283" s="103"/>
      <c r="I283" s="103"/>
      <c r="J283" s="103"/>
      <c r="K283" s="103"/>
      <c r="L283" s="103"/>
      <c r="M283" s="103"/>
      <c r="N283" s="706"/>
      <c r="O283" s="1037"/>
    </row>
    <row r="284" spans="1:17" ht="24.95" hidden="1" customHeight="1">
      <c r="A284" s="1091" t="s">
        <v>345</v>
      </c>
      <c r="B284" s="643" t="s">
        <v>89</v>
      </c>
      <c r="C284" s="643">
        <v>176</v>
      </c>
      <c r="D284" s="643" t="s">
        <v>15</v>
      </c>
      <c r="E284" s="643">
        <v>6100404</v>
      </c>
      <c r="F284" s="643">
        <v>414</v>
      </c>
      <c r="G284" s="103">
        <f>K284</f>
        <v>0</v>
      </c>
      <c r="H284" s="103"/>
      <c r="I284" s="103"/>
      <c r="J284" s="103"/>
      <c r="K284" s="103"/>
      <c r="L284" s="103"/>
      <c r="M284" s="103"/>
      <c r="N284" s="706"/>
      <c r="O284" s="1037" t="s">
        <v>214</v>
      </c>
    </row>
    <row r="285" spans="1:17" ht="24.95" hidden="1" customHeight="1">
      <c r="A285" s="1091"/>
      <c r="B285" s="643" t="s">
        <v>237</v>
      </c>
      <c r="C285" s="643"/>
      <c r="D285" s="643"/>
      <c r="E285" s="643"/>
      <c r="F285" s="643"/>
      <c r="G285" s="103">
        <f>G286+G287</f>
        <v>0</v>
      </c>
      <c r="H285" s="103">
        <f t="shared" ref="H285:K285" si="113">H286+H287</f>
        <v>0</v>
      </c>
      <c r="I285" s="103">
        <f t="shared" si="113"/>
        <v>0</v>
      </c>
      <c r="J285" s="103">
        <f t="shared" si="113"/>
        <v>0</v>
      </c>
      <c r="K285" s="103">
        <f t="shared" si="113"/>
        <v>0</v>
      </c>
      <c r="L285" s="103">
        <f>L286+L287</f>
        <v>0</v>
      </c>
      <c r="M285" s="103"/>
      <c r="N285" s="706"/>
      <c r="O285" s="1037"/>
    </row>
    <row r="286" spans="1:17" ht="24.95" hidden="1" customHeight="1">
      <c r="A286" s="1091"/>
      <c r="B286" s="643" t="s">
        <v>10</v>
      </c>
      <c r="C286" s="643"/>
      <c r="D286" s="643"/>
      <c r="E286" s="643"/>
      <c r="F286" s="643"/>
      <c r="G286" s="103">
        <f>I286+J286+K286</f>
        <v>0</v>
      </c>
      <c r="H286" s="103"/>
      <c r="I286" s="103"/>
      <c r="J286" s="103"/>
      <c r="K286" s="103"/>
      <c r="L286" s="103"/>
      <c r="M286" s="103"/>
      <c r="N286" s="706"/>
      <c r="O286" s="1037"/>
    </row>
    <row r="287" spans="1:17" ht="0.6" customHeight="1">
      <c r="A287" s="1091"/>
      <c r="B287" s="643" t="s">
        <v>348</v>
      </c>
      <c r="C287" s="643"/>
      <c r="D287" s="643"/>
      <c r="E287" s="643"/>
      <c r="F287" s="643"/>
      <c r="G287" s="103"/>
      <c r="H287" s="103"/>
      <c r="I287" s="103"/>
      <c r="J287" s="103"/>
      <c r="K287" s="103"/>
      <c r="L287" s="103">
        <v>0</v>
      </c>
      <c r="M287" s="103"/>
      <c r="N287" s="706"/>
      <c r="O287" s="1037"/>
    </row>
    <row r="288" spans="1:17" ht="24.95" hidden="1" customHeight="1">
      <c r="A288" s="1039" t="s">
        <v>325</v>
      </c>
      <c r="B288" s="643" t="s">
        <v>89</v>
      </c>
      <c r="C288" s="643"/>
      <c r="D288" s="643"/>
      <c r="E288" s="643"/>
      <c r="F288" s="643"/>
      <c r="G288" s="103"/>
      <c r="H288" s="103"/>
      <c r="I288" s="103"/>
      <c r="J288" s="103"/>
      <c r="K288" s="103"/>
      <c r="L288" s="103"/>
      <c r="M288" s="103"/>
      <c r="N288" s="706"/>
      <c r="O288" s="1037" t="s">
        <v>221</v>
      </c>
    </row>
    <row r="289" spans="1:15" ht="24.95" hidden="1" customHeight="1">
      <c r="A289" s="1039"/>
      <c r="B289" s="643" t="s">
        <v>237</v>
      </c>
      <c r="C289" s="643"/>
      <c r="D289" s="643"/>
      <c r="E289" s="643"/>
      <c r="F289" s="643"/>
      <c r="G289" s="103">
        <f>G290</f>
        <v>0</v>
      </c>
      <c r="H289" s="103"/>
      <c r="I289" s="103"/>
      <c r="J289" s="103"/>
      <c r="K289" s="103"/>
      <c r="L289" s="103">
        <f>L291</f>
        <v>0</v>
      </c>
      <c r="M289" s="103">
        <f>M291</f>
        <v>0</v>
      </c>
      <c r="N289" s="706"/>
      <c r="O289" s="1037"/>
    </row>
    <row r="290" spans="1:15" ht="27.6" hidden="1" customHeight="1">
      <c r="A290" s="1039"/>
      <c r="B290" s="643" t="s">
        <v>10</v>
      </c>
      <c r="C290" s="643"/>
      <c r="D290" s="643"/>
      <c r="E290" s="643"/>
      <c r="F290" s="643"/>
      <c r="G290" s="103"/>
      <c r="H290" s="103"/>
      <c r="I290" s="103"/>
      <c r="J290" s="103"/>
      <c r="K290" s="103"/>
      <c r="L290" s="103"/>
      <c r="M290" s="103"/>
      <c r="N290" s="706"/>
      <c r="O290" s="1037"/>
    </row>
    <row r="291" spans="1:15" ht="0.6" hidden="1" customHeight="1">
      <c r="A291" s="1039"/>
      <c r="B291" s="643" t="s">
        <v>348</v>
      </c>
      <c r="C291" s="643"/>
      <c r="D291" s="643"/>
      <c r="E291" s="643"/>
      <c r="F291" s="643"/>
      <c r="G291" s="103"/>
      <c r="H291" s="103"/>
      <c r="I291" s="103"/>
      <c r="J291" s="103"/>
      <c r="K291" s="103"/>
      <c r="L291" s="103"/>
      <c r="M291" s="103"/>
      <c r="N291" s="706"/>
      <c r="O291" s="1037"/>
    </row>
    <row r="292" spans="1:15" ht="24.6" hidden="1" customHeight="1">
      <c r="A292" s="1039" t="s">
        <v>346</v>
      </c>
      <c r="B292" s="643" t="s">
        <v>89</v>
      </c>
      <c r="C292" s="643"/>
      <c r="D292" s="643"/>
      <c r="E292" s="643"/>
      <c r="F292" s="643"/>
      <c r="G292" s="103"/>
      <c r="H292" s="103"/>
      <c r="I292" s="103"/>
      <c r="J292" s="103"/>
      <c r="K292" s="103"/>
      <c r="L292" s="103"/>
      <c r="M292" s="114"/>
      <c r="N292" s="706"/>
      <c r="O292" s="1037" t="s">
        <v>328</v>
      </c>
    </row>
    <row r="293" spans="1:15" ht="24.6" hidden="1" customHeight="1">
      <c r="A293" s="1039"/>
      <c r="B293" s="643" t="s">
        <v>237</v>
      </c>
      <c r="C293" s="643"/>
      <c r="D293" s="643"/>
      <c r="E293" s="643"/>
      <c r="F293" s="643"/>
      <c r="G293" s="103"/>
      <c r="H293" s="103"/>
      <c r="I293" s="103"/>
      <c r="J293" s="103"/>
      <c r="K293" s="103"/>
      <c r="L293" s="103">
        <f>L296+L294+L295</f>
        <v>0</v>
      </c>
      <c r="M293" s="103"/>
      <c r="N293" s="706"/>
      <c r="O293" s="1037"/>
    </row>
    <row r="294" spans="1:15" ht="24.6" hidden="1" customHeight="1">
      <c r="A294" s="1039"/>
      <c r="B294" s="643" t="s">
        <v>10</v>
      </c>
      <c r="C294" s="643"/>
      <c r="D294" s="643"/>
      <c r="E294" s="643"/>
      <c r="F294" s="643"/>
      <c r="G294" s="103"/>
      <c r="H294" s="103"/>
      <c r="I294" s="103"/>
      <c r="J294" s="103"/>
      <c r="K294" s="103"/>
      <c r="L294" s="103">
        <v>0</v>
      </c>
      <c r="M294" s="103"/>
      <c r="N294" s="706"/>
      <c r="O294" s="1037"/>
    </row>
    <row r="295" spans="1:15" ht="24.6" hidden="1" customHeight="1">
      <c r="A295" s="1039"/>
      <c r="B295" s="643" t="s">
        <v>348</v>
      </c>
      <c r="C295" s="643"/>
      <c r="D295" s="643"/>
      <c r="E295" s="643"/>
      <c r="F295" s="643"/>
      <c r="G295" s="103"/>
      <c r="H295" s="103"/>
      <c r="I295" s="103"/>
      <c r="J295" s="103"/>
      <c r="K295" s="103"/>
      <c r="L295" s="103"/>
      <c r="M295" s="103"/>
      <c r="N295" s="706"/>
      <c r="O295" s="1037"/>
    </row>
    <row r="296" spans="1:15" ht="24.6" hidden="1" customHeight="1">
      <c r="A296" s="1039"/>
      <c r="B296" s="643" t="s">
        <v>34</v>
      </c>
      <c r="C296" s="643"/>
      <c r="D296" s="643"/>
      <c r="E296" s="643"/>
      <c r="F296" s="643"/>
      <c r="G296" s="103"/>
      <c r="H296" s="103"/>
      <c r="I296" s="103"/>
      <c r="J296" s="103"/>
      <c r="K296" s="103"/>
      <c r="L296" s="103">
        <v>0</v>
      </c>
      <c r="M296" s="103"/>
      <c r="N296" s="706"/>
      <c r="O296" s="1037"/>
    </row>
    <row r="297" spans="1:15" ht="23.45" customHeight="1">
      <c r="A297" s="1128" t="s">
        <v>531</v>
      </c>
      <c r="B297" s="734" t="s">
        <v>89</v>
      </c>
      <c r="C297" s="734"/>
      <c r="D297" s="734"/>
      <c r="E297" s="734"/>
      <c r="F297" s="734"/>
      <c r="G297" s="735"/>
      <c r="H297" s="735"/>
      <c r="I297" s="735"/>
      <c r="J297" s="735"/>
      <c r="K297" s="745">
        <v>1.3</v>
      </c>
      <c r="L297" s="736"/>
      <c r="M297" s="732"/>
      <c r="N297" s="733"/>
      <c r="O297" s="1037" t="s">
        <v>796</v>
      </c>
    </row>
    <row r="298" spans="1:15" ht="24.6" customHeight="1">
      <c r="A298" s="1129"/>
      <c r="B298" s="734" t="s">
        <v>237</v>
      </c>
      <c r="C298" s="734"/>
      <c r="D298" s="734"/>
      <c r="E298" s="734"/>
      <c r="F298" s="734"/>
      <c r="G298" s="735">
        <f>G299+G300</f>
        <v>65000</v>
      </c>
      <c r="H298" s="735"/>
      <c r="I298" s="735"/>
      <c r="J298" s="735"/>
      <c r="K298" s="745">
        <f>K299+K300</f>
        <v>65000</v>
      </c>
      <c r="L298" s="735">
        <f>L299+L300</f>
        <v>0</v>
      </c>
      <c r="M298" s="732">
        <f>M299+M300</f>
        <v>0</v>
      </c>
      <c r="N298" s="733"/>
      <c r="O298" s="1037"/>
    </row>
    <row r="299" spans="1:15" ht="24.6" customHeight="1">
      <c r="A299" s="1129"/>
      <c r="B299" s="734" t="s">
        <v>10</v>
      </c>
      <c r="C299" s="734"/>
      <c r="D299" s="734"/>
      <c r="E299" s="734"/>
      <c r="F299" s="734"/>
      <c r="G299" s="735">
        <f>K299</f>
        <v>37000</v>
      </c>
      <c r="H299" s="735"/>
      <c r="I299" s="735"/>
      <c r="J299" s="735"/>
      <c r="K299" s="745">
        <v>37000</v>
      </c>
      <c r="L299" s="735"/>
      <c r="M299" s="732"/>
      <c r="N299" s="733"/>
      <c r="O299" s="1037"/>
    </row>
    <row r="300" spans="1:15" ht="24.6" customHeight="1">
      <c r="A300" s="1130"/>
      <c r="B300" s="734" t="s">
        <v>443</v>
      </c>
      <c r="C300" s="734"/>
      <c r="D300" s="734"/>
      <c r="E300" s="734"/>
      <c r="F300" s="734"/>
      <c r="G300" s="735">
        <f>K300</f>
        <v>28000</v>
      </c>
      <c r="H300" s="735"/>
      <c r="I300" s="735"/>
      <c r="J300" s="735"/>
      <c r="K300" s="745">
        <v>28000</v>
      </c>
      <c r="L300" s="735"/>
      <c r="M300" s="732"/>
      <c r="N300" s="733"/>
      <c r="O300" s="1037"/>
    </row>
    <row r="301" spans="1:15" ht="24.95" hidden="1" customHeight="1">
      <c r="A301" s="1028" t="s">
        <v>307</v>
      </c>
      <c r="B301" s="643" t="s">
        <v>89</v>
      </c>
      <c r="C301" s="643">
        <v>176</v>
      </c>
      <c r="D301" s="643" t="s">
        <v>15</v>
      </c>
      <c r="E301" s="643">
        <v>6100404</v>
      </c>
      <c r="F301" s="643">
        <v>414</v>
      </c>
      <c r="G301" s="103"/>
      <c r="H301" s="103"/>
      <c r="I301" s="103"/>
      <c r="J301" s="103"/>
      <c r="K301" s="103"/>
      <c r="L301" s="103"/>
      <c r="M301" s="103"/>
      <c r="N301" s="706"/>
      <c r="O301" s="1037" t="s">
        <v>347</v>
      </c>
    </row>
    <row r="302" spans="1:15" ht="24.95" hidden="1" customHeight="1">
      <c r="A302" s="1036"/>
      <c r="B302" s="643" t="s">
        <v>237</v>
      </c>
      <c r="C302" s="643"/>
      <c r="D302" s="643"/>
      <c r="E302" s="643"/>
      <c r="F302" s="643"/>
      <c r="G302" s="103"/>
      <c r="H302" s="103"/>
      <c r="I302" s="103"/>
      <c r="J302" s="103">
        <f>J303</f>
        <v>0</v>
      </c>
      <c r="K302" s="103"/>
      <c r="L302" s="103">
        <f t="shared" ref="L302" si="114">L303+L304</f>
        <v>0</v>
      </c>
      <c r="M302" s="103"/>
      <c r="N302" s="706"/>
      <c r="O302" s="1037"/>
    </row>
    <row r="303" spans="1:15" ht="24.95" hidden="1" customHeight="1">
      <c r="A303" s="1036"/>
      <c r="B303" s="643" t="s">
        <v>10</v>
      </c>
      <c r="C303" s="643"/>
      <c r="D303" s="643"/>
      <c r="E303" s="643"/>
      <c r="F303" s="643"/>
      <c r="G303" s="103">
        <f>H303+I303+J303</f>
        <v>0</v>
      </c>
      <c r="H303" s="103"/>
      <c r="I303" s="103"/>
      <c r="J303" s="103"/>
      <c r="K303" s="103"/>
      <c r="L303" s="103"/>
      <c r="M303" s="103"/>
      <c r="N303" s="706"/>
      <c r="O303" s="1037"/>
    </row>
    <row r="304" spans="1:15" ht="0.6" customHeight="1">
      <c r="A304" s="1029"/>
      <c r="B304" s="643" t="s">
        <v>34</v>
      </c>
      <c r="C304" s="643"/>
      <c r="D304" s="643"/>
      <c r="E304" s="643"/>
      <c r="F304" s="643"/>
      <c r="G304" s="103"/>
      <c r="H304" s="103"/>
      <c r="I304" s="103"/>
      <c r="J304" s="103"/>
      <c r="K304" s="103"/>
      <c r="L304" s="103"/>
      <c r="M304" s="103"/>
      <c r="N304" s="706"/>
      <c r="O304" s="1037"/>
    </row>
    <row r="305" spans="1:61" ht="24.6" customHeight="1">
      <c r="A305" s="1039" t="s">
        <v>853</v>
      </c>
      <c r="B305" s="643" t="s">
        <v>89</v>
      </c>
      <c r="C305" s="643">
        <v>176</v>
      </c>
      <c r="D305" s="643" t="s">
        <v>15</v>
      </c>
      <c r="E305" s="643">
        <v>6100404</v>
      </c>
      <c r="F305" s="643">
        <v>414</v>
      </c>
      <c r="G305" s="103">
        <v>0</v>
      </c>
      <c r="H305" s="103"/>
      <c r="I305" s="103"/>
      <c r="J305" s="103"/>
      <c r="K305" s="103"/>
      <c r="L305" s="103"/>
      <c r="M305" s="114">
        <v>1</v>
      </c>
      <c r="N305" s="706"/>
      <c r="O305" s="1037" t="s">
        <v>930</v>
      </c>
    </row>
    <row r="306" spans="1:61" ht="24.6" customHeight="1">
      <c r="A306" s="1039"/>
      <c r="B306" s="643" t="s">
        <v>237</v>
      </c>
      <c r="C306" s="643"/>
      <c r="D306" s="643"/>
      <c r="E306" s="643"/>
      <c r="F306" s="643"/>
      <c r="G306" s="103">
        <f t="shared" ref="G306:M306" si="115">G307+G308</f>
        <v>0</v>
      </c>
      <c r="H306" s="103"/>
      <c r="I306" s="103"/>
      <c r="J306" s="103"/>
      <c r="K306" s="103"/>
      <c r="L306" s="103">
        <f t="shared" si="115"/>
        <v>310000</v>
      </c>
      <c r="M306" s="103">
        <f t="shared" si="115"/>
        <v>320000</v>
      </c>
      <c r="N306" s="706"/>
      <c r="O306" s="1037"/>
      <c r="S306" s="46"/>
    </row>
    <row r="307" spans="1:61" ht="24.6" customHeight="1">
      <c r="A307" s="1039"/>
      <c r="B307" s="643" t="s">
        <v>10</v>
      </c>
      <c r="C307" s="643"/>
      <c r="D307" s="643"/>
      <c r="E307" s="643"/>
      <c r="F307" s="643"/>
      <c r="G307" s="103"/>
      <c r="H307" s="103"/>
      <c r="I307" s="103"/>
      <c r="J307" s="103"/>
      <c r="K307" s="103"/>
      <c r="L307" s="103">
        <v>310000</v>
      </c>
      <c r="M307" s="103">
        <v>320000</v>
      </c>
      <c r="N307" s="706"/>
      <c r="O307" s="1037"/>
      <c r="P307" s="46"/>
    </row>
    <row r="308" spans="1:61" ht="24.6" customHeight="1">
      <c r="A308" s="1039"/>
      <c r="B308" s="643" t="s">
        <v>34</v>
      </c>
      <c r="C308" s="643"/>
      <c r="D308" s="643"/>
      <c r="E308" s="643"/>
      <c r="F308" s="643"/>
      <c r="G308" s="103"/>
      <c r="H308" s="103"/>
      <c r="I308" s="103"/>
      <c r="J308" s="103"/>
      <c r="K308" s="103"/>
      <c r="L308" s="103"/>
      <c r="M308" s="103"/>
      <c r="N308" s="706"/>
      <c r="O308" s="1037"/>
    </row>
    <row r="309" spans="1:61" ht="24.95" hidden="1" customHeight="1">
      <c r="A309" s="1039" t="s">
        <v>245</v>
      </c>
      <c r="B309" s="643" t="s">
        <v>89</v>
      </c>
      <c r="C309" s="643"/>
      <c r="D309" s="643"/>
      <c r="E309" s="643"/>
      <c r="F309" s="643"/>
      <c r="G309" s="103"/>
      <c r="H309" s="103"/>
      <c r="I309" s="103"/>
      <c r="J309" s="103"/>
      <c r="K309" s="103"/>
      <c r="L309" s="103"/>
      <c r="M309" s="103"/>
      <c r="N309" s="706"/>
      <c r="O309" s="1037" t="s">
        <v>305</v>
      </c>
    </row>
    <row r="310" spans="1:61" ht="24.95" hidden="1" customHeight="1">
      <c r="A310" s="1039"/>
      <c r="B310" s="643" t="s">
        <v>237</v>
      </c>
      <c r="C310" s="643"/>
      <c r="D310" s="643"/>
      <c r="E310" s="643"/>
      <c r="F310" s="643"/>
      <c r="G310" s="103">
        <f>G312+G311</f>
        <v>0</v>
      </c>
      <c r="H310" s="103">
        <f t="shared" ref="H310:K310" si="116">H312+H313</f>
        <v>0</v>
      </c>
      <c r="I310" s="103">
        <f t="shared" si="116"/>
        <v>0</v>
      </c>
      <c r="J310" s="103">
        <f t="shared" si="116"/>
        <v>0</v>
      </c>
      <c r="K310" s="103">
        <f t="shared" si="116"/>
        <v>0</v>
      </c>
      <c r="L310" s="103">
        <f t="shared" ref="L310" si="117">L312+L313</f>
        <v>0</v>
      </c>
      <c r="M310" s="103"/>
      <c r="N310" s="706"/>
      <c r="O310" s="1037"/>
    </row>
    <row r="311" spans="1:61" ht="24.95" hidden="1" customHeight="1">
      <c r="A311" s="1039"/>
      <c r="B311" s="643" t="s">
        <v>461</v>
      </c>
      <c r="C311" s="643"/>
      <c r="D311" s="643"/>
      <c r="E311" s="643"/>
      <c r="F311" s="643"/>
      <c r="G311" s="103"/>
      <c r="H311" s="103"/>
      <c r="I311" s="103"/>
      <c r="J311" s="103"/>
      <c r="K311" s="103"/>
      <c r="L311" s="103"/>
      <c r="M311" s="103"/>
      <c r="N311" s="706"/>
      <c r="O311" s="1037"/>
    </row>
    <row r="312" spans="1:61" ht="24.95" hidden="1" customHeight="1">
      <c r="A312" s="1039"/>
      <c r="B312" s="643" t="s">
        <v>10</v>
      </c>
      <c r="C312" s="643"/>
      <c r="D312" s="643"/>
      <c r="E312" s="643"/>
      <c r="F312" s="643"/>
      <c r="G312" s="103">
        <f>H312+I312+J312+K312</f>
        <v>0</v>
      </c>
      <c r="H312" s="103"/>
      <c r="I312" s="103"/>
      <c r="J312" s="103"/>
      <c r="K312" s="103"/>
      <c r="L312" s="103"/>
      <c r="M312" s="103"/>
      <c r="N312" s="706"/>
      <c r="O312" s="1037"/>
    </row>
    <row r="313" spans="1:61" ht="23.45" hidden="1" customHeight="1">
      <c r="A313" s="1039"/>
      <c r="B313" s="643" t="s">
        <v>348</v>
      </c>
      <c r="C313" s="643"/>
      <c r="D313" s="643"/>
      <c r="E313" s="643"/>
      <c r="F313" s="643"/>
      <c r="G313" s="103">
        <v>0</v>
      </c>
      <c r="H313" s="103"/>
      <c r="I313" s="103"/>
      <c r="J313" s="103"/>
      <c r="K313" s="103"/>
      <c r="L313" s="103"/>
      <c r="M313" s="103"/>
      <c r="N313" s="706"/>
      <c r="O313" s="1037"/>
    </row>
    <row r="314" spans="1:61" ht="24.6" hidden="1" customHeight="1">
      <c r="A314" s="1028" t="s">
        <v>308</v>
      </c>
      <c r="B314" s="643" t="s">
        <v>89</v>
      </c>
      <c r="C314" s="643"/>
      <c r="D314" s="643"/>
      <c r="E314" s="643"/>
      <c r="F314" s="643"/>
      <c r="G314" s="103"/>
      <c r="H314" s="103"/>
      <c r="I314" s="103"/>
      <c r="J314" s="103"/>
      <c r="K314" s="103"/>
      <c r="L314" s="103"/>
      <c r="M314" s="103"/>
      <c r="N314" s="706"/>
      <c r="O314" s="1037" t="s">
        <v>440</v>
      </c>
    </row>
    <row r="315" spans="1:61" s="45" customFormat="1" ht="12.75" hidden="1" customHeight="1">
      <c r="A315" s="1036"/>
      <c r="B315" s="643" t="s">
        <v>237</v>
      </c>
      <c r="C315" s="643"/>
      <c r="D315" s="643"/>
      <c r="E315" s="643"/>
      <c r="F315" s="643"/>
      <c r="G315" s="103">
        <f>G316+G325</f>
        <v>0</v>
      </c>
      <c r="H315" s="103"/>
      <c r="I315" s="103"/>
      <c r="J315" s="103"/>
      <c r="K315" s="103"/>
      <c r="L315" s="103">
        <f>L317</f>
        <v>0</v>
      </c>
      <c r="M315" s="103">
        <f>M317</f>
        <v>0</v>
      </c>
      <c r="N315" s="706"/>
      <c r="O315" s="1037"/>
      <c r="AJ315" s="113"/>
      <c r="AK315" s="113"/>
      <c r="AL315" s="113"/>
      <c r="AM315" s="113"/>
      <c r="AN315" s="113"/>
      <c r="AO315" s="113"/>
      <c r="AP315" s="113"/>
      <c r="AQ315" s="113"/>
      <c r="AR315" s="113"/>
      <c r="AS315" s="113"/>
      <c r="AT315" s="113"/>
      <c r="AU315" s="113"/>
      <c r="AV315" s="113"/>
      <c r="AW315" s="113"/>
      <c r="AX315" s="113"/>
      <c r="AY315" s="113"/>
      <c r="AZ315" s="113"/>
      <c r="BA315" s="113"/>
      <c r="BB315" s="113"/>
      <c r="BC315" s="113"/>
      <c r="BD315" s="113"/>
      <c r="BE315" s="113"/>
      <c r="BF315" s="113"/>
      <c r="BG315" s="113"/>
      <c r="BH315" s="113"/>
      <c r="BI315" s="113"/>
    </row>
    <row r="316" spans="1:61" s="45" customFormat="1" ht="17.25" hidden="1" customHeight="1">
      <c r="A316" s="1036"/>
      <c r="B316" s="643" t="s">
        <v>10</v>
      </c>
      <c r="C316" s="643"/>
      <c r="D316" s="643"/>
      <c r="E316" s="643"/>
      <c r="F316" s="643"/>
      <c r="G316" s="103"/>
      <c r="H316" s="103"/>
      <c r="I316" s="103"/>
      <c r="J316" s="103"/>
      <c r="K316" s="103"/>
      <c r="L316" s="103"/>
      <c r="M316" s="103"/>
      <c r="N316" s="706"/>
      <c r="O316" s="1037"/>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c r="AN316" s="113"/>
      <c r="AO316" s="113"/>
      <c r="AP316" s="113"/>
      <c r="AQ316" s="113"/>
      <c r="AR316" s="113"/>
      <c r="AS316" s="113"/>
      <c r="AT316" s="113"/>
      <c r="AU316" s="113"/>
      <c r="AV316" s="113"/>
      <c r="AW316" s="113"/>
      <c r="AX316" s="113"/>
      <c r="AY316" s="113"/>
      <c r="AZ316" s="113"/>
      <c r="BA316" s="113"/>
      <c r="BB316" s="113"/>
      <c r="BC316" s="113"/>
      <c r="BD316" s="113"/>
      <c r="BE316" s="113"/>
      <c r="BF316" s="113"/>
      <c r="BG316" s="113"/>
      <c r="BH316" s="113"/>
      <c r="BI316" s="113"/>
    </row>
    <row r="317" spans="1:61" s="45" customFormat="1" ht="15.75" hidden="1" customHeight="1">
      <c r="A317" s="1029"/>
      <c r="B317" s="639" t="s">
        <v>34</v>
      </c>
      <c r="C317" s="639"/>
      <c r="D317" s="639"/>
      <c r="E317" s="639"/>
      <c r="F317" s="639"/>
      <c r="G317" s="121"/>
      <c r="H317" s="121"/>
      <c r="I317" s="121"/>
      <c r="J317" s="121"/>
      <c r="K317" s="121"/>
      <c r="L317" s="107">
        <v>0</v>
      </c>
      <c r="M317" s="107"/>
      <c r="N317" s="706"/>
      <c r="O317" s="1037"/>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c r="AN317" s="113"/>
      <c r="AO317" s="113"/>
      <c r="AP317" s="113"/>
      <c r="AQ317" s="113"/>
      <c r="AR317" s="113"/>
      <c r="AS317" s="113"/>
      <c r="AT317" s="113"/>
      <c r="AU317" s="113"/>
      <c r="AV317" s="113"/>
      <c r="AW317" s="113"/>
      <c r="AX317" s="113"/>
      <c r="AY317" s="113"/>
      <c r="AZ317" s="113"/>
      <c r="BA317" s="113"/>
      <c r="BB317" s="113"/>
      <c r="BC317" s="113"/>
      <c r="BD317" s="113"/>
      <c r="BE317" s="113"/>
      <c r="BF317" s="113"/>
      <c r="BG317" s="113"/>
      <c r="BH317" s="113"/>
      <c r="BI317" s="113"/>
    </row>
    <row r="318" spans="1:61" s="45" customFormat="1" ht="24.6" hidden="1" customHeight="1">
      <c r="A318" s="1028" t="s">
        <v>309</v>
      </c>
      <c r="B318" s="639" t="s">
        <v>89</v>
      </c>
      <c r="C318" s="639"/>
      <c r="D318" s="639"/>
      <c r="E318" s="639"/>
      <c r="F318" s="639"/>
      <c r="G318" s="107">
        <f>K318</f>
        <v>0</v>
      </c>
      <c r="H318" s="107"/>
      <c r="I318" s="107"/>
      <c r="J318" s="107"/>
      <c r="K318" s="107"/>
      <c r="L318" s="107"/>
      <c r="M318" s="107"/>
      <c r="N318" s="706"/>
      <c r="O318" s="1037" t="s">
        <v>491</v>
      </c>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c r="AN318" s="113"/>
      <c r="AO318" s="113"/>
      <c r="AP318" s="113"/>
      <c r="AQ318" s="113"/>
      <c r="AR318" s="113"/>
      <c r="AS318" s="113"/>
      <c r="AT318" s="113"/>
      <c r="AU318" s="113"/>
      <c r="AV318" s="113"/>
      <c r="AW318" s="113"/>
      <c r="AX318" s="113"/>
      <c r="AY318" s="113"/>
      <c r="AZ318" s="113"/>
      <c r="BA318" s="113"/>
      <c r="BB318" s="113"/>
      <c r="BC318" s="113"/>
      <c r="BD318" s="113"/>
      <c r="BE318" s="113"/>
      <c r="BF318" s="113"/>
      <c r="BG318" s="113"/>
      <c r="BH318" s="113"/>
      <c r="BI318" s="113"/>
    </row>
    <row r="319" spans="1:61" s="45" customFormat="1" ht="24.6" hidden="1" customHeight="1">
      <c r="A319" s="1036"/>
      <c r="B319" s="639" t="s">
        <v>237</v>
      </c>
      <c r="C319" s="639"/>
      <c r="D319" s="639"/>
      <c r="E319" s="639"/>
      <c r="F319" s="639"/>
      <c r="G319" s="107">
        <f t="shared" ref="G319:G320" si="118">K319</f>
        <v>0</v>
      </c>
      <c r="H319" s="107"/>
      <c r="I319" s="107"/>
      <c r="J319" s="107"/>
      <c r="K319" s="107">
        <f>K320</f>
        <v>0</v>
      </c>
      <c r="L319" s="107"/>
      <c r="M319" s="107">
        <f>M321</f>
        <v>0</v>
      </c>
      <c r="N319" s="706"/>
      <c r="O319" s="1037"/>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c r="AN319" s="113"/>
      <c r="AO319" s="113"/>
      <c r="AP319" s="113"/>
      <c r="AQ319" s="113"/>
      <c r="AR319" s="113"/>
      <c r="AS319" s="113"/>
      <c r="AT319" s="113"/>
      <c r="AU319" s="113"/>
      <c r="AV319" s="113"/>
      <c r="AW319" s="113"/>
      <c r="AX319" s="113"/>
      <c r="AY319" s="113"/>
      <c r="AZ319" s="113"/>
      <c r="BA319" s="113"/>
      <c r="BB319" s="113"/>
      <c r="BC319" s="113"/>
      <c r="BD319" s="113"/>
      <c r="BE319" s="113"/>
      <c r="BF319" s="113"/>
      <c r="BG319" s="113"/>
      <c r="BH319" s="113"/>
      <c r="BI319" s="113"/>
    </row>
    <row r="320" spans="1:61" s="45" customFormat="1" ht="24.6" hidden="1" customHeight="1">
      <c r="A320" s="1036"/>
      <c r="B320" s="639" t="s">
        <v>10</v>
      </c>
      <c r="C320" s="639"/>
      <c r="D320" s="639"/>
      <c r="E320" s="639"/>
      <c r="F320" s="639"/>
      <c r="G320" s="107">
        <f t="shared" si="118"/>
        <v>0</v>
      </c>
      <c r="H320" s="107"/>
      <c r="I320" s="107"/>
      <c r="J320" s="107"/>
      <c r="K320" s="107"/>
      <c r="L320" s="107"/>
      <c r="M320" s="107"/>
      <c r="N320" s="655"/>
      <c r="O320" s="1037"/>
      <c r="P320" s="113"/>
      <c r="Q320" s="113"/>
      <c r="R320" s="113"/>
      <c r="S320" s="113"/>
      <c r="T320" s="113"/>
      <c r="U320" s="113"/>
      <c r="V320" s="113"/>
      <c r="W320" s="113"/>
      <c r="X320" s="113"/>
      <c r="Y320" s="113"/>
      <c r="Z320" s="113"/>
      <c r="AA320" s="113"/>
      <c r="AB320" s="113"/>
      <c r="AC320" s="113"/>
      <c r="AD320" s="113"/>
      <c r="AE320" s="113"/>
      <c r="AF320" s="113"/>
      <c r="AG320" s="113"/>
      <c r="AH320" s="113"/>
      <c r="AI320" s="113"/>
      <c r="AJ320" s="113"/>
      <c r="AK320" s="113"/>
      <c r="AL320" s="113"/>
      <c r="AM320" s="113"/>
      <c r="AN320" s="113"/>
      <c r="AO320" s="113"/>
      <c r="AP320" s="113"/>
      <c r="AQ320" s="113"/>
      <c r="AR320" s="113"/>
      <c r="AS320" s="113"/>
      <c r="AT320" s="113"/>
      <c r="AU320" s="113"/>
      <c r="AV320" s="113"/>
      <c r="AW320" s="113"/>
      <c r="AX320" s="113"/>
      <c r="AY320" s="113"/>
      <c r="AZ320" s="113"/>
      <c r="BA320" s="113"/>
      <c r="BB320" s="113"/>
      <c r="BC320" s="113"/>
      <c r="BD320" s="113"/>
      <c r="BE320" s="113"/>
      <c r="BF320" s="113"/>
      <c r="BG320" s="113"/>
      <c r="BH320" s="113"/>
      <c r="BI320" s="113"/>
    </row>
    <row r="321" spans="1:64" s="110" customFormat="1" ht="24.6" hidden="1" customHeight="1">
      <c r="A321" s="1029"/>
      <c r="B321" s="643" t="s">
        <v>443</v>
      </c>
      <c r="C321" s="643"/>
      <c r="D321" s="643"/>
      <c r="E321" s="643"/>
      <c r="F321" s="643"/>
      <c r="G321" s="103"/>
      <c r="H321" s="103"/>
      <c r="I321" s="103"/>
      <c r="J321" s="103"/>
      <c r="K321" s="103"/>
      <c r="L321" s="103"/>
      <c r="M321" s="103"/>
      <c r="N321" s="706"/>
      <c r="O321" s="1037"/>
    </row>
    <row r="322" spans="1:64" s="45" customFormat="1" ht="24.6" hidden="1" customHeight="1">
      <c r="A322" s="1028" t="s">
        <v>511</v>
      </c>
      <c r="B322" s="640" t="s">
        <v>89</v>
      </c>
      <c r="C322" s="640"/>
      <c r="D322" s="640"/>
      <c r="E322" s="640"/>
      <c r="F322" s="640"/>
      <c r="G322" s="138">
        <f>K322</f>
        <v>0</v>
      </c>
      <c r="H322" s="138"/>
      <c r="I322" s="138"/>
      <c r="J322" s="138"/>
      <c r="K322" s="138"/>
      <c r="L322" s="138"/>
      <c r="M322" s="138"/>
      <c r="N322" s="77"/>
      <c r="O322" s="1037" t="s">
        <v>762</v>
      </c>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3"/>
      <c r="AL322" s="113"/>
      <c r="AM322" s="113"/>
      <c r="AN322" s="113"/>
      <c r="AO322" s="113"/>
      <c r="AP322" s="113"/>
      <c r="AQ322" s="113"/>
      <c r="AR322" s="113"/>
      <c r="AS322" s="113"/>
      <c r="AT322" s="113"/>
      <c r="AU322" s="113"/>
      <c r="AV322" s="113"/>
      <c r="AW322" s="113"/>
      <c r="AX322" s="113"/>
      <c r="AY322" s="113"/>
      <c r="AZ322" s="113"/>
      <c r="BA322" s="113"/>
      <c r="BB322" s="113"/>
      <c r="BC322" s="113"/>
      <c r="BD322" s="113"/>
      <c r="BE322" s="113"/>
      <c r="BF322" s="113"/>
      <c r="BG322" s="113"/>
      <c r="BH322" s="113"/>
      <c r="BI322" s="113"/>
    </row>
    <row r="323" spans="1:64" s="45" customFormat="1" ht="24.6" hidden="1" customHeight="1">
      <c r="A323" s="1036"/>
      <c r="B323" s="639" t="s">
        <v>237</v>
      </c>
      <c r="C323" s="639"/>
      <c r="D323" s="639"/>
      <c r="E323" s="639"/>
      <c r="F323" s="639"/>
      <c r="G323" s="107">
        <f t="shared" ref="G323:G324" si="119">K323</f>
        <v>0</v>
      </c>
      <c r="H323" s="107"/>
      <c r="I323" s="107"/>
      <c r="J323" s="107"/>
      <c r="K323" s="107">
        <f>K324</f>
        <v>0</v>
      </c>
      <c r="L323" s="107">
        <f>L324</f>
        <v>0</v>
      </c>
      <c r="M323" s="107">
        <f>M325</f>
        <v>0</v>
      </c>
      <c r="N323" s="706"/>
      <c r="O323" s="1037"/>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3"/>
      <c r="AL323" s="113"/>
      <c r="AM323" s="113"/>
      <c r="AN323" s="113"/>
      <c r="AO323" s="113"/>
      <c r="AP323" s="113"/>
      <c r="AQ323" s="113"/>
      <c r="AR323" s="113"/>
      <c r="AS323" s="113"/>
      <c r="AT323" s="113"/>
      <c r="AU323" s="113"/>
      <c r="AV323" s="113"/>
      <c r="AW323" s="113"/>
      <c r="AX323" s="113"/>
      <c r="AY323" s="113"/>
      <c r="AZ323" s="113"/>
      <c r="BA323" s="113"/>
      <c r="BB323" s="113"/>
      <c r="BC323" s="113"/>
      <c r="BD323" s="113"/>
      <c r="BE323" s="113"/>
      <c r="BF323" s="113"/>
      <c r="BG323" s="113"/>
      <c r="BH323" s="113"/>
      <c r="BI323" s="113"/>
    </row>
    <row r="324" spans="1:64" s="45" customFormat="1" ht="24.6" hidden="1" customHeight="1">
      <c r="A324" s="1036"/>
      <c r="B324" s="639" t="s">
        <v>10</v>
      </c>
      <c r="C324" s="639"/>
      <c r="D324" s="639"/>
      <c r="E324" s="639"/>
      <c r="F324" s="639"/>
      <c r="G324" s="107">
        <f t="shared" si="119"/>
        <v>0</v>
      </c>
      <c r="H324" s="107"/>
      <c r="I324" s="107"/>
      <c r="J324" s="107"/>
      <c r="K324" s="107"/>
      <c r="L324" s="107"/>
      <c r="M324" s="107"/>
      <c r="N324" s="706"/>
      <c r="O324" s="1037"/>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c r="AN324" s="113"/>
      <c r="AO324" s="113"/>
      <c r="AP324" s="113"/>
      <c r="AQ324" s="113"/>
      <c r="AR324" s="113"/>
      <c r="AS324" s="113"/>
      <c r="AT324" s="113"/>
      <c r="AU324" s="113"/>
      <c r="AV324" s="113"/>
      <c r="AW324" s="113"/>
      <c r="AX324" s="113"/>
      <c r="AY324" s="113"/>
      <c r="AZ324" s="113"/>
      <c r="BA324" s="113"/>
      <c r="BB324" s="113"/>
      <c r="BC324" s="113"/>
      <c r="BD324" s="113"/>
      <c r="BE324" s="113"/>
      <c r="BF324" s="113"/>
      <c r="BG324" s="113"/>
      <c r="BH324" s="113"/>
      <c r="BI324" s="113"/>
    </row>
    <row r="325" spans="1:64" s="110" customFormat="1" ht="24.6" hidden="1" customHeight="1">
      <c r="A325" s="1029"/>
      <c r="B325" s="643" t="s">
        <v>443</v>
      </c>
      <c r="C325" s="643"/>
      <c r="D325" s="643"/>
      <c r="E325" s="643"/>
      <c r="F325" s="643"/>
      <c r="G325" s="103"/>
      <c r="H325" s="103"/>
      <c r="I325" s="103"/>
      <c r="J325" s="103"/>
      <c r="K325" s="103"/>
      <c r="L325" s="103"/>
      <c r="M325" s="103"/>
      <c r="N325" s="706"/>
      <c r="O325" s="1037"/>
      <c r="P325" s="113"/>
      <c r="Q325" s="113"/>
      <c r="R325" s="113"/>
      <c r="S325" s="113"/>
      <c r="T325" s="113"/>
      <c r="U325" s="113"/>
      <c r="V325" s="113"/>
      <c r="W325" s="113"/>
      <c r="X325" s="113"/>
      <c r="Y325" s="113"/>
      <c r="Z325" s="113"/>
      <c r="AA325" s="113"/>
      <c r="AB325" s="113"/>
      <c r="AC325" s="113"/>
      <c r="AD325" s="113"/>
      <c r="AE325" s="113"/>
      <c r="AF325" s="113"/>
      <c r="AG325" s="113"/>
      <c r="AH325" s="113"/>
      <c r="AI325" s="113"/>
      <c r="AJ325" s="113"/>
      <c r="AK325" s="113"/>
      <c r="AL325" s="113"/>
      <c r="AM325" s="113"/>
      <c r="AN325" s="113"/>
      <c r="AO325" s="113"/>
      <c r="AP325" s="113"/>
      <c r="AQ325" s="113"/>
      <c r="AR325" s="113"/>
      <c r="AS325" s="113"/>
      <c r="AT325" s="113"/>
      <c r="AU325" s="113"/>
      <c r="AV325" s="113"/>
      <c r="AW325" s="113"/>
      <c r="AX325" s="113"/>
      <c r="AY325" s="113"/>
      <c r="AZ325" s="113"/>
      <c r="BA325" s="113"/>
      <c r="BB325" s="113"/>
      <c r="BC325" s="113"/>
      <c r="BD325" s="113"/>
      <c r="BE325" s="113"/>
      <c r="BF325" s="113"/>
      <c r="BG325" s="113"/>
      <c r="BH325" s="113"/>
      <c r="BI325" s="113"/>
      <c r="BJ325" s="113"/>
      <c r="BK325" s="113"/>
      <c r="BL325" s="112"/>
    </row>
    <row r="326" spans="1:64" s="45" customFormat="1" ht="24.6" hidden="1" customHeight="1">
      <c r="A326" s="1067" t="s">
        <v>104</v>
      </c>
      <c r="B326" s="62" t="s">
        <v>89</v>
      </c>
      <c r="C326" s="62"/>
      <c r="D326" s="62"/>
      <c r="E326" s="62"/>
      <c r="F326" s="62"/>
      <c r="G326" s="102">
        <f t="shared" ref="G326:L326" si="120">G330+G334</f>
        <v>0</v>
      </c>
      <c r="H326" s="102"/>
      <c r="I326" s="102"/>
      <c r="J326" s="102"/>
      <c r="K326" s="102"/>
      <c r="L326" s="102">
        <f t="shared" si="120"/>
        <v>0</v>
      </c>
      <c r="M326" s="102"/>
      <c r="N326" s="706"/>
      <c r="O326" s="709"/>
      <c r="AJ326" s="113"/>
      <c r="AK326" s="113"/>
      <c r="AL326" s="113"/>
      <c r="AM326" s="113"/>
      <c r="AN326" s="113"/>
      <c r="AO326" s="113"/>
      <c r="AP326" s="113"/>
      <c r="AQ326" s="113"/>
      <c r="AR326" s="113"/>
      <c r="AS326" s="113"/>
      <c r="AT326" s="113"/>
      <c r="AU326" s="113"/>
      <c r="AV326" s="113"/>
      <c r="AW326" s="113"/>
      <c r="AX326" s="113"/>
      <c r="AY326" s="113"/>
      <c r="AZ326" s="113"/>
      <c r="BA326" s="113"/>
      <c r="BB326" s="113"/>
      <c r="BC326" s="113"/>
      <c r="BD326" s="113"/>
      <c r="BE326" s="113"/>
      <c r="BF326" s="113"/>
      <c r="BG326" s="113"/>
      <c r="BH326" s="113"/>
      <c r="BI326" s="113"/>
    </row>
    <row r="327" spans="1:64" ht="24.6" hidden="1" customHeight="1">
      <c r="A327" s="1068"/>
      <c r="B327" s="62" t="s">
        <v>237</v>
      </c>
      <c r="C327" s="62"/>
      <c r="D327" s="62"/>
      <c r="E327" s="62"/>
      <c r="F327" s="62"/>
      <c r="G327" s="102">
        <f t="shared" ref="G327:L327" si="121">G328+G329</f>
        <v>0</v>
      </c>
      <c r="H327" s="102"/>
      <c r="I327" s="102"/>
      <c r="J327" s="102"/>
      <c r="K327" s="102"/>
      <c r="L327" s="102">
        <f t="shared" si="121"/>
        <v>0</v>
      </c>
      <c r="M327" s="102"/>
      <c r="N327" s="706"/>
      <c r="O327" s="709"/>
      <c r="V327" s="44">
        <v>55</v>
      </c>
    </row>
    <row r="328" spans="1:64" ht="28.15" hidden="1" customHeight="1">
      <c r="A328" s="1068"/>
      <c r="B328" s="62" t="s">
        <v>10</v>
      </c>
      <c r="C328" s="62"/>
      <c r="D328" s="62"/>
      <c r="E328" s="62"/>
      <c r="F328" s="62"/>
      <c r="G328" s="102"/>
      <c r="H328" s="102"/>
      <c r="I328" s="102"/>
      <c r="J328" s="102"/>
      <c r="K328" s="102"/>
      <c r="L328" s="102"/>
      <c r="M328" s="102"/>
      <c r="N328" s="706"/>
      <c r="O328" s="709"/>
    </row>
    <row r="329" spans="1:64" ht="24.6" hidden="1" customHeight="1">
      <c r="A329" s="1069"/>
      <c r="B329" s="62" t="s">
        <v>443</v>
      </c>
      <c r="C329" s="62"/>
      <c r="D329" s="62"/>
      <c r="E329" s="62"/>
      <c r="F329" s="62"/>
      <c r="G329" s="102">
        <f t="shared" ref="G329:L329" si="122">G337+G333</f>
        <v>0</v>
      </c>
      <c r="H329" s="102"/>
      <c r="I329" s="102"/>
      <c r="J329" s="102"/>
      <c r="K329" s="102"/>
      <c r="L329" s="102">
        <f t="shared" si="122"/>
        <v>0</v>
      </c>
      <c r="M329" s="102"/>
      <c r="N329" s="706"/>
      <c r="O329" s="709"/>
    </row>
    <row r="330" spans="1:64" ht="0.6" hidden="1" customHeight="1">
      <c r="A330" s="1065" t="s">
        <v>242</v>
      </c>
      <c r="B330" s="643" t="s">
        <v>89</v>
      </c>
      <c r="C330" s="643">
        <v>176</v>
      </c>
      <c r="D330" s="643" t="s">
        <v>15</v>
      </c>
      <c r="E330" s="643">
        <v>6100404</v>
      </c>
      <c r="F330" s="643">
        <v>414</v>
      </c>
      <c r="G330" s="103"/>
      <c r="H330" s="103"/>
      <c r="I330" s="103"/>
      <c r="J330" s="103"/>
      <c r="K330" s="103"/>
      <c r="L330" s="103">
        <v>0</v>
      </c>
      <c r="M330" s="103"/>
      <c r="N330" s="706"/>
      <c r="O330" s="1037" t="s">
        <v>514</v>
      </c>
    </row>
    <row r="331" spans="1:64" ht="24.6" hidden="1" customHeight="1">
      <c r="A331" s="1065"/>
      <c r="B331" s="643" t="s">
        <v>237</v>
      </c>
      <c r="C331" s="643"/>
      <c r="D331" s="643"/>
      <c r="E331" s="643"/>
      <c r="F331" s="643"/>
      <c r="G331" s="103"/>
      <c r="H331" s="103"/>
      <c r="I331" s="103"/>
      <c r="J331" s="103"/>
      <c r="K331" s="103"/>
      <c r="L331" s="103">
        <f>L333</f>
        <v>0</v>
      </c>
      <c r="M331" s="103"/>
      <c r="N331" s="706"/>
      <c r="O331" s="1037"/>
    </row>
    <row r="332" spans="1:64" ht="24.6" hidden="1" customHeight="1">
      <c r="A332" s="1065"/>
      <c r="B332" s="643" t="s">
        <v>10</v>
      </c>
      <c r="C332" s="643"/>
      <c r="D332" s="643"/>
      <c r="E332" s="643"/>
      <c r="F332" s="643"/>
      <c r="G332" s="103"/>
      <c r="H332" s="103"/>
      <c r="I332" s="103"/>
      <c r="J332" s="103"/>
      <c r="K332" s="103"/>
      <c r="L332" s="103"/>
      <c r="M332" s="103"/>
      <c r="N332" s="706"/>
      <c r="O332" s="1037"/>
    </row>
    <row r="333" spans="1:64" ht="24.6" hidden="1" customHeight="1">
      <c r="A333" s="1065"/>
      <c r="B333" s="643" t="s">
        <v>443</v>
      </c>
      <c r="C333" s="643"/>
      <c r="D333" s="643"/>
      <c r="E333" s="643"/>
      <c r="F333" s="643"/>
      <c r="G333" s="103"/>
      <c r="H333" s="103"/>
      <c r="I333" s="103"/>
      <c r="J333" s="103"/>
      <c r="K333" s="103"/>
      <c r="L333" s="103">
        <v>0</v>
      </c>
      <c r="M333" s="103"/>
      <c r="N333" s="706"/>
      <c r="O333" s="1037"/>
    </row>
    <row r="334" spans="1:64" ht="0.6" hidden="1" customHeight="1">
      <c r="A334" s="1065" t="s">
        <v>235</v>
      </c>
      <c r="B334" s="643" t="s">
        <v>89</v>
      </c>
      <c r="C334" s="643"/>
      <c r="D334" s="643"/>
      <c r="E334" s="643"/>
      <c r="F334" s="643"/>
      <c r="G334" s="103">
        <v>0</v>
      </c>
      <c r="H334" s="103"/>
      <c r="I334" s="103"/>
      <c r="J334" s="103"/>
      <c r="K334" s="103"/>
      <c r="L334" s="103"/>
      <c r="M334" s="103"/>
      <c r="N334" s="706"/>
      <c r="O334" s="1037" t="s">
        <v>518</v>
      </c>
    </row>
    <row r="335" spans="1:64" ht="24.6" hidden="1" customHeight="1">
      <c r="A335" s="1065"/>
      <c r="B335" s="643" t="s">
        <v>237</v>
      </c>
      <c r="C335" s="643"/>
      <c r="D335" s="643"/>
      <c r="E335" s="643"/>
      <c r="F335" s="643"/>
      <c r="G335" s="103">
        <f>G337</f>
        <v>0</v>
      </c>
      <c r="H335" s="103"/>
      <c r="I335" s="103"/>
      <c r="J335" s="103"/>
      <c r="K335" s="103"/>
      <c r="L335" s="103">
        <f>L337</f>
        <v>0</v>
      </c>
      <c r="M335" s="103"/>
      <c r="N335" s="706"/>
      <c r="O335" s="1037"/>
    </row>
    <row r="336" spans="1:64" ht="24.6" hidden="1" customHeight="1">
      <c r="A336" s="1065"/>
      <c r="B336" s="643" t="s">
        <v>10</v>
      </c>
      <c r="C336" s="643"/>
      <c r="D336" s="643"/>
      <c r="E336" s="643"/>
      <c r="F336" s="643"/>
      <c r="G336" s="103"/>
      <c r="H336" s="103"/>
      <c r="I336" s="103"/>
      <c r="J336" s="103"/>
      <c r="K336" s="103"/>
      <c r="L336" s="103"/>
      <c r="M336" s="103"/>
      <c r="N336" s="706"/>
      <c r="O336" s="1037"/>
    </row>
    <row r="337" spans="1:61" ht="24.6" hidden="1" customHeight="1">
      <c r="A337" s="1065"/>
      <c r="B337" s="643" t="s">
        <v>443</v>
      </c>
      <c r="C337" s="643"/>
      <c r="D337" s="643"/>
      <c r="E337" s="643"/>
      <c r="F337" s="643"/>
      <c r="G337" s="103"/>
      <c r="H337" s="103"/>
      <c r="I337" s="103"/>
      <c r="J337" s="103"/>
      <c r="K337" s="103"/>
      <c r="L337" s="103"/>
      <c r="M337" s="103"/>
      <c r="N337" s="706"/>
      <c r="O337" s="1037"/>
    </row>
    <row r="338" spans="1:61" ht="25.5" hidden="1" customHeight="1">
      <c r="A338" s="1038" t="s">
        <v>163</v>
      </c>
      <c r="B338" s="62" t="s">
        <v>89</v>
      </c>
      <c r="C338" s="643"/>
      <c r="D338" s="643"/>
      <c r="E338" s="643"/>
      <c r="F338" s="643"/>
      <c r="G338" s="102">
        <f t="shared" ref="G338:M338" si="123">G342</f>
        <v>0</v>
      </c>
      <c r="H338" s="102"/>
      <c r="I338" s="102"/>
      <c r="J338" s="102"/>
      <c r="K338" s="102"/>
      <c r="L338" s="102">
        <f t="shared" si="123"/>
        <v>0</v>
      </c>
      <c r="M338" s="102">
        <f t="shared" si="123"/>
        <v>0</v>
      </c>
      <c r="N338" s="706"/>
      <c r="O338" s="703"/>
    </row>
    <row r="339" spans="1:61" ht="24.6" hidden="1" customHeight="1">
      <c r="A339" s="1038"/>
      <c r="B339" s="62" t="s">
        <v>237</v>
      </c>
      <c r="C339" s="643"/>
      <c r="D339" s="643"/>
      <c r="E339" s="643"/>
      <c r="F339" s="643"/>
      <c r="G339" s="102">
        <f t="shared" ref="G339:M339" si="124">G340+G341</f>
        <v>0</v>
      </c>
      <c r="H339" s="102"/>
      <c r="I339" s="102"/>
      <c r="J339" s="102"/>
      <c r="K339" s="102"/>
      <c r="L339" s="102">
        <f t="shared" si="124"/>
        <v>0</v>
      </c>
      <c r="M339" s="102">
        <f t="shared" si="124"/>
        <v>0</v>
      </c>
      <c r="N339" s="706"/>
      <c r="O339" s="703"/>
    </row>
    <row r="340" spans="1:61" ht="24.6" hidden="1" customHeight="1">
      <c r="A340" s="1038"/>
      <c r="B340" s="62" t="s">
        <v>10</v>
      </c>
      <c r="C340" s="643"/>
      <c r="D340" s="643"/>
      <c r="E340" s="643"/>
      <c r="F340" s="643"/>
      <c r="G340" s="102"/>
      <c r="H340" s="102"/>
      <c r="I340" s="102"/>
      <c r="J340" s="102"/>
      <c r="K340" s="102"/>
      <c r="L340" s="102"/>
      <c r="M340" s="102"/>
      <c r="N340" s="706"/>
      <c r="O340" s="703"/>
    </row>
    <row r="341" spans="1:61" ht="24.6" hidden="1" customHeight="1">
      <c r="A341" s="1038"/>
      <c r="B341" s="62" t="s">
        <v>443</v>
      </c>
      <c r="C341" s="643"/>
      <c r="D341" s="643"/>
      <c r="E341" s="643"/>
      <c r="F341" s="643"/>
      <c r="G341" s="102">
        <f t="shared" ref="G341:M341" si="125">G345</f>
        <v>0</v>
      </c>
      <c r="H341" s="102"/>
      <c r="I341" s="102"/>
      <c r="J341" s="102"/>
      <c r="K341" s="102"/>
      <c r="L341" s="102">
        <f t="shared" si="125"/>
        <v>0</v>
      </c>
      <c r="M341" s="102">
        <f t="shared" si="125"/>
        <v>0</v>
      </c>
      <c r="N341" s="706"/>
      <c r="O341" s="703"/>
    </row>
    <row r="342" spans="1:61" ht="24.6" hidden="1" customHeight="1">
      <c r="A342" s="1065" t="s">
        <v>243</v>
      </c>
      <c r="B342" s="643" t="s">
        <v>89</v>
      </c>
      <c r="C342" s="643"/>
      <c r="D342" s="643"/>
      <c r="E342" s="643"/>
      <c r="F342" s="643"/>
      <c r="G342" s="103">
        <v>0</v>
      </c>
      <c r="H342" s="103"/>
      <c r="I342" s="103"/>
      <c r="J342" s="103"/>
      <c r="K342" s="103"/>
      <c r="L342" s="103"/>
      <c r="M342" s="103"/>
      <c r="N342" s="706"/>
      <c r="O342" s="1037" t="s">
        <v>515</v>
      </c>
    </row>
    <row r="343" spans="1:61" s="45" customFormat="1" ht="24.6" hidden="1" customHeight="1">
      <c r="A343" s="1065"/>
      <c r="B343" s="643" t="s">
        <v>237</v>
      </c>
      <c r="C343" s="643"/>
      <c r="D343" s="643"/>
      <c r="E343" s="643"/>
      <c r="F343" s="643"/>
      <c r="G343" s="103">
        <f t="shared" ref="G343:M343" si="126">G344+G345</f>
        <v>0</v>
      </c>
      <c r="H343" s="103"/>
      <c r="I343" s="103"/>
      <c r="J343" s="103"/>
      <c r="K343" s="103"/>
      <c r="L343" s="103">
        <f t="shared" si="126"/>
        <v>0</v>
      </c>
      <c r="M343" s="103">
        <f t="shared" si="126"/>
        <v>0</v>
      </c>
      <c r="N343" s="706"/>
      <c r="O343" s="1037"/>
      <c r="AJ343" s="113"/>
      <c r="AK343" s="113"/>
      <c r="AL343" s="113"/>
      <c r="AM343" s="113"/>
      <c r="AN343" s="113"/>
      <c r="AO343" s="113"/>
      <c r="AP343" s="113"/>
      <c r="AQ343" s="113"/>
      <c r="AR343" s="113"/>
      <c r="AS343" s="113"/>
      <c r="AT343" s="113"/>
      <c r="AU343" s="113"/>
      <c r="AV343" s="113"/>
      <c r="AW343" s="113"/>
      <c r="AX343" s="113"/>
      <c r="AY343" s="113"/>
      <c r="AZ343" s="113"/>
      <c r="BA343" s="113"/>
      <c r="BB343" s="113"/>
      <c r="BC343" s="113"/>
      <c r="BD343" s="113"/>
      <c r="BE343" s="113"/>
      <c r="BF343" s="113"/>
      <c r="BG343" s="113"/>
      <c r="BH343" s="113"/>
      <c r="BI343" s="113"/>
    </row>
    <row r="344" spans="1:61" s="45" customFormat="1" ht="24.6" hidden="1" customHeight="1">
      <c r="A344" s="1065"/>
      <c r="B344" s="643" t="s">
        <v>10</v>
      </c>
      <c r="C344" s="643"/>
      <c r="D344" s="643"/>
      <c r="E344" s="643"/>
      <c r="F344" s="643"/>
      <c r="G344" s="103"/>
      <c r="H344" s="103"/>
      <c r="I344" s="103"/>
      <c r="J344" s="103"/>
      <c r="K344" s="103"/>
      <c r="L344" s="103"/>
      <c r="M344" s="103"/>
      <c r="N344" s="706"/>
      <c r="O344" s="1037"/>
      <c r="AJ344" s="113"/>
      <c r="AK344" s="113"/>
      <c r="AL344" s="113"/>
      <c r="AM344" s="113"/>
      <c r="AN344" s="113"/>
      <c r="AO344" s="113"/>
      <c r="AP344" s="113"/>
      <c r="AQ344" s="113"/>
      <c r="AR344" s="113"/>
      <c r="AS344" s="113"/>
      <c r="AT344" s="113"/>
      <c r="AU344" s="113"/>
      <c r="AV344" s="113"/>
      <c r="AW344" s="113"/>
      <c r="AX344" s="113"/>
      <c r="AY344" s="113"/>
      <c r="AZ344" s="113"/>
      <c r="BA344" s="113"/>
      <c r="BB344" s="113"/>
      <c r="BC344" s="113"/>
      <c r="BD344" s="113"/>
      <c r="BE344" s="113"/>
      <c r="BF344" s="113"/>
      <c r="BG344" s="113"/>
      <c r="BH344" s="113"/>
      <c r="BI344" s="113"/>
    </row>
    <row r="345" spans="1:61" s="45" customFormat="1" ht="24.6" hidden="1" customHeight="1">
      <c r="A345" s="1065"/>
      <c r="B345" s="643" t="s">
        <v>443</v>
      </c>
      <c r="C345" s="643"/>
      <c r="D345" s="643"/>
      <c r="E345" s="643"/>
      <c r="F345" s="643"/>
      <c r="G345" s="103">
        <v>0</v>
      </c>
      <c r="H345" s="103"/>
      <c r="I345" s="103"/>
      <c r="J345" s="103"/>
      <c r="K345" s="103"/>
      <c r="L345" s="103"/>
      <c r="M345" s="103"/>
      <c r="N345" s="706"/>
      <c r="O345" s="1037"/>
      <c r="AJ345" s="113"/>
      <c r="AK345" s="113"/>
      <c r="AL345" s="113"/>
      <c r="AM345" s="113"/>
      <c r="AN345" s="113"/>
      <c r="AO345" s="113"/>
      <c r="AP345" s="113"/>
      <c r="AQ345" s="113"/>
      <c r="AR345" s="113"/>
      <c r="AS345" s="113"/>
      <c r="AT345" s="113"/>
      <c r="AU345" s="113"/>
      <c r="AV345" s="113"/>
      <c r="AW345" s="113"/>
      <c r="AX345" s="113"/>
      <c r="AY345" s="113"/>
      <c r="AZ345" s="113"/>
      <c r="BA345" s="113"/>
      <c r="BB345" s="113"/>
      <c r="BC345" s="113"/>
      <c r="BD345" s="113"/>
      <c r="BE345" s="113"/>
      <c r="BF345" s="113"/>
      <c r="BG345" s="113"/>
      <c r="BH345" s="113"/>
      <c r="BI345" s="113"/>
    </row>
    <row r="346" spans="1:61" s="45" customFormat="1" ht="24.95" hidden="1" customHeight="1">
      <c r="A346" s="1038" t="s">
        <v>105</v>
      </c>
      <c r="B346" s="62" t="s">
        <v>89</v>
      </c>
      <c r="C346" s="62"/>
      <c r="D346" s="62"/>
      <c r="E346" s="62"/>
      <c r="F346" s="62"/>
      <c r="G346" s="102">
        <f>+G358</f>
        <v>0</v>
      </c>
      <c r="H346" s="102">
        <f t="shared" ref="H346:K346" si="127">+H358</f>
        <v>0</v>
      </c>
      <c r="I346" s="102">
        <f t="shared" si="127"/>
        <v>0</v>
      </c>
      <c r="J346" s="102">
        <f t="shared" si="127"/>
        <v>0</v>
      </c>
      <c r="K346" s="102">
        <f t="shared" si="127"/>
        <v>0</v>
      </c>
      <c r="L346" s="102">
        <f t="shared" ref="L346:M346" si="128">+L358</f>
        <v>0</v>
      </c>
      <c r="M346" s="102">
        <f t="shared" si="128"/>
        <v>0</v>
      </c>
      <c r="N346" s="706"/>
      <c r="O346" s="709"/>
      <c r="AJ346" s="113"/>
      <c r="AK346" s="113"/>
      <c r="AL346" s="113"/>
      <c r="AM346" s="113"/>
      <c r="AN346" s="113"/>
      <c r="AO346" s="113"/>
      <c r="AP346" s="113"/>
      <c r="AQ346" s="113"/>
      <c r="AR346" s="113"/>
      <c r="AS346" s="113"/>
      <c r="AT346" s="113"/>
      <c r="AU346" s="113"/>
      <c r="AV346" s="113"/>
      <c r="AW346" s="113"/>
      <c r="AX346" s="113"/>
      <c r="AY346" s="113"/>
      <c r="AZ346" s="113"/>
      <c r="BA346" s="113"/>
      <c r="BB346" s="113"/>
      <c r="BC346" s="113"/>
      <c r="BD346" s="113"/>
      <c r="BE346" s="113"/>
      <c r="BF346" s="113"/>
      <c r="BG346" s="113"/>
      <c r="BH346" s="113"/>
      <c r="BI346" s="113"/>
    </row>
    <row r="347" spans="1:61" ht="24" hidden="1" customHeight="1">
      <c r="A347" s="1038"/>
      <c r="B347" s="62" t="s">
        <v>237</v>
      </c>
      <c r="C347" s="62"/>
      <c r="D347" s="62"/>
      <c r="E347" s="62"/>
      <c r="F347" s="62"/>
      <c r="G347" s="102">
        <f>G348+G349</f>
        <v>0</v>
      </c>
      <c r="H347" s="102">
        <f t="shared" ref="H347:K347" si="129">H348+H349</f>
        <v>0</v>
      </c>
      <c r="I347" s="102">
        <f t="shared" si="129"/>
        <v>0</v>
      </c>
      <c r="J347" s="102">
        <f t="shared" si="129"/>
        <v>0</v>
      </c>
      <c r="K347" s="102">
        <f t="shared" si="129"/>
        <v>0</v>
      </c>
      <c r="L347" s="102">
        <f t="shared" ref="L347:M347" si="130">L348+L349</f>
        <v>0</v>
      </c>
      <c r="M347" s="102">
        <f t="shared" si="130"/>
        <v>0</v>
      </c>
      <c r="N347" s="706"/>
      <c r="O347" s="709"/>
    </row>
    <row r="348" spans="1:61" ht="21" hidden="1" customHeight="1">
      <c r="A348" s="1038"/>
      <c r="B348" s="62" t="s">
        <v>10</v>
      </c>
      <c r="C348" s="62"/>
      <c r="D348" s="62"/>
      <c r="E348" s="62"/>
      <c r="F348" s="62"/>
      <c r="G348" s="102">
        <f>G360</f>
        <v>0</v>
      </c>
      <c r="H348" s="102">
        <f t="shared" ref="H348:K348" si="131">H360</f>
        <v>0</v>
      </c>
      <c r="I348" s="102">
        <f t="shared" si="131"/>
        <v>0</v>
      </c>
      <c r="J348" s="102">
        <f t="shared" si="131"/>
        <v>0</v>
      </c>
      <c r="K348" s="102">
        <f t="shared" si="131"/>
        <v>0</v>
      </c>
      <c r="L348" s="102">
        <f t="shared" ref="L348:M348" si="132">L360</f>
        <v>0</v>
      </c>
      <c r="M348" s="102">
        <f t="shared" si="132"/>
        <v>0</v>
      </c>
      <c r="N348" s="706"/>
      <c r="O348" s="709"/>
    </row>
    <row r="349" spans="1:61" ht="25.15" hidden="1" customHeight="1">
      <c r="A349" s="1038"/>
      <c r="B349" s="62" t="s">
        <v>443</v>
      </c>
      <c r="C349" s="62"/>
      <c r="D349" s="62"/>
      <c r="E349" s="62"/>
      <c r="F349" s="62"/>
      <c r="G349" s="102">
        <f>G361</f>
        <v>0</v>
      </c>
      <c r="H349" s="102"/>
      <c r="I349" s="102"/>
      <c r="J349" s="102"/>
      <c r="K349" s="102"/>
      <c r="L349" s="102">
        <f t="shared" ref="L349:M349" si="133">L361</f>
        <v>0</v>
      </c>
      <c r="M349" s="102">
        <f t="shared" si="133"/>
        <v>0</v>
      </c>
      <c r="N349" s="706"/>
      <c r="O349" s="709"/>
    </row>
    <row r="350" spans="1:61" ht="21.75" hidden="1" customHeight="1">
      <c r="A350" s="1070" t="s">
        <v>20</v>
      </c>
      <c r="B350" s="643" t="s">
        <v>89</v>
      </c>
      <c r="C350" s="643">
        <v>176</v>
      </c>
      <c r="D350" s="643" t="s">
        <v>15</v>
      </c>
      <c r="E350" s="643">
        <v>6100404</v>
      </c>
      <c r="F350" s="643">
        <v>414</v>
      </c>
      <c r="G350" s="103">
        <v>0</v>
      </c>
      <c r="H350" s="103"/>
      <c r="I350" s="103"/>
      <c r="J350" s="103"/>
      <c r="K350" s="103"/>
      <c r="L350" s="103"/>
      <c r="M350" s="103"/>
      <c r="N350" s="706"/>
      <c r="O350" s="1037" t="s">
        <v>197</v>
      </c>
    </row>
    <row r="351" spans="1:61" ht="24.95" hidden="1" customHeight="1">
      <c r="A351" s="1071"/>
      <c r="B351" s="643" t="s">
        <v>237</v>
      </c>
      <c r="C351" s="643"/>
      <c r="D351" s="643"/>
      <c r="E351" s="643"/>
      <c r="F351" s="643"/>
      <c r="G351" s="103">
        <f t="shared" ref="G351:L351" si="134">G352+G353</f>
        <v>0</v>
      </c>
      <c r="H351" s="103"/>
      <c r="I351" s="103"/>
      <c r="J351" s="103"/>
      <c r="K351" s="103"/>
      <c r="L351" s="103">
        <f t="shared" si="134"/>
        <v>0</v>
      </c>
      <c r="M351" s="103"/>
      <c r="N351" s="706"/>
      <c r="O351" s="1037"/>
    </row>
    <row r="352" spans="1:61" ht="28.5" hidden="1" customHeight="1">
      <c r="A352" s="1071"/>
      <c r="B352" s="643" t="s">
        <v>10</v>
      </c>
      <c r="C352" s="643"/>
      <c r="D352" s="643"/>
      <c r="E352" s="643"/>
      <c r="F352" s="643"/>
      <c r="G352" s="103"/>
      <c r="H352" s="103"/>
      <c r="I352" s="103"/>
      <c r="J352" s="103"/>
      <c r="K352" s="103"/>
      <c r="L352" s="103"/>
      <c r="M352" s="103"/>
      <c r="N352" s="706"/>
      <c r="O352" s="1037"/>
    </row>
    <row r="353" spans="1:61" ht="24.95" hidden="1" customHeight="1">
      <c r="A353" s="1072"/>
      <c r="B353" s="643" t="s">
        <v>34</v>
      </c>
      <c r="C353" s="643"/>
      <c r="D353" s="643"/>
      <c r="E353" s="643"/>
      <c r="F353" s="643"/>
      <c r="G353" s="103"/>
      <c r="H353" s="103"/>
      <c r="I353" s="103"/>
      <c r="J353" s="103"/>
      <c r="K353" s="103"/>
      <c r="L353" s="103"/>
      <c r="M353" s="103"/>
      <c r="N353" s="706"/>
      <c r="O353" s="1037"/>
    </row>
    <row r="354" spans="1:61" ht="24.6" hidden="1" customHeight="1">
      <c r="A354" s="1065" t="s">
        <v>222</v>
      </c>
      <c r="B354" s="643" t="s">
        <v>89</v>
      </c>
      <c r="C354" s="643"/>
      <c r="D354" s="643"/>
      <c r="E354" s="643"/>
      <c r="F354" s="643"/>
      <c r="G354" s="103"/>
      <c r="H354" s="103"/>
      <c r="I354" s="103"/>
      <c r="J354" s="103"/>
      <c r="K354" s="103"/>
      <c r="L354" s="103"/>
      <c r="M354" s="103"/>
      <c r="N354" s="706"/>
      <c r="O354" s="1037" t="s">
        <v>214</v>
      </c>
    </row>
    <row r="355" spans="1:61" s="45" customFormat="1" ht="24.6" hidden="1" customHeight="1">
      <c r="A355" s="1065"/>
      <c r="B355" s="643" t="s">
        <v>237</v>
      </c>
      <c r="C355" s="643"/>
      <c r="D355" s="643"/>
      <c r="E355" s="643"/>
      <c r="F355" s="643"/>
      <c r="G355" s="103">
        <f t="shared" ref="G355:L355" si="135">G356+G357</f>
        <v>0</v>
      </c>
      <c r="H355" s="103"/>
      <c r="I355" s="103"/>
      <c r="J355" s="103"/>
      <c r="K355" s="103"/>
      <c r="L355" s="103">
        <f t="shared" si="135"/>
        <v>0</v>
      </c>
      <c r="M355" s="103"/>
      <c r="N355" s="706"/>
      <c r="O355" s="1037"/>
      <c r="AJ355" s="113"/>
      <c r="AK355" s="113"/>
      <c r="AL355" s="113"/>
      <c r="AM355" s="113"/>
      <c r="AN355" s="113"/>
      <c r="AO355" s="113"/>
      <c r="AP355" s="113"/>
      <c r="AQ355" s="113"/>
      <c r="AR355" s="113"/>
      <c r="AS355" s="113"/>
      <c r="AT355" s="113"/>
      <c r="AU355" s="113"/>
      <c r="AV355" s="113"/>
      <c r="AW355" s="113"/>
      <c r="AX355" s="113"/>
      <c r="AY355" s="113"/>
      <c r="AZ355" s="113"/>
      <c r="BA355" s="113"/>
      <c r="BB355" s="113"/>
      <c r="BC355" s="113"/>
      <c r="BD355" s="113"/>
      <c r="BE355" s="113"/>
      <c r="BF355" s="113"/>
      <c r="BG355" s="113"/>
      <c r="BH355" s="113"/>
      <c r="BI355" s="113"/>
    </row>
    <row r="356" spans="1:61" s="45" customFormat="1" ht="24.6" hidden="1" customHeight="1">
      <c r="A356" s="1065"/>
      <c r="B356" s="643" t="s">
        <v>10</v>
      </c>
      <c r="C356" s="643"/>
      <c r="D356" s="643"/>
      <c r="E356" s="643"/>
      <c r="F356" s="643"/>
      <c r="G356" s="103"/>
      <c r="H356" s="103"/>
      <c r="I356" s="103"/>
      <c r="J356" s="103"/>
      <c r="K356" s="103"/>
      <c r="L356" s="103"/>
      <c r="M356" s="103"/>
      <c r="N356" s="706"/>
      <c r="O356" s="1037"/>
      <c r="AJ356" s="113"/>
      <c r="AK356" s="113"/>
      <c r="AL356" s="113"/>
      <c r="AM356" s="113"/>
      <c r="AN356" s="113"/>
      <c r="AO356" s="113"/>
      <c r="AP356" s="113"/>
      <c r="AQ356" s="113"/>
      <c r="AR356" s="113"/>
      <c r="AS356" s="113"/>
      <c r="AT356" s="113"/>
      <c r="AU356" s="113"/>
      <c r="AV356" s="113"/>
      <c r="AW356" s="113"/>
      <c r="AX356" s="113"/>
      <c r="AY356" s="113"/>
      <c r="AZ356" s="113"/>
      <c r="BA356" s="113"/>
      <c r="BB356" s="113"/>
      <c r="BC356" s="113"/>
      <c r="BD356" s="113"/>
      <c r="BE356" s="113"/>
      <c r="BF356" s="113"/>
      <c r="BG356" s="113"/>
      <c r="BH356" s="113"/>
      <c r="BI356" s="113"/>
    </row>
    <row r="357" spans="1:61" s="45" customFormat="1" ht="24.6" hidden="1" customHeight="1">
      <c r="A357" s="1065"/>
      <c r="B357" s="643" t="s">
        <v>34</v>
      </c>
      <c r="C357" s="643"/>
      <c r="D357" s="643"/>
      <c r="E357" s="643"/>
      <c r="F357" s="643"/>
      <c r="G357" s="103"/>
      <c r="H357" s="103"/>
      <c r="I357" s="103"/>
      <c r="J357" s="103"/>
      <c r="K357" s="103"/>
      <c r="L357" s="103"/>
      <c r="M357" s="103"/>
      <c r="N357" s="706"/>
      <c r="O357" s="1037"/>
      <c r="AJ357" s="113"/>
      <c r="AK357" s="113"/>
      <c r="AL357" s="113"/>
      <c r="AM357" s="113"/>
      <c r="AN357" s="113"/>
      <c r="AO357" s="113"/>
      <c r="AP357" s="113"/>
      <c r="AQ357" s="113"/>
      <c r="AR357" s="113"/>
      <c r="AS357" s="113"/>
      <c r="AT357" s="113"/>
      <c r="AU357" s="113"/>
      <c r="AV357" s="113"/>
      <c r="AW357" s="113"/>
      <c r="AX357" s="113"/>
      <c r="AY357" s="113"/>
      <c r="AZ357" s="113"/>
      <c r="BA357" s="113"/>
      <c r="BB357" s="113"/>
      <c r="BC357" s="113"/>
      <c r="BD357" s="113"/>
      <c r="BE357" s="113"/>
      <c r="BF357" s="113"/>
      <c r="BG357" s="113"/>
      <c r="BH357" s="113"/>
      <c r="BI357" s="113"/>
    </row>
    <row r="358" spans="1:61" s="45" customFormat="1" ht="24.95" hidden="1" customHeight="1">
      <c r="A358" s="1070" t="s">
        <v>310</v>
      </c>
      <c r="B358" s="643" t="s">
        <v>89</v>
      </c>
      <c r="C358" s="643"/>
      <c r="D358" s="643"/>
      <c r="E358" s="643"/>
      <c r="F358" s="643"/>
      <c r="G358" s="103">
        <f>K358</f>
        <v>0</v>
      </c>
      <c r="H358" s="103"/>
      <c r="I358" s="103"/>
      <c r="J358" s="103"/>
      <c r="K358" s="103"/>
      <c r="L358" s="103"/>
      <c r="M358" s="103"/>
      <c r="N358" s="706"/>
      <c r="O358" s="1037" t="s">
        <v>491</v>
      </c>
      <c r="AJ358" s="113"/>
      <c r="AK358" s="113"/>
      <c r="AL358" s="113"/>
      <c r="AM358" s="113"/>
      <c r="AN358" s="113"/>
      <c r="AO358" s="113"/>
      <c r="AP358" s="113"/>
      <c r="AQ358" s="113"/>
      <c r="AR358" s="113"/>
      <c r="AS358" s="113"/>
      <c r="AT358" s="113"/>
      <c r="AU358" s="113"/>
      <c r="AV358" s="113"/>
      <c r="AW358" s="113"/>
      <c r="AX358" s="113"/>
      <c r="AY358" s="113"/>
      <c r="AZ358" s="113"/>
      <c r="BA358" s="113"/>
      <c r="BB358" s="113"/>
      <c r="BC358" s="113"/>
      <c r="BD358" s="113"/>
      <c r="BE358" s="113"/>
      <c r="BF358" s="113"/>
      <c r="BG358" s="113"/>
      <c r="BH358" s="113"/>
      <c r="BI358" s="113"/>
    </row>
    <row r="359" spans="1:61" s="45" customFormat="1" ht="24.95" hidden="1" customHeight="1">
      <c r="A359" s="1071"/>
      <c r="B359" s="643" t="s">
        <v>237</v>
      </c>
      <c r="C359" s="643"/>
      <c r="D359" s="643"/>
      <c r="E359" s="643"/>
      <c r="F359" s="643"/>
      <c r="G359" s="103">
        <f>G360</f>
        <v>0</v>
      </c>
      <c r="H359" s="103">
        <f t="shared" ref="H359:K359" si="136">H360</f>
        <v>0</v>
      </c>
      <c r="I359" s="103">
        <f t="shared" si="136"/>
        <v>0</v>
      </c>
      <c r="J359" s="103">
        <f t="shared" si="136"/>
        <v>0</v>
      </c>
      <c r="K359" s="103">
        <f t="shared" si="136"/>
        <v>0</v>
      </c>
      <c r="L359" s="103">
        <f>L360</f>
        <v>0</v>
      </c>
      <c r="M359" s="103"/>
      <c r="N359" s="706"/>
      <c r="O359" s="1037"/>
      <c r="AJ359" s="113"/>
      <c r="AK359" s="113"/>
      <c r="AL359" s="113"/>
      <c r="AM359" s="113"/>
      <c r="AN359" s="113"/>
      <c r="AO359" s="113"/>
      <c r="AP359" s="113"/>
      <c r="AQ359" s="113"/>
      <c r="AR359" s="113"/>
      <c r="AS359" s="113"/>
      <c r="AT359" s="113"/>
      <c r="AU359" s="113"/>
      <c r="AV359" s="113"/>
      <c r="AW359" s="113"/>
      <c r="AX359" s="113"/>
      <c r="AY359" s="113"/>
      <c r="AZ359" s="113"/>
      <c r="BA359" s="113"/>
      <c r="BB359" s="113"/>
      <c r="BC359" s="113"/>
      <c r="BD359" s="113"/>
      <c r="BE359" s="113"/>
      <c r="BF359" s="113"/>
      <c r="BG359" s="113"/>
      <c r="BH359" s="113"/>
      <c r="BI359" s="113"/>
    </row>
    <row r="360" spans="1:61" s="45" customFormat="1" ht="24.95" hidden="1" customHeight="1">
      <c r="A360" s="1071"/>
      <c r="B360" s="643" t="s">
        <v>10</v>
      </c>
      <c r="C360" s="643"/>
      <c r="D360" s="643"/>
      <c r="E360" s="643"/>
      <c r="F360" s="643"/>
      <c r="G360" s="103">
        <f>J360+K360</f>
        <v>0</v>
      </c>
      <c r="H360" s="103"/>
      <c r="I360" s="103"/>
      <c r="J360" s="103"/>
      <c r="K360" s="103"/>
      <c r="L360" s="103"/>
      <c r="M360" s="103"/>
      <c r="N360" s="706"/>
      <c r="O360" s="1037"/>
      <c r="AJ360" s="113"/>
      <c r="AK360" s="113"/>
      <c r="AL360" s="113"/>
      <c r="AM360" s="113"/>
      <c r="AN360" s="113"/>
      <c r="AO360" s="113"/>
      <c r="AP360" s="113"/>
      <c r="AQ360" s="113"/>
      <c r="AR360" s="113"/>
      <c r="AS360" s="113"/>
      <c r="AT360" s="113"/>
      <c r="AU360" s="113"/>
      <c r="AV360" s="113"/>
      <c r="AW360" s="113"/>
      <c r="AX360" s="113"/>
      <c r="AY360" s="113"/>
      <c r="AZ360" s="113"/>
      <c r="BA360" s="113"/>
      <c r="BB360" s="113"/>
      <c r="BC360" s="113"/>
      <c r="BD360" s="113"/>
      <c r="BE360" s="113"/>
      <c r="BF360" s="113"/>
      <c r="BG360" s="113"/>
      <c r="BH360" s="113"/>
      <c r="BI360" s="113"/>
    </row>
    <row r="361" spans="1:61" s="45" customFormat="1" ht="24.95" hidden="1" customHeight="1">
      <c r="A361" s="1072"/>
      <c r="B361" s="643" t="s">
        <v>443</v>
      </c>
      <c r="C361" s="643"/>
      <c r="D361" s="643"/>
      <c r="E361" s="643"/>
      <c r="F361" s="643"/>
      <c r="G361" s="103"/>
      <c r="H361" s="103"/>
      <c r="I361" s="103"/>
      <c r="J361" s="103"/>
      <c r="K361" s="103"/>
      <c r="L361" s="103"/>
      <c r="M361" s="103"/>
      <c r="N361" s="706"/>
      <c r="O361" s="1037"/>
      <c r="AJ361" s="113"/>
      <c r="AK361" s="113"/>
      <c r="AL361" s="113"/>
      <c r="AM361" s="113"/>
      <c r="AN361" s="113"/>
      <c r="AO361" s="113"/>
      <c r="AP361" s="113"/>
      <c r="AQ361" s="113"/>
      <c r="AR361" s="113"/>
      <c r="AS361" s="113"/>
      <c r="AT361" s="113"/>
      <c r="AU361" s="113"/>
      <c r="AV361" s="113"/>
      <c r="AW361" s="113"/>
      <c r="AX361" s="113"/>
      <c r="AY361" s="113"/>
      <c r="AZ361" s="113"/>
      <c r="BA361" s="113"/>
      <c r="BB361" s="113"/>
      <c r="BC361" s="113"/>
      <c r="BD361" s="113"/>
      <c r="BE361" s="113"/>
      <c r="BF361" s="113"/>
      <c r="BG361" s="113"/>
      <c r="BH361" s="113"/>
      <c r="BI361" s="113"/>
    </row>
    <row r="362" spans="1:61" s="45" customFormat="1" ht="24.95" customHeight="1">
      <c r="A362" s="985" t="s">
        <v>106</v>
      </c>
      <c r="B362" s="62" t="s">
        <v>89</v>
      </c>
      <c r="C362" s="62"/>
      <c r="D362" s="62"/>
      <c r="E362" s="62"/>
      <c r="F362" s="62"/>
      <c r="G362" s="102">
        <f>G366+G370</f>
        <v>3.9</v>
      </c>
      <c r="H362" s="102">
        <f t="shared" ref="H362:K362" si="137">H366+H370</f>
        <v>0</v>
      </c>
      <c r="I362" s="102">
        <f t="shared" si="137"/>
        <v>0</v>
      </c>
      <c r="J362" s="102">
        <f t="shared" si="137"/>
        <v>0</v>
      </c>
      <c r="K362" s="102">
        <f t="shared" si="137"/>
        <v>3.9</v>
      </c>
      <c r="L362" s="102">
        <f>L366+L370</f>
        <v>0</v>
      </c>
      <c r="M362" s="102">
        <f>M366+M370</f>
        <v>0</v>
      </c>
      <c r="N362" s="706"/>
      <c r="O362" s="709"/>
      <c r="AJ362" s="113"/>
      <c r="AK362" s="113"/>
      <c r="AL362" s="113"/>
      <c r="AM362" s="113"/>
      <c r="AN362" s="113"/>
      <c r="AO362" s="113"/>
      <c r="AP362" s="113"/>
      <c r="AQ362" s="113"/>
      <c r="AR362" s="113"/>
      <c r="AS362" s="113"/>
      <c r="AT362" s="113"/>
      <c r="AU362" s="113"/>
      <c r="AV362" s="113"/>
      <c r="AW362" s="113"/>
      <c r="AX362" s="113"/>
      <c r="AY362" s="113"/>
      <c r="AZ362" s="113"/>
      <c r="BA362" s="113"/>
      <c r="BB362" s="113"/>
      <c r="BC362" s="113"/>
      <c r="BD362" s="113"/>
      <c r="BE362" s="113"/>
      <c r="BF362" s="113"/>
      <c r="BG362" s="113"/>
      <c r="BH362" s="113"/>
      <c r="BI362" s="113"/>
    </row>
    <row r="363" spans="1:61" ht="24.95" customHeight="1">
      <c r="A363" s="986"/>
      <c r="B363" s="62" t="s">
        <v>237</v>
      </c>
      <c r="C363" s="62"/>
      <c r="D363" s="62"/>
      <c r="E363" s="62"/>
      <c r="F363" s="62"/>
      <c r="G363" s="102">
        <f t="shared" ref="G363:M363" si="138">G365+G364</f>
        <v>115300</v>
      </c>
      <c r="H363" s="102">
        <f t="shared" si="138"/>
        <v>0</v>
      </c>
      <c r="I363" s="102">
        <f t="shared" si="138"/>
        <v>0</v>
      </c>
      <c r="J363" s="102">
        <f t="shared" si="138"/>
        <v>0</v>
      </c>
      <c r="K363" s="102">
        <f t="shared" si="138"/>
        <v>115300</v>
      </c>
      <c r="L363" s="102">
        <f t="shared" si="138"/>
        <v>0</v>
      </c>
      <c r="M363" s="102">
        <f t="shared" si="138"/>
        <v>0</v>
      </c>
      <c r="N363" s="706"/>
      <c r="O363" s="709"/>
    </row>
    <row r="364" spans="1:61" ht="24.95" customHeight="1">
      <c r="A364" s="986"/>
      <c r="B364" s="62" t="s">
        <v>10</v>
      </c>
      <c r="C364" s="62"/>
      <c r="D364" s="62"/>
      <c r="E364" s="62"/>
      <c r="F364" s="62"/>
      <c r="G364" s="102">
        <f t="shared" ref="G364:M365" si="139">G368+G372</f>
        <v>115300</v>
      </c>
      <c r="H364" s="102">
        <f t="shared" si="139"/>
        <v>0</v>
      </c>
      <c r="I364" s="102">
        <f t="shared" si="139"/>
        <v>0</v>
      </c>
      <c r="J364" s="102">
        <f t="shared" si="139"/>
        <v>0</v>
      </c>
      <c r="K364" s="102">
        <f t="shared" si="139"/>
        <v>115300</v>
      </c>
      <c r="L364" s="102">
        <f t="shared" si="139"/>
        <v>0</v>
      </c>
      <c r="M364" s="102">
        <f t="shared" si="139"/>
        <v>0</v>
      </c>
      <c r="N364" s="706"/>
      <c r="O364" s="709"/>
    </row>
    <row r="365" spans="1:61" ht="24.6" customHeight="1">
      <c r="A365" s="987"/>
      <c r="B365" s="62" t="s">
        <v>443</v>
      </c>
      <c r="C365" s="62"/>
      <c r="D365" s="62"/>
      <c r="E365" s="62"/>
      <c r="F365" s="62"/>
      <c r="G365" s="102">
        <f t="shared" si="139"/>
        <v>0</v>
      </c>
      <c r="H365" s="102">
        <f t="shared" si="139"/>
        <v>0</v>
      </c>
      <c r="I365" s="102">
        <f t="shared" si="139"/>
        <v>0</v>
      </c>
      <c r="J365" s="102">
        <f t="shared" si="139"/>
        <v>0</v>
      </c>
      <c r="K365" s="102">
        <f t="shared" si="139"/>
        <v>0</v>
      </c>
      <c r="L365" s="102">
        <f t="shared" si="139"/>
        <v>0</v>
      </c>
      <c r="M365" s="102">
        <f t="shared" si="139"/>
        <v>0</v>
      </c>
      <c r="N365" s="706"/>
      <c r="O365" s="709"/>
    </row>
    <row r="366" spans="1:61" ht="0.6" customHeight="1">
      <c r="A366" s="1065" t="s">
        <v>21</v>
      </c>
      <c r="B366" s="650" t="s">
        <v>89</v>
      </c>
      <c r="C366" s="650">
        <v>176</v>
      </c>
      <c r="D366" s="650" t="s">
        <v>15</v>
      </c>
      <c r="E366" s="650">
        <v>6100404</v>
      </c>
      <c r="F366" s="650">
        <v>414</v>
      </c>
      <c r="G366" s="104"/>
      <c r="H366" s="104"/>
      <c r="I366" s="104"/>
      <c r="J366" s="104"/>
      <c r="K366" s="104"/>
      <c r="L366" s="104"/>
      <c r="M366" s="104"/>
      <c r="N366" s="706"/>
      <c r="O366" s="1074" t="s">
        <v>200</v>
      </c>
    </row>
    <row r="367" spans="1:61" ht="24.6" hidden="1" customHeight="1">
      <c r="A367" s="1065"/>
      <c r="B367" s="650" t="s">
        <v>237</v>
      </c>
      <c r="C367" s="650"/>
      <c r="D367" s="650"/>
      <c r="E367" s="650"/>
      <c r="F367" s="650"/>
      <c r="G367" s="104">
        <f t="shared" ref="G367:L367" si="140">G368+G369</f>
        <v>0</v>
      </c>
      <c r="H367" s="104"/>
      <c r="I367" s="104"/>
      <c r="J367" s="104"/>
      <c r="K367" s="104"/>
      <c r="L367" s="104">
        <f t="shared" si="140"/>
        <v>0</v>
      </c>
      <c r="M367" s="104"/>
      <c r="N367" s="706"/>
      <c r="O367" s="1074"/>
    </row>
    <row r="368" spans="1:61" ht="24.6" hidden="1" customHeight="1">
      <c r="A368" s="1065"/>
      <c r="B368" s="650" t="s">
        <v>10</v>
      </c>
      <c r="C368" s="650"/>
      <c r="D368" s="650"/>
      <c r="E368" s="650"/>
      <c r="F368" s="650"/>
      <c r="G368" s="104"/>
      <c r="H368" s="104"/>
      <c r="I368" s="104"/>
      <c r="J368" s="104"/>
      <c r="K368" s="104"/>
      <c r="L368" s="104"/>
      <c r="M368" s="104"/>
      <c r="N368" s="706"/>
      <c r="O368" s="1074"/>
    </row>
    <row r="369" spans="1:61" ht="24.6" hidden="1" customHeight="1">
      <c r="A369" s="1065"/>
      <c r="B369" s="650" t="s">
        <v>34</v>
      </c>
      <c r="C369" s="650"/>
      <c r="D369" s="650"/>
      <c r="E369" s="650"/>
      <c r="F369" s="650"/>
      <c r="G369" s="104"/>
      <c r="H369" s="104"/>
      <c r="I369" s="104"/>
      <c r="J369" s="104"/>
      <c r="K369" s="104"/>
      <c r="L369" s="104"/>
      <c r="M369" s="104"/>
      <c r="N369" s="706"/>
      <c r="O369" s="1074"/>
    </row>
    <row r="370" spans="1:61" ht="24" customHeight="1">
      <c r="A370" s="1065" t="s">
        <v>311</v>
      </c>
      <c r="B370" s="643" t="s">
        <v>89</v>
      </c>
      <c r="C370" s="643"/>
      <c r="D370" s="643"/>
      <c r="E370" s="643"/>
      <c r="F370" s="643"/>
      <c r="G370" s="103">
        <f>K370</f>
        <v>3.9</v>
      </c>
      <c r="H370" s="103"/>
      <c r="I370" s="103"/>
      <c r="J370" s="103"/>
      <c r="K370" s="103">
        <v>3.9</v>
      </c>
      <c r="L370" s="103"/>
      <c r="M370" s="103"/>
      <c r="N370" s="706"/>
      <c r="O370" s="1037" t="s">
        <v>931</v>
      </c>
    </row>
    <row r="371" spans="1:61" ht="24.6" customHeight="1">
      <c r="A371" s="1065"/>
      <c r="B371" s="643" t="s">
        <v>237</v>
      </c>
      <c r="C371" s="643"/>
      <c r="D371" s="643"/>
      <c r="E371" s="643"/>
      <c r="F371" s="643"/>
      <c r="G371" s="103">
        <f>K371</f>
        <v>115300</v>
      </c>
      <c r="H371" s="103"/>
      <c r="I371" s="103"/>
      <c r="J371" s="103"/>
      <c r="K371" s="103">
        <f>K372+K373</f>
        <v>115300</v>
      </c>
      <c r="L371" s="103">
        <f t="shared" ref="L371:M371" si="141">L372+L373</f>
        <v>0</v>
      </c>
      <c r="M371" s="103">
        <f t="shared" si="141"/>
        <v>0</v>
      </c>
      <c r="N371" s="706"/>
      <c r="O371" s="1037"/>
    </row>
    <row r="372" spans="1:61" ht="24.6" customHeight="1">
      <c r="A372" s="1065"/>
      <c r="B372" s="643" t="s">
        <v>10</v>
      </c>
      <c r="C372" s="643"/>
      <c r="D372" s="643"/>
      <c r="E372" s="643"/>
      <c r="F372" s="643"/>
      <c r="G372" s="103">
        <f t="shared" ref="G372:G373" si="142">K372</f>
        <v>115300</v>
      </c>
      <c r="H372" s="103"/>
      <c r="I372" s="103"/>
      <c r="J372" s="103"/>
      <c r="K372" s="103">
        <f>110000+5300</f>
        <v>115300</v>
      </c>
      <c r="L372" s="103"/>
      <c r="M372" s="103">
        <v>0</v>
      </c>
      <c r="N372" s="706"/>
      <c r="O372" s="1037"/>
    </row>
    <row r="373" spans="1:61" ht="24.6" customHeight="1">
      <c r="A373" s="1065"/>
      <c r="B373" s="643" t="s">
        <v>443</v>
      </c>
      <c r="C373" s="643"/>
      <c r="D373" s="643"/>
      <c r="E373" s="643"/>
      <c r="F373" s="643"/>
      <c r="G373" s="103">
        <f t="shared" si="142"/>
        <v>0</v>
      </c>
      <c r="H373" s="103"/>
      <c r="I373" s="103"/>
      <c r="J373" s="103"/>
      <c r="K373" s="103"/>
      <c r="L373" s="103"/>
      <c r="M373" s="103"/>
      <c r="N373" s="706"/>
      <c r="O373" s="1037"/>
    </row>
    <row r="374" spans="1:61" s="45" customFormat="1" ht="24.95" customHeight="1">
      <c r="A374" s="1038" t="s">
        <v>137</v>
      </c>
      <c r="B374" s="62" t="s">
        <v>89</v>
      </c>
      <c r="C374" s="62"/>
      <c r="D374" s="62"/>
      <c r="E374" s="62"/>
      <c r="F374" s="62"/>
      <c r="G374" s="102">
        <f>K374</f>
        <v>3.4</v>
      </c>
      <c r="H374" s="102">
        <f t="shared" ref="H374:J374" si="143">H382</f>
        <v>0</v>
      </c>
      <c r="I374" s="102">
        <f t="shared" si="143"/>
        <v>0</v>
      </c>
      <c r="J374" s="102">
        <f t="shared" si="143"/>
        <v>0</v>
      </c>
      <c r="K374" s="102">
        <f>K378</f>
        <v>3.4</v>
      </c>
      <c r="L374" s="102">
        <f>L378+L382</f>
        <v>0.6</v>
      </c>
      <c r="M374" s="102">
        <f>M378+M382</f>
        <v>0</v>
      </c>
      <c r="N374" s="706"/>
      <c r="O374" s="709"/>
      <c r="AJ374" s="113"/>
      <c r="AK374" s="113"/>
      <c r="AL374" s="113"/>
      <c r="AM374" s="113"/>
      <c r="AN374" s="113"/>
      <c r="AO374" s="113"/>
      <c r="AP374" s="113"/>
      <c r="AQ374" s="113"/>
      <c r="AR374" s="113"/>
      <c r="AS374" s="113"/>
      <c r="AT374" s="113"/>
      <c r="AU374" s="113"/>
      <c r="AV374" s="113"/>
      <c r="AW374" s="113"/>
      <c r="AX374" s="113"/>
      <c r="AY374" s="113"/>
      <c r="AZ374" s="113"/>
      <c r="BA374" s="113"/>
      <c r="BB374" s="113"/>
      <c r="BC374" s="113"/>
      <c r="BD374" s="113"/>
      <c r="BE374" s="113"/>
      <c r="BF374" s="113"/>
      <c r="BG374" s="113"/>
      <c r="BH374" s="113"/>
      <c r="BI374" s="113"/>
    </row>
    <row r="375" spans="1:61" ht="24.95" customHeight="1">
      <c r="A375" s="1038"/>
      <c r="B375" s="62" t="s">
        <v>237</v>
      </c>
      <c r="C375" s="62"/>
      <c r="D375" s="62"/>
      <c r="E375" s="62"/>
      <c r="F375" s="62"/>
      <c r="G375" s="102">
        <f t="shared" ref="G375:M375" si="144">G376+G377</f>
        <v>238653.5</v>
      </c>
      <c r="H375" s="102">
        <f t="shared" si="144"/>
        <v>0</v>
      </c>
      <c r="I375" s="102">
        <f t="shared" si="144"/>
        <v>0</v>
      </c>
      <c r="J375" s="102">
        <f t="shared" si="144"/>
        <v>0</v>
      </c>
      <c r="K375" s="102">
        <f t="shared" si="144"/>
        <v>238653.5</v>
      </c>
      <c r="L375" s="102">
        <f t="shared" si="144"/>
        <v>60000</v>
      </c>
      <c r="M375" s="102">
        <f t="shared" si="144"/>
        <v>0</v>
      </c>
      <c r="N375" s="706"/>
      <c r="O375" s="709"/>
    </row>
    <row r="376" spans="1:61" ht="24.95" customHeight="1">
      <c r="A376" s="1038"/>
      <c r="B376" s="62" t="s">
        <v>10</v>
      </c>
      <c r="C376" s="62"/>
      <c r="D376" s="62"/>
      <c r="E376" s="62"/>
      <c r="F376" s="62"/>
      <c r="G376" s="102">
        <f>K376</f>
        <v>78653.5</v>
      </c>
      <c r="H376" s="102">
        <f t="shared" ref="H376:J376" si="145">H384</f>
        <v>0</v>
      </c>
      <c r="I376" s="102">
        <f t="shared" si="145"/>
        <v>0</v>
      </c>
      <c r="J376" s="102">
        <f t="shared" si="145"/>
        <v>0</v>
      </c>
      <c r="K376" s="102">
        <f>K380</f>
        <v>78653.5</v>
      </c>
      <c r="L376" s="102">
        <f>L380+L384</f>
        <v>60000</v>
      </c>
      <c r="M376" s="102">
        <f>M379+M384</f>
        <v>0</v>
      </c>
      <c r="N376" s="706"/>
      <c r="O376" s="709"/>
    </row>
    <row r="377" spans="1:61" ht="24.95" customHeight="1">
      <c r="A377" s="1038"/>
      <c r="B377" s="62" t="s">
        <v>443</v>
      </c>
      <c r="C377" s="62"/>
      <c r="D377" s="62"/>
      <c r="E377" s="62"/>
      <c r="F377" s="62"/>
      <c r="G377" s="102">
        <f>G381</f>
        <v>160000</v>
      </c>
      <c r="H377" s="102">
        <f t="shared" ref="H377:K377" si="146">H381</f>
        <v>0</v>
      </c>
      <c r="I377" s="102">
        <f t="shared" si="146"/>
        <v>0</v>
      </c>
      <c r="J377" s="102">
        <f t="shared" si="146"/>
        <v>0</v>
      </c>
      <c r="K377" s="102">
        <f t="shared" si="146"/>
        <v>160000</v>
      </c>
      <c r="L377" s="102">
        <f>L381+L385</f>
        <v>0</v>
      </c>
      <c r="M377" s="102">
        <f>M381+M385</f>
        <v>0</v>
      </c>
      <c r="N377" s="706"/>
      <c r="O377" s="709"/>
    </row>
    <row r="378" spans="1:61" ht="24.95" customHeight="1">
      <c r="A378" s="1065" t="s">
        <v>531</v>
      </c>
      <c r="B378" s="643" t="s">
        <v>89</v>
      </c>
      <c r="C378" s="643">
        <v>176</v>
      </c>
      <c r="D378" s="643" t="s">
        <v>15</v>
      </c>
      <c r="E378" s="643">
        <v>6100404</v>
      </c>
      <c r="F378" s="643">
        <v>414</v>
      </c>
      <c r="G378" s="103">
        <f>K378</f>
        <v>3.4</v>
      </c>
      <c r="H378" s="103"/>
      <c r="I378" s="103"/>
      <c r="J378" s="103"/>
      <c r="K378" s="103">
        <v>3.4</v>
      </c>
      <c r="L378" s="103">
        <v>0.6</v>
      </c>
      <c r="M378" s="103">
        <v>0</v>
      </c>
      <c r="N378" s="706"/>
      <c r="O378" s="1037" t="s">
        <v>560</v>
      </c>
    </row>
    <row r="379" spans="1:61" ht="24.95" customHeight="1">
      <c r="A379" s="1065"/>
      <c r="B379" s="643" t="s">
        <v>237</v>
      </c>
      <c r="C379" s="643"/>
      <c r="D379" s="643"/>
      <c r="E379" s="643"/>
      <c r="F379" s="643"/>
      <c r="G379" s="103">
        <f t="shared" ref="G379:K379" si="147">G380+G381</f>
        <v>238653.5</v>
      </c>
      <c r="H379" s="103">
        <f t="shared" si="147"/>
        <v>0</v>
      </c>
      <c r="I379" s="103">
        <f t="shared" si="147"/>
        <v>0</v>
      </c>
      <c r="J379" s="103">
        <f t="shared" si="147"/>
        <v>0</v>
      </c>
      <c r="K379" s="103">
        <f t="shared" si="147"/>
        <v>238653.5</v>
      </c>
      <c r="L379" s="103">
        <f>L380+L381</f>
        <v>60000</v>
      </c>
      <c r="M379" s="103">
        <f>M380+M381</f>
        <v>0</v>
      </c>
      <c r="N379" s="706"/>
      <c r="O379" s="1037"/>
    </row>
    <row r="380" spans="1:61" ht="28.5" customHeight="1">
      <c r="A380" s="1065"/>
      <c r="B380" s="643" t="s">
        <v>10</v>
      </c>
      <c r="C380" s="643"/>
      <c r="D380" s="643"/>
      <c r="E380" s="643"/>
      <c r="F380" s="643"/>
      <c r="G380" s="103">
        <f>J380+K380</f>
        <v>78653.5</v>
      </c>
      <c r="H380" s="103"/>
      <c r="I380" s="103"/>
      <c r="J380" s="103"/>
      <c r="K380" s="103">
        <v>78653.5</v>
      </c>
      <c r="L380" s="103">
        <v>60000</v>
      </c>
      <c r="M380" s="103">
        <v>0</v>
      </c>
      <c r="N380" s="706"/>
      <c r="O380" s="1037"/>
    </row>
    <row r="381" spans="1:61" ht="21.75" customHeight="1">
      <c r="A381" s="1065"/>
      <c r="B381" s="643" t="s">
        <v>443</v>
      </c>
      <c r="C381" s="643"/>
      <c r="D381" s="643"/>
      <c r="E381" s="643"/>
      <c r="F381" s="643"/>
      <c r="G381" s="103">
        <f>J381+K381</f>
        <v>160000</v>
      </c>
      <c r="H381" s="103"/>
      <c r="I381" s="103"/>
      <c r="J381" s="103"/>
      <c r="K381" s="103">
        <v>160000</v>
      </c>
      <c r="L381" s="103">
        <v>0</v>
      </c>
      <c r="M381" s="103"/>
      <c r="N381" s="706"/>
      <c r="O381" s="1037"/>
    </row>
    <row r="382" spans="1:61" ht="24.95" hidden="1" customHeight="1">
      <c r="A382" s="1065" t="s">
        <v>552</v>
      </c>
      <c r="B382" s="643" t="s">
        <v>89</v>
      </c>
      <c r="C382" s="643">
        <v>176</v>
      </c>
      <c r="D382" s="643" t="s">
        <v>15</v>
      </c>
      <c r="E382" s="643">
        <v>6100404</v>
      </c>
      <c r="F382" s="643">
        <v>414</v>
      </c>
      <c r="G382" s="103">
        <f>K382</f>
        <v>0</v>
      </c>
      <c r="H382" s="103"/>
      <c r="I382" s="103"/>
      <c r="J382" s="103"/>
      <c r="K382" s="103"/>
      <c r="L382" s="103"/>
      <c r="M382" s="103"/>
      <c r="N382" s="706"/>
      <c r="O382" s="1037" t="s">
        <v>559</v>
      </c>
    </row>
    <row r="383" spans="1:61" ht="24.95" hidden="1" customHeight="1">
      <c r="A383" s="1065"/>
      <c r="B383" s="643" t="s">
        <v>237</v>
      </c>
      <c r="C383" s="643"/>
      <c r="D383" s="643"/>
      <c r="E383" s="643"/>
      <c r="F383" s="643"/>
      <c r="G383" s="103">
        <f t="shared" ref="G383" si="148">G384+G385</f>
        <v>0</v>
      </c>
      <c r="H383" s="103"/>
      <c r="I383" s="103"/>
      <c r="J383" s="103"/>
      <c r="K383" s="103">
        <f>K384</f>
        <v>0</v>
      </c>
      <c r="L383" s="103">
        <f>L384</f>
        <v>0</v>
      </c>
      <c r="M383" s="103">
        <f>M384</f>
        <v>0</v>
      </c>
      <c r="N383" s="706"/>
      <c r="O383" s="1037"/>
    </row>
    <row r="384" spans="1:61" ht="28.5" hidden="1" customHeight="1">
      <c r="A384" s="1065"/>
      <c r="B384" s="643" t="s">
        <v>10</v>
      </c>
      <c r="C384" s="643"/>
      <c r="D384" s="643"/>
      <c r="E384" s="643"/>
      <c r="F384" s="643"/>
      <c r="G384" s="103">
        <f>J384+K384</f>
        <v>0</v>
      </c>
      <c r="H384" s="103"/>
      <c r="I384" s="103"/>
      <c r="J384" s="103"/>
      <c r="K384" s="103"/>
      <c r="L384" s="103"/>
      <c r="M384" s="103"/>
      <c r="N384" s="706"/>
      <c r="O384" s="1037"/>
    </row>
    <row r="385" spans="1:61" ht="21.75" hidden="1" customHeight="1">
      <c r="A385" s="1065"/>
      <c r="B385" s="643" t="s">
        <v>443</v>
      </c>
      <c r="C385" s="643"/>
      <c r="D385" s="643"/>
      <c r="E385" s="643"/>
      <c r="F385" s="643"/>
      <c r="G385" s="103">
        <f>J385+K385</f>
        <v>0</v>
      </c>
      <c r="H385" s="103"/>
      <c r="I385" s="103"/>
      <c r="J385" s="103"/>
      <c r="K385" s="103"/>
      <c r="L385" s="103"/>
      <c r="M385" s="103"/>
      <c r="N385" s="706"/>
      <c r="O385" s="1037"/>
    </row>
    <row r="386" spans="1:61" ht="21.75" hidden="1" customHeight="1">
      <c r="A386" s="1038" t="s">
        <v>140</v>
      </c>
      <c r="B386" s="62" t="s">
        <v>89</v>
      </c>
      <c r="C386" s="643"/>
      <c r="D386" s="643"/>
      <c r="E386" s="643"/>
      <c r="F386" s="643"/>
      <c r="G386" s="102">
        <f t="shared" ref="G386" si="149">G390</f>
        <v>0</v>
      </c>
      <c r="H386" s="102"/>
      <c r="I386" s="102"/>
      <c r="J386" s="102"/>
      <c r="K386" s="102"/>
      <c r="L386" s="102">
        <f>L394</f>
        <v>0</v>
      </c>
      <c r="M386" s="102"/>
      <c r="N386" s="706"/>
      <c r="O386" s="703"/>
    </row>
    <row r="387" spans="1:61" ht="21.75" hidden="1" customHeight="1">
      <c r="A387" s="1038"/>
      <c r="B387" s="62" t="s">
        <v>237</v>
      </c>
      <c r="C387" s="643"/>
      <c r="D387" s="643"/>
      <c r="E387" s="643"/>
      <c r="F387" s="643"/>
      <c r="G387" s="102">
        <f>G388+G389</f>
        <v>0</v>
      </c>
      <c r="H387" s="102"/>
      <c r="I387" s="102"/>
      <c r="J387" s="102"/>
      <c r="K387" s="102"/>
      <c r="L387" s="102">
        <f t="shared" ref="L387" si="150">L388+L389</f>
        <v>0</v>
      </c>
      <c r="M387" s="102"/>
      <c r="N387" s="706"/>
      <c r="O387" s="703"/>
    </row>
    <row r="388" spans="1:61" ht="24.6" hidden="1" customHeight="1">
      <c r="A388" s="1038"/>
      <c r="B388" s="62" t="s">
        <v>10</v>
      </c>
      <c r="C388" s="643"/>
      <c r="D388" s="643"/>
      <c r="E388" s="643"/>
      <c r="F388" s="643"/>
      <c r="G388" s="102"/>
      <c r="H388" s="102"/>
      <c r="I388" s="102"/>
      <c r="J388" s="102"/>
      <c r="K388" s="102"/>
      <c r="L388" s="102">
        <f t="shared" ref="L388" si="151">L392</f>
        <v>0</v>
      </c>
      <c r="M388" s="102"/>
      <c r="N388" s="706"/>
      <c r="O388" s="703"/>
    </row>
    <row r="389" spans="1:61" ht="24" hidden="1" customHeight="1">
      <c r="A389" s="1038"/>
      <c r="B389" s="62" t="s">
        <v>34</v>
      </c>
      <c r="C389" s="643"/>
      <c r="D389" s="643"/>
      <c r="E389" s="643"/>
      <c r="F389" s="643"/>
      <c r="G389" s="102">
        <f>G393</f>
        <v>0</v>
      </c>
      <c r="H389" s="102"/>
      <c r="I389" s="102"/>
      <c r="J389" s="102"/>
      <c r="K389" s="102"/>
      <c r="L389" s="102">
        <f>L397</f>
        <v>0</v>
      </c>
      <c r="M389" s="102"/>
      <c r="N389" s="706"/>
      <c r="O389" s="703"/>
    </row>
    <row r="390" spans="1:61" ht="24.6" hidden="1" customHeight="1">
      <c r="A390" s="1065" t="s">
        <v>532</v>
      </c>
      <c r="B390" s="643" t="s">
        <v>89</v>
      </c>
      <c r="C390" s="643"/>
      <c r="D390" s="643"/>
      <c r="E390" s="643"/>
      <c r="F390" s="643"/>
      <c r="G390" s="103"/>
      <c r="H390" s="103"/>
      <c r="I390" s="103"/>
      <c r="J390" s="103"/>
      <c r="K390" s="103"/>
      <c r="L390" s="103"/>
      <c r="M390" s="103"/>
      <c r="N390" s="706"/>
      <c r="O390" s="1037" t="s">
        <v>223</v>
      </c>
    </row>
    <row r="391" spans="1:61" s="45" customFormat="1" ht="24.6" hidden="1" customHeight="1">
      <c r="A391" s="1065"/>
      <c r="B391" s="643" t="s">
        <v>237</v>
      </c>
      <c r="C391" s="643"/>
      <c r="D391" s="643"/>
      <c r="E391" s="643"/>
      <c r="F391" s="643"/>
      <c r="G391" s="103"/>
      <c r="H391" s="103"/>
      <c r="I391" s="103"/>
      <c r="J391" s="103"/>
      <c r="K391" s="103"/>
      <c r="L391" s="103">
        <f t="shared" ref="L391" si="152">L392+L393</f>
        <v>0</v>
      </c>
      <c r="M391" s="103"/>
      <c r="N391" s="706"/>
      <c r="O391" s="1037"/>
      <c r="AJ391" s="113"/>
      <c r="AK391" s="113"/>
      <c r="AL391" s="113"/>
      <c r="AM391" s="113"/>
      <c r="AN391" s="113"/>
      <c r="AO391" s="113"/>
      <c r="AP391" s="113"/>
      <c r="AQ391" s="113"/>
      <c r="AR391" s="113"/>
      <c r="AS391" s="113"/>
      <c r="AT391" s="113"/>
      <c r="AU391" s="113"/>
      <c r="AV391" s="113"/>
      <c r="AW391" s="113"/>
      <c r="AX391" s="113"/>
      <c r="AY391" s="113"/>
      <c r="AZ391" s="113"/>
      <c r="BA391" s="113"/>
      <c r="BB391" s="113"/>
      <c r="BC391" s="113"/>
      <c r="BD391" s="113"/>
      <c r="BE391" s="113"/>
      <c r="BF391" s="113"/>
      <c r="BG391" s="113"/>
      <c r="BH391" s="113"/>
      <c r="BI391" s="113"/>
    </row>
    <row r="392" spans="1:61" s="45" customFormat="1" ht="28.15" hidden="1" customHeight="1">
      <c r="A392" s="1065"/>
      <c r="B392" s="643" t="s">
        <v>10</v>
      </c>
      <c r="C392" s="643"/>
      <c r="D392" s="643"/>
      <c r="E392" s="643"/>
      <c r="F392" s="643"/>
      <c r="G392" s="103"/>
      <c r="H392" s="103"/>
      <c r="I392" s="103"/>
      <c r="J392" s="103"/>
      <c r="K392" s="103"/>
      <c r="L392" s="103"/>
      <c r="M392" s="103"/>
      <c r="N392" s="706"/>
      <c r="O392" s="1037"/>
      <c r="AJ392" s="113"/>
      <c r="AK392" s="113"/>
      <c r="AL392" s="113"/>
      <c r="AM392" s="113"/>
      <c r="AN392" s="113"/>
      <c r="AO392" s="113"/>
      <c r="AP392" s="113"/>
      <c r="AQ392" s="113"/>
      <c r="AR392" s="113"/>
      <c r="AS392" s="113"/>
      <c r="AT392" s="113"/>
      <c r="AU392" s="113"/>
      <c r="AV392" s="113"/>
      <c r="AW392" s="113"/>
      <c r="AX392" s="113"/>
      <c r="AY392" s="113"/>
      <c r="AZ392" s="113"/>
      <c r="BA392" s="113"/>
      <c r="BB392" s="113"/>
      <c r="BC392" s="113"/>
      <c r="BD392" s="113"/>
      <c r="BE392" s="113"/>
      <c r="BF392" s="113"/>
      <c r="BG392" s="113"/>
      <c r="BH392" s="113"/>
      <c r="BI392" s="113"/>
    </row>
    <row r="393" spans="1:61" s="45" customFormat="1" ht="24.6" hidden="1" customHeight="1">
      <c r="A393" s="1065"/>
      <c r="B393" s="643" t="s">
        <v>34</v>
      </c>
      <c r="C393" s="643"/>
      <c r="D393" s="643"/>
      <c r="E393" s="643"/>
      <c r="F393" s="643"/>
      <c r="G393" s="103"/>
      <c r="H393" s="103"/>
      <c r="I393" s="103"/>
      <c r="J393" s="103"/>
      <c r="K393" s="103"/>
      <c r="L393" s="103"/>
      <c r="M393" s="103"/>
      <c r="N393" s="706"/>
      <c r="O393" s="1037"/>
      <c r="AJ393" s="113"/>
      <c r="AK393" s="113"/>
      <c r="AL393" s="113"/>
      <c r="AM393" s="113"/>
      <c r="AN393" s="113"/>
      <c r="AO393" s="113"/>
      <c r="AP393" s="113"/>
      <c r="AQ393" s="113"/>
      <c r="AR393" s="113"/>
      <c r="AS393" s="113"/>
      <c r="AT393" s="113"/>
      <c r="AU393" s="113"/>
      <c r="AV393" s="113"/>
      <c r="AW393" s="113"/>
      <c r="AX393" s="113"/>
      <c r="AY393" s="113"/>
      <c r="AZ393" s="113"/>
      <c r="BA393" s="113"/>
      <c r="BB393" s="113"/>
      <c r="BC393" s="113"/>
      <c r="BD393" s="113"/>
      <c r="BE393" s="113"/>
      <c r="BF393" s="113"/>
      <c r="BG393" s="113"/>
      <c r="BH393" s="113"/>
      <c r="BI393" s="113"/>
    </row>
    <row r="394" spans="1:61" s="45" customFormat="1" ht="24.6" hidden="1" customHeight="1">
      <c r="A394" s="1070" t="s">
        <v>291</v>
      </c>
      <c r="B394" s="643" t="s">
        <v>89</v>
      </c>
      <c r="C394" s="643"/>
      <c r="D394" s="643"/>
      <c r="E394" s="643"/>
      <c r="F394" s="643"/>
      <c r="G394" s="103"/>
      <c r="H394" s="103"/>
      <c r="I394" s="103"/>
      <c r="J394" s="103"/>
      <c r="K394" s="103"/>
      <c r="L394" s="103"/>
      <c r="M394" s="103"/>
      <c r="N394" s="706"/>
      <c r="O394" s="1037" t="s">
        <v>219</v>
      </c>
      <c r="AJ394" s="113"/>
      <c r="AK394" s="113"/>
      <c r="AL394" s="113"/>
      <c r="AM394" s="113"/>
      <c r="AN394" s="113"/>
      <c r="AO394" s="113"/>
      <c r="AP394" s="113"/>
      <c r="AQ394" s="113"/>
      <c r="AR394" s="113"/>
      <c r="AS394" s="113"/>
      <c r="AT394" s="113"/>
      <c r="AU394" s="113"/>
      <c r="AV394" s="113"/>
      <c r="AW394" s="113"/>
      <c r="AX394" s="113"/>
      <c r="AY394" s="113"/>
      <c r="AZ394" s="113"/>
      <c r="BA394" s="113"/>
      <c r="BB394" s="113"/>
      <c r="BC394" s="113"/>
      <c r="BD394" s="113"/>
      <c r="BE394" s="113"/>
      <c r="BF394" s="113"/>
      <c r="BG394" s="113"/>
      <c r="BH394" s="113"/>
      <c r="BI394" s="113"/>
    </row>
    <row r="395" spans="1:61" s="45" customFormat="1" ht="24.6" hidden="1" customHeight="1">
      <c r="A395" s="1071"/>
      <c r="B395" s="643" t="s">
        <v>237</v>
      </c>
      <c r="C395" s="643"/>
      <c r="D395" s="643"/>
      <c r="E395" s="643"/>
      <c r="F395" s="643"/>
      <c r="G395" s="103"/>
      <c r="H395" s="103"/>
      <c r="I395" s="103"/>
      <c r="J395" s="103"/>
      <c r="K395" s="103"/>
      <c r="L395" s="103">
        <f>L397</f>
        <v>0</v>
      </c>
      <c r="M395" s="103"/>
      <c r="N395" s="706"/>
      <c r="O395" s="1037"/>
      <c r="AJ395" s="113"/>
      <c r="AK395" s="113"/>
      <c r="AL395" s="113"/>
      <c r="AM395" s="113"/>
      <c r="AN395" s="113"/>
      <c r="AO395" s="113"/>
      <c r="AP395" s="113"/>
      <c r="AQ395" s="113"/>
      <c r="AR395" s="113"/>
      <c r="AS395" s="113"/>
      <c r="AT395" s="113"/>
      <c r="AU395" s="113"/>
      <c r="AV395" s="113"/>
      <c r="AW395" s="113"/>
      <c r="AX395" s="113"/>
      <c r="AY395" s="113"/>
      <c r="AZ395" s="113"/>
      <c r="BA395" s="113"/>
      <c r="BB395" s="113"/>
      <c r="BC395" s="113"/>
      <c r="BD395" s="113"/>
      <c r="BE395" s="113"/>
      <c r="BF395" s="113"/>
      <c r="BG395" s="113"/>
      <c r="BH395" s="113"/>
      <c r="BI395" s="113"/>
    </row>
    <row r="396" spans="1:61" s="45" customFormat="1" ht="27.75" hidden="1" customHeight="1">
      <c r="A396" s="1071"/>
      <c r="B396" s="643" t="s">
        <v>10</v>
      </c>
      <c r="C396" s="643"/>
      <c r="D396" s="643"/>
      <c r="E396" s="643"/>
      <c r="F396" s="643"/>
      <c r="G396" s="103"/>
      <c r="H396" s="103"/>
      <c r="I396" s="103"/>
      <c r="J396" s="103"/>
      <c r="K396" s="103"/>
      <c r="L396" s="103"/>
      <c r="M396" s="103"/>
      <c r="N396" s="706"/>
      <c r="O396" s="1037"/>
      <c r="AJ396" s="113"/>
      <c r="AK396" s="113"/>
      <c r="AL396" s="113"/>
      <c r="AM396" s="113"/>
      <c r="AN396" s="113"/>
      <c r="AO396" s="113"/>
      <c r="AP396" s="113"/>
      <c r="AQ396" s="113"/>
      <c r="AR396" s="113"/>
      <c r="AS396" s="113"/>
      <c r="AT396" s="113"/>
      <c r="AU396" s="113"/>
      <c r="AV396" s="113"/>
      <c r="AW396" s="113"/>
      <c r="AX396" s="113"/>
      <c r="AY396" s="113"/>
      <c r="AZ396" s="113"/>
      <c r="BA396" s="113"/>
      <c r="BB396" s="113"/>
      <c r="BC396" s="113"/>
      <c r="BD396" s="113"/>
      <c r="BE396" s="113"/>
      <c r="BF396" s="113"/>
      <c r="BG396" s="113"/>
      <c r="BH396" s="113"/>
      <c r="BI396" s="113"/>
    </row>
    <row r="397" spans="1:61" s="45" customFormat="1" ht="27.75" hidden="1" customHeight="1">
      <c r="A397" s="1072"/>
      <c r="B397" s="643" t="s">
        <v>34</v>
      </c>
      <c r="C397" s="643"/>
      <c r="D397" s="643"/>
      <c r="E397" s="643"/>
      <c r="F397" s="643"/>
      <c r="G397" s="103"/>
      <c r="H397" s="103"/>
      <c r="I397" s="103"/>
      <c r="J397" s="103"/>
      <c r="K397" s="103"/>
      <c r="L397" s="103"/>
      <c r="M397" s="103"/>
      <c r="N397" s="706"/>
      <c r="O397" s="1037"/>
      <c r="AJ397" s="113"/>
      <c r="AK397" s="113"/>
      <c r="AL397" s="113"/>
      <c r="AM397" s="113"/>
      <c r="AN397" s="113"/>
      <c r="AO397" s="113"/>
      <c r="AP397" s="113"/>
      <c r="AQ397" s="113"/>
      <c r="AR397" s="113"/>
      <c r="AS397" s="113"/>
      <c r="AT397" s="113"/>
      <c r="AU397" s="113"/>
      <c r="AV397" s="113"/>
      <c r="AW397" s="113"/>
      <c r="AX397" s="113"/>
      <c r="AY397" s="113"/>
      <c r="AZ397" s="113"/>
      <c r="BA397" s="113"/>
      <c r="BB397" s="113"/>
      <c r="BC397" s="113"/>
      <c r="BD397" s="113"/>
      <c r="BE397" s="113"/>
      <c r="BF397" s="113"/>
      <c r="BG397" s="113"/>
      <c r="BH397" s="113"/>
      <c r="BI397" s="113"/>
    </row>
    <row r="398" spans="1:61" s="45" customFormat="1" ht="27.75" customHeight="1">
      <c r="A398" s="1038" t="s">
        <v>107</v>
      </c>
      <c r="B398" s="62" t="s">
        <v>89</v>
      </c>
      <c r="C398" s="62"/>
      <c r="D398" s="62"/>
      <c r="E398" s="62"/>
      <c r="F398" s="62"/>
      <c r="G398" s="102">
        <f t="shared" ref="G398:M398" si="153">G402+G406+G410</f>
        <v>0</v>
      </c>
      <c r="H398" s="102">
        <f t="shared" si="153"/>
        <v>0</v>
      </c>
      <c r="I398" s="102">
        <f t="shared" si="153"/>
        <v>0</v>
      </c>
      <c r="J398" s="102">
        <f t="shared" si="153"/>
        <v>0</v>
      </c>
      <c r="K398" s="102">
        <f t="shared" si="153"/>
        <v>0</v>
      </c>
      <c r="L398" s="102">
        <f t="shared" si="153"/>
        <v>0</v>
      </c>
      <c r="M398" s="102">
        <f t="shared" si="153"/>
        <v>3</v>
      </c>
      <c r="N398" s="706"/>
      <c r="O398" s="709"/>
      <c r="AJ398" s="113"/>
      <c r="AK398" s="113"/>
      <c r="AL398" s="113"/>
      <c r="AM398" s="113"/>
      <c r="AN398" s="113"/>
      <c r="AO398" s="113"/>
      <c r="AP398" s="113"/>
      <c r="AQ398" s="113"/>
      <c r="AR398" s="113"/>
      <c r="AS398" s="113"/>
      <c r="AT398" s="113"/>
      <c r="AU398" s="113"/>
      <c r="AV398" s="113"/>
      <c r="AW398" s="113"/>
      <c r="AX398" s="113"/>
      <c r="AY398" s="113"/>
      <c r="AZ398" s="113"/>
      <c r="BA398" s="113"/>
      <c r="BB398" s="113"/>
      <c r="BC398" s="113"/>
      <c r="BD398" s="113"/>
      <c r="BE398" s="113"/>
      <c r="BF398" s="113"/>
      <c r="BG398" s="113"/>
      <c r="BH398" s="113"/>
      <c r="BI398" s="113"/>
    </row>
    <row r="399" spans="1:61" ht="24.95" customHeight="1">
      <c r="A399" s="1038"/>
      <c r="B399" s="62" t="s">
        <v>237</v>
      </c>
      <c r="C399" s="62"/>
      <c r="D399" s="62"/>
      <c r="E399" s="62"/>
      <c r="F399" s="62"/>
      <c r="G399" s="102">
        <f t="shared" ref="G399:M399" si="154">G400+G401</f>
        <v>0</v>
      </c>
      <c r="H399" s="102">
        <f t="shared" si="154"/>
        <v>0</v>
      </c>
      <c r="I399" s="102">
        <f t="shared" si="154"/>
        <v>0</v>
      </c>
      <c r="J399" s="102">
        <f t="shared" si="154"/>
        <v>0</v>
      </c>
      <c r="K399" s="102">
        <f t="shared" si="154"/>
        <v>0</v>
      </c>
      <c r="L399" s="102">
        <f t="shared" si="154"/>
        <v>0</v>
      </c>
      <c r="M399" s="102">
        <f t="shared" si="154"/>
        <v>130524.9</v>
      </c>
      <c r="N399" s="706"/>
      <c r="O399" s="709"/>
    </row>
    <row r="400" spans="1:61" ht="24.95" customHeight="1">
      <c r="A400" s="1038"/>
      <c r="B400" s="62" t="s">
        <v>10</v>
      </c>
      <c r="C400" s="62"/>
      <c r="D400" s="62"/>
      <c r="E400" s="62"/>
      <c r="F400" s="62"/>
      <c r="G400" s="102">
        <f t="shared" ref="G400:M401" si="155">G404+G408+G412</f>
        <v>0</v>
      </c>
      <c r="H400" s="102">
        <f t="shared" si="155"/>
        <v>0</v>
      </c>
      <c r="I400" s="102">
        <f t="shared" si="155"/>
        <v>0</v>
      </c>
      <c r="J400" s="102">
        <f t="shared" si="155"/>
        <v>0</v>
      </c>
      <c r="K400" s="102">
        <f t="shared" si="155"/>
        <v>0</v>
      </c>
      <c r="L400" s="102">
        <f t="shared" si="155"/>
        <v>0</v>
      </c>
      <c r="M400" s="102">
        <f t="shared" si="155"/>
        <v>130524.9</v>
      </c>
      <c r="N400" s="706"/>
      <c r="O400" s="709"/>
    </row>
    <row r="401" spans="1:15" ht="24.6" customHeight="1">
      <c r="A401" s="1038"/>
      <c r="B401" s="62" t="s">
        <v>443</v>
      </c>
      <c r="C401" s="62"/>
      <c r="D401" s="62"/>
      <c r="E401" s="62"/>
      <c r="F401" s="62"/>
      <c r="G401" s="102">
        <f t="shared" si="155"/>
        <v>0</v>
      </c>
      <c r="H401" s="102"/>
      <c r="I401" s="102"/>
      <c r="J401" s="102"/>
      <c r="K401" s="102">
        <f>K413</f>
        <v>0</v>
      </c>
      <c r="L401" s="102">
        <f t="shared" si="155"/>
        <v>0</v>
      </c>
      <c r="M401" s="102">
        <f t="shared" si="155"/>
        <v>0</v>
      </c>
      <c r="N401" s="706"/>
      <c r="O401" s="709"/>
    </row>
    <row r="402" spans="1:15" ht="24.95" hidden="1" customHeight="1">
      <c r="A402" s="1039" t="s">
        <v>202</v>
      </c>
      <c r="B402" s="643" t="s">
        <v>89</v>
      </c>
      <c r="C402" s="643">
        <v>176</v>
      </c>
      <c r="D402" s="643" t="s">
        <v>15</v>
      </c>
      <c r="E402" s="643">
        <v>6100404</v>
      </c>
      <c r="F402" s="643">
        <v>414</v>
      </c>
      <c r="G402" s="103">
        <v>0</v>
      </c>
      <c r="H402" s="103"/>
      <c r="I402" s="103"/>
      <c r="J402" s="103"/>
      <c r="K402" s="103"/>
      <c r="L402" s="103"/>
      <c r="M402" s="103"/>
      <c r="N402" s="706"/>
      <c r="O402" s="1037" t="s">
        <v>201</v>
      </c>
    </row>
    <row r="403" spans="1:15" ht="21.75" hidden="1" customHeight="1">
      <c r="A403" s="1039"/>
      <c r="B403" s="643" t="s">
        <v>237</v>
      </c>
      <c r="C403" s="643"/>
      <c r="D403" s="643"/>
      <c r="E403" s="643"/>
      <c r="F403" s="643"/>
      <c r="G403" s="103">
        <f t="shared" ref="G403:L403" si="156">G404+G405</f>
        <v>0</v>
      </c>
      <c r="H403" s="103"/>
      <c r="I403" s="103"/>
      <c r="J403" s="103"/>
      <c r="K403" s="103"/>
      <c r="L403" s="103">
        <f t="shared" si="156"/>
        <v>0</v>
      </c>
      <c r="M403" s="103"/>
      <c r="N403" s="706"/>
      <c r="O403" s="1037"/>
    </row>
    <row r="404" spans="1:15" ht="24.95" hidden="1" customHeight="1">
      <c r="A404" s="1039"/>
      <c r="B404" s="643" t="s">
        <v>10</v>
      </c>
      <c r="C404" s="643"/>
      <c r="D404" s="643"/>
      <c r="E404" s="643"/>
      <c r="F404" s="643"/>
      <c r="G404" s="103"/>
      <c r="H404" s="103"/>
      <c r="I404" s="103"/>
      <c r="J404" s="103"/>
      <c r="K404" s="103"/>
      <c r="L404" s="103"/>
      <c r="M404" s="103"/>
      <c r="N404" s="706"/>
      <c r="O404" s="1037"/>
    </row>
    <row r="405" spans="1:15" ht="24.95" hidden="1" customHeight="1">
      <c r="A405" s="1039"/>
      <c r="B405" s="643" t="s">
        <v>34</v>
      </c>
      <c r="C405" s="643"/>
      <c r="D405" s="643"/>
      <c r="E405" s="643"/>
      <c r="F405" s="643"/>
      <c r="G405" s="103"/>
      <c r="H405" s="103"/>
      <c r="I405" s="103"/>
      <c r="J405" s="103"/>
      <c r="K405" s="103"/>
      <c r="L405" s="103"/>
      <c r="M405" s="103"/>
      <c r="N405" s="706"/>
      <c r="O405" s="1037"/>
    </row>
    <row r="406" spans="1:15" ht="24.6" hidden="1" customHeight="1">
      <c r="A406" s="1087" t="s">
        <v>270</v>
      </c>
      <c r="B406" s="643" t="s">
        <v>89</v>
      </c>
      <c r="C406" s="643"/>
      <c r="D406" s="643"/>
      <c r="E406" s="643"/>
      <c r="F406" s="643"/>
      <c r="G406" s="103"/>
      <c r="H406" s="103"/>
      <c r="I406" s="103"/>
      <c r="J406" s="103"/>
      <c r="K406" s="103"/>
      <c r="L406" s="103"/>
      <c r="M406" s="103"/>
      <c r="N406" s="706"/>
      <c r="O406" s="1037" t="s">
        <v>246</v>
      </c>
    </row>
    <row r="407" spans="1:15" ht="24.6" hidden="1" customHeight="1">
      <c r="A407" s="1088"/>
      <c r="B407" s="643" t="s">
        <v>237</v>
      </c>
      <c r="C407" s="643"/>
      <c r="D407" s="643"/>
      <c r="E407" s="643"/>
      <c r="F407" s="643"/>
      <c r="G407" s="103">
        <f t="shared" ref="G407:L407" si="157">G408+G409</f>
        <v>0</v>
      </c>
      <c r="H407" s="103"/>
      <c r="I407" s="103"/>
      <c r="J407" s="103"/>
      <c r="K407" s="103"/>
      <c r="L407" s="103">
        <f t="shared" si="157"/>
        <v>0</v>
      </c>
      <c r="M407" s="103"/>
      <c r="N407" s="706"/>
      <c r="O407" s="1037"/>
    </row>
    <row r="408" spans="1:15" ht="27" hidden="1" customHeight="1">
      <c r="A408" s="1088"/>
      <c r="B408" s="643" t="s">
        <v>10</v>
      </c>
      <c r="C408" s="643"/>
      <c r="D408" s="643"/>
      <c r="E408" s="643"/>
      <c r="F408" s="643"/>
      <c r="G408" s="103"/>
      <c r="H408" s="103"/>
      <c r="I408" s="103"/>
      <c r="J408" s="103"/>
      <c r="K408" s="103"/>
      <c r="L408" s="103"/>
      <c r="M408" s="103"/>
      <c r="N408" s="706"/>
      <c r="O408" s="1037"/>
    </row>
    <row r="409" spans="1:15" ht="24.6" hidden="1" customHeight="1">
      <c r="A409" s="1089"/>
      <c r="B409" s="643" t="s">
        <v>34</v>
      </c>
      <c r="C409" s="643"/>
      <c r="D409" s="643"/>
      <c r="E409" s="643"/>
      <c r="F409" s="643"/>
      <c r="G409" s="103"/>
      <c r="H409" s="103"/>
      <c r="I409" s="103"/>
      <c r="J409" s="103"/>
      <c r="K409" s="103"/>
      <c r="L409" s="103"/>
      <c r="M409" s="103"/>
      <c r="N409" s="706"/>
      <c r="O409" s="1037"/>
    </row>
    <row r="410" spans="1:15" ht="24.95" customHeight="1">
      <c r="A410" s="1086" t="s">
        <v>312</v>
      </c>
      <c r="B410" s="650" t="s">
        <v>89</v>
      </c>
      <c r="C410" s="650"/>
      <c r="D410" s="650"/>
      <c r="E410" s="650"/>
      <c r="F410" s="650"/>
      <c r="G410" s="103">
        <f>K410</f>
        <v>0</v>
      </c>
      <c r="H410" s="103"/>
      <c r="I410" s="103"/>
      <c r="J410" s="103"/>
      <c r="K410" s="103"/>
      <c r="L410" s="103"/>
      <c r="M410" s="103">
        <v>3</v>
      </c>
      <c r="N410" s="706"/>
      <c r="O410" s="1037" t="s">
        <v>927</v>
      </c>
    </row>
    <row r="411" spans="1:15" ht="24.95" customHeight="1">
      <c r="A411" s="1086"/>
      <c r="B411" s="650" t="s">
        <v>237</v>
      </c>
      <c r="C411" s="650"/>
      <c r="D411" s="650"/>
      <c r="E411" s="650"/>
      <c r="F411" s="650"/>
      <c r="G411" s="103">
        <f t="shared" ref="G411:L411" si="158">G412+G413</f>
        <v>0</v>
      </c>
      <c r="H411" s="103">
        <f t="shared" si="158"/>
        <v>0</v>
      </c>
      <c r="I411" s="103">
        <f t="shared" si="158"/>
        <v>0</v>
      </c>
      <c r="J411" s="103">
        <f t="shared" si="158"/>
        <v>0</v>
      </c>
      <c r="K411" s="103">
        <f t="shared" si="158"/>
        <v>0</v>
      </c>
      <c r="L411" s="103">
        <f t="shared" si="158"/>
        <v>0</v>
      </c>
      <c r="M411" s="103">
        <f>M412+M413</f>
        <v>130524.9</v>
      </c>
      <c r="N411" s="706"/>
      <c r="O411" s="1037"/>
    </row>
    <row r="412" spans="1:15" ht="27" customHeight="1">
      <c r="A412" s="1086"/>
      <c r="B412" s="650" t="s">
        <v>10</v>
      </c>
      <c r="C412" s="650"/>
      <c r="D412" s="650"/>
      <c r="E412" s="650"/>
      <c r="F412" s="650"/>
      <c r="G412" s="103">
        <f>J412+K412</f>
        <v>0</v>
      </c>
      <c r="H412" s="103"/>
      <c r="I412" s="103"/>
      <c r="J412" s="103"/>
      <c r="K412" s="103"/>
      <c r="L412" s="103"/>
      <c r="M412" s="103">
        <v>130524.9</v>
      </c>
      <c r="N412" s="706"/>
      <c r="O412" s="1037"/>
    </row>
    <row r="413" spans="1:15" ht="24.95" customHeight="1">
      <c r="A413" s="1086"/>
      <c r="B413" s="650" t="s">
        <v>443</v>
      </c>
      <c r="C413" s="650"/>
      <c r="D413" s="650"/>
      <c r="E413" s="650"/>
      <c r="F413" s="650"/>
      <c r="G413" s="103">
        <f>K413</f>
        <v>0</v>
      </c>
      <c r="H413" s="103"/>
      <c r="I413" s="103"/>
      <c r="J413" s="103"/>
      <c r="K413" s="103"/>
      <c r="L413" s="103"/>
      <c r="M413" s="103"/>
      <c r="N413" s="706"/>
      <c r="O413" s="1037"/>
    </row>
    <row r="414" spans="1:15" ht="21" hidden="1" customHeight="1">
      <c r="A414" s="1073" t="s">
        <v>889</v>
      </c>
      <c r="B414" s="62" t="s">
        <v>89</v>
      </c>
      <c r="C414" s="643"/>
      <c r="D414" s="643"/>
      <c r="E414" s="643"/>
      <c r="F414" s="643"/>
      <c r="G414" s="102">
        <f>G418+G430+G422</f>
        <v>0</v>
      </c>
      <c r="H414" s="102"/>
      <c r="I414" s="102"/>
      <c r="J414" s="102"/>
      <c r="K414" s="102"/>
      <c r="L414" s="102">
        <f>L418+L430+L422</f>
        <v>0</v>
      </c>
      <c r="M414" s="102"/>
      <c r="N414" s="706"/>
      <c r="O414" s="703"/>
    </row>
    <row r="415" spans="1:15" ht="24.6" hidden="1" customHeight="1">
      <c r="A415" s="1073"/>
      <c r="B415" s="62" t="s">
        <v>237</v>
      </c>
      <c r="C415" s="643"/>
      <c r="D415" s="643"/>
      <c r="E415" s="643"/>
      <c r="F415" s="643"/>
      <c r="G415" s="102">
        <f t="shared" ref="G415:L415" si="159">G416+G417</f>
        <v>0</v>
      </c>
      <c r="H415" s="102">
        <f t="shared" si="159"/>
        <v>0</v>
      </c>
      <c r="I415" s="102">
        <f t="shared" si="159"/>
        <v>0</v>
      </c>
      <c r="J415" s="102">
        <f t="shared" si="159"/>
        <v>0</v>
      </c>
      <c r="K415" s="102">
        <f t="shared" si="159"/>
        <v>0</v>
      </c>
      <c r="L415" s="102">
        <f t="shared" si="159"/>
        <v>0</v>
      </c>
      <c r="M415" s="102"/>
      <c r="N415" s="939" t="s">
        <v>783</v>
      </c>
      <c r="O415" s="939" t="s">
        <v>805</v>
      </c>
    </row>
    <row r="416" spans="1:15" ht="24.6" hidden="1" customHeight="1">
      <c r="A416" s="1073"/>
      <c r="B416" s="62" t="s">
        <v>10</v>
      </c>
      <c r="C416" s="643"/>
      <c r="D416" s="643"/>
      <c r="E416" s="643"/>
      <c r="F416" s="643"/>
      <c r="G416" s="102">
        <f>G420+G432</f>
        <v>0</v>
      </c>
      <c r="H416" s="102"/>
      <c r="I416" s="102"/>
      <c r="J416" s="102"/>
      <c r="K416" s="102"/>
      <c r="L416" s="102">
        <f>L420+L432</f>
        <v>0</v>
      </c>
      <c r="M416" s="102"/>
      <c r="N416" s="974"/>
      <c r="O416" s="974"/>
    </row>
    <row r="417" spans="1:15" ht="22.9" hidden="1" customHeight="1">
      <c r="A417" s="1073"/>
      <c r="B417" s="62" t="s">
        <v>34</v>
      </c>
      <c r="C417" s="643"/>
      <c r="D417" s="643"/>
      <c r="E417" s="643"/>
      <c r="F417" s="643"/>
      <c r="G417" s="102">
        <f>G421+G433+G425</f>
        <v>0</v>
      </c>
      <c r="H417" s="102">
        <f t="shared" ref="H417:K417" si="160">H421+H433+H425</f>
        <v>0</v>
      </c>
      <c r="I417" s="102">
        <f t="shared" si="160"/>
        <v>0</v>
      </c>
      <c r="J417" s="102">
        <f t="shared" si="160"/>
        <v>0</v>
      </c>
      <c r="K417" s="102">
        <f t="shared" si="160"/>
        <v>0</v>
      </c>
      <c r="L417" s="102">
        <f>L421+L433+L425</f>
        <v>0</v>
      </c>
      <c r="M417" s="102"/>
      <c r="N417" s="974"/>
      <c r="O417" s="940"/>
    </row>
    <row r="418" spans="1:15" ht="24.6" hidden="1" customHeight="1">
      <c r="A418" s="1092" t="s">
        <v>887</v>
      </c>
      <c r="B418" s="650" t="s">
        <v>89</v>
      </c>
      <c r="C418" s="650"/>
      <c r="D418" s="650"/>
      <c r="E418" s="650"/>
      <c r="F418" s="650"/>
      <c r="G418" s="103"/>
      <c r="H418" s="103"/>
      <c r="I418" s="103"/>
      <c r="J418" s="103"/>
      <c r="K418" s="103"/>
      <c r="L418" s="103"/>
      <c r="M418" s="103"/>
      <c r="N418" s="974"/>
      <c r="O418" s="1132" t="s">
        <v>899</v>
      </c>
    </row>
    <row r="419" spans="1:15" ht="24.6" hidden="1" customHeight="1">
      <c r="A419" s="1093"/>
      <c r="B419" s="650" t="s">
        <v>237</v>
      </c>
      <c r="C419" s="650"/>
      <c r="D419" s="650"/>
      <c r="E419" s="650"/>
      <c r="F419" s="650"/>
      <c r="G419" s="103">
        <f t="shared" ref="G419:L419" si="161">G420+G421</f>
        <v>0</v>
      </c>
      <c r="H419" s="103">
        <f t="shared" si="161"/>
        <v>0</v>
      </c>
      <c r="I419" s="103">
        <f t="shared" si="161"/>
        <v>0</v>
      </c>
      <c r="J419" s="103">
        <f t="shared" si="161"/>
        <v>0</v>
      </c>
      <c r="K419" s="103">
        <f t="shared" si="161"/>
        <v>0</v>
      </c>
      <c r="L419" s="103">
        <f t="shared" si="161"/>
        <v>0</v>
      </c>
      <c r="M419" s="103"/>
      <c r="N419" s="974"/>
      <c r="O419" s="1133"/>
    </row>
    <row r="420" spans="1:15" ht="47.25" hidden="1" customHeight="1">
      <c r="A420" s="1093"/>
      <c r="B420" s="650" t="s">
        <v>10</v>
      </c>
      <c r="C420" s="650"/>
      <c r="D420" s="650"/>
      <c r="E420" s="650"/>
      <c r="F420" s="650"/>
      <c r="G420" s="103"/>
      <c r="H420" s="103"/>
      <c r="I420" s="103"/>
      <c r="J420" s="103"/>
      <c r="K420" s="103"/>
      <c r="L420" s="103"/>
      <c r="M420" s="103"/>
      <c r="N420" s="974"/>
      <c r="O420" s="1133"/>
    </row>
    <row r="421" spans="1:15" ht="201.75" hidden="1" customHeight="1">
      <c r="A421" s="1094"/>
      <c r="B421" s="650" t="s">
        <v>34</v>
      </c>
      <c r="C421" s="650"/>
      <c r="D421" s="650"/>
      <c r="E421" s="650"/>
      <c r="F421" s="650"/>
      <c r="G421" s="103">
        <f>K421</f>
        <v>0</v>
      </c>
      <c r="H421" s="103"/>
      <c r="I421" s="103"/>
      <c r="J421" s="103"/>
      <c r="K421" s="103"/>
      <c r="L421" s="103"/>
      <c r="M421" s="103"/>
      <c r="N421" s="974"/>
      <c r="O421" s="1134"/>
    </row>
    <row r="422" spans="1:15" ht="0.6" customHeight="1">
      <c r="A422" s="1092" t="s">
        <v>888</v>
      </c>
      <c r="B422" s="643" t="s">
        <v>89</v>
      </c>
      <c r="C422" s="643"/>
      <c r="D422" s="643"/>
      <c r="E422" s="643"/>
      <c r="F422" s="643"/>
      <c r="G422" s="103"/>
      <c r="H422" s="103"/>
      <c r="I422" s="103"/>
      <c r="J422" s="103"/>
      <c r="K422" s="103"/>
      <c r="L422" s="103"/>
      <c r="M422" s="103"/>
      <c r="N422" s="974"/>
      <c r="O422" s="1131" t="s">
        <v>898</v>
      </c>
    </row>
    <row r="423" spans="1:15" ht="30.75" hidden="1" customHeight="1">
      <c r="A423" s="1093"/>
      <c r="B423" s="643" t="s">
        <v>237</v>
      </c>
      <c r="C423" s="643"/>
      <c r="D423" s="643"/>
      <c r="E423" s="643"/>
      <c r="F423" s="643"/>
      <c r="G423" s="103">
        <f>G424+G425</f>
        <v>0</v>
      </c>
      <c r="H423" s="103"/>
      <c r="I423" s="103"/>
      <c r="J423" s="103"/>
      <c r="K423" s="103">
        <f>K425</f>
        <v>0</v>
      </c>
      <c r="L423" s="103">
        <f t="shared" ref="L423" si="162">L424+L425</f>
        <v>0</v>
      </c>
      <c r="M423" s="103"/>
      <c r="N423" s="974"/>
      <c r="O423" s="1131"/>
    </row>
    <row r="424" spans="1:15" ht="24.6" hidden="1" customHeight="1">
      <c r="A424" s="1093"/>
      <c r="B424" s="643" t="s">
        <v>10</v>
      </c>
      <c r="C424" s="643"/>
      <c r="D424" s="643"/>
      <c r="E424" s="643"/>
      <c r="F424" s="643"/>
      <c r="G424" s="103"/>
      <c r="H424" s="103"/>
      <c r="I424" s="103"/>
      <c r="J424" s="103"/>
      <c r="K424" s="103"/>
      <c r="L424" s="103"/>
      <c r="M424" s="103"/>
      <c r="N424" s="974"/>
      <c r="O424" s="1131"/>
    </row>
    <row r="425" spans="1:15" ht="172.5" hidden="1" customHeight="1">
      <c r="A425" s="1094"/>
      <c r="B425" s="643" t="s">
        <v>34</v>
      </c>
      <c r="C425" s="643"/>
      <c r="D425" s="643"/>
      <c r="E425" s="643"/>
      <c r="F425" s="643"/>
      <c r="G425" s="103">
        <f>K425</f>
        <v>0</v>
      </c>
      <c r="H425" s="103"/>
      <c r="I425" s="103"/>
      <c r="J425" s="103"/>
      <c r="K425" s="103"/>
      <c r="L425" s="103"/>
      <c r="M425" s="103"/>
      <c r="N425" s="940"/>
      <c r="O425" s="1131"/>
    </row>
    <row r="426" spans="1:15" ht="24.6" hidden="1" customHeight="1">
      <c r="A426" s="1092" t="s">
        <v>277</v>
      </c>
      <c r="B426" s="643" t="s">
        <v>89</v>
      </c>
      <c r="C426" s="643"/>
      <c r="D426" s="643"/>
      <c r="E426" s="643"/>
      <c r="F426" s="643"/>
      <c r="G426" s="103"/>
      <c r="H426" s="103"/>
      <c r="I426" s="103"/>
      <c r="J426" s="103"/>
      <c r="K426" s="103"/>
      <c r="L426" s="103"/>
      <c r="M426" s="103"/>
      <c r="N426" s="706"/>
      <c r="O426" s="1037" t="s">
        <v>276</v>
      </c>
    </row>
    <row r="427" spans="1:15" ht="24.6" hidden="1" customHeight="1">
      <c r="A427" s="1093"/>
      <c r="B427" s="643" t="s">
        <v>237</v>
      </c>
      <c r="C427" s="643"/>
      <c r="D427" s="643"/>
      <c r="E427" s="643"/>
      <c r="F427" s="643"/>
      <c r="G427" s="103">
        <f>G428+G429</f>
        <v>0</v>
      </c>
      <c r="H427" s="103"/>
      <c r="I427" s="103"/>
      <c r="J427" s="103"/>
      <c r="K427" s="103"/>
      <c r="L427" s="103">
        <f t="shared" ref="L427" si="163">L428+L429</f>
        <v>0</v>
      </c>
      <c r="M427" s="103"/>
      <c r="N427" s="706"/>
      <c r="O427" s="1037"/>
    </row>
    <row r="428" spans="1:15" ht="24.6" hidden="1" customHeight="1">
      <c r="A428" s="1093"/>
      <c r="B428" s="643" t="s">
        <v>10</v>
      </c>
      <c r="C428" s="643"/>
      <c r="D428" s="643"/>
      <c r="E428" s="643"/>
      <c r="F428" s="643"/>
      <c r="G428" s="103"/>
      <c r="H428" s="103"/>
      <c r="I428" s="103"/>
      <c r="J428" s="103"/>
      <c r="K428" s="103"/>
      <c r="L428" s="103"/>
      <c r="M428" s="103"/>
      <c r="N428" s="706"/>
      <c r="O428" s="1037"/>
    </row>
    <row r="429" spans="1:15" ht="24.6" hidden="1" customHeight="1">
      <c r="A429" s="1094"/>
      <c r="B429" s="643" t="s">
        <v>34</v>
      </c>
      <c r="C429" s="643"/>
      <c r="D429" s="643"/>
      <c r="E429" s="643"/>
      <c r="F429" s="643"/>
      <c r="G429" s="103"/>
      <c r="H429" s="103"/>
      <c r="I429" s="103"/>
      <c r="J429" s="103"/>
      <c r="K429" s="103"/>
      <c r="L429" s="103"/>
      <c r="M429" s="103"/>
      <c r="N429" s="706"/>
      <c r="O429" s="1037"/>
    </row>
    <row r="430" spans="1:15" ht="24.6" hidden="1" customHeight="1">
      <c r="A430" s="1086" t="s">
        <v>224</v>
      </c>
      <c r="B430" s="643" t="s">
        <v>89</v>
      </c>
      <c r="C430" s="643"/>
      <c r="D430" s="643"/>
      <c r="E430" s="643"/>
      <c r="F430" s="643"/>
      <c r="G430" s="103">
        <v>0</v>
      </c>
      <c r="H430" s="103"/>
      <c r="I430" s="103"/>
      <c r="J430" s="103"/>
      <c r="K430" s="103"/>
      <c r="L430" s="103">
        <v>0</v>
      </c>
      <c r="M430" s="103"/>
      <c r="N430" s="706"/>
      <c r="O430" s="1037" t="s">
        <v>221</v>
      </c>
    </row>
    <row r="431" spans="1:15" ht="31.15" hidden="1" customHeight="1">
      <c r="A431" s="1086"/>
      <c r="B431" s="643" t="s">
        <v>237</v>
      </c>
      <c r="C431" s="643"/>
      <c r="D431" s="643"/>
      <c r="E431" s="643"/>
      <c r="F431" s="643"/>
      <c r="G431" s="103">
        <f t="shared" ref="G431:L431" si="164">G432+G433</f>
        <v>0</v>
      </c>
      <c r="H431" s="103"/>
      <c r="I431" s="103"/>
      <c r="J431" s="103"/>
      <c r="K431" s="103"/>
      <c r="L431" s="103">
        <f t="shared" si="164"/>
        <v>0</v>
      </c>
      <c r="M431" s="103"/>
      <c r="N431" s="706"/>
      <c r="O431" s="1037"/>
    </row>
    <row r="432" spans="1:15" ht="27" hidden="1" customHeight="1">
      <c r="A432" s="1086"/>
      <c r="B432" s="643" t="s">
        <v>10</v>
      </c>
      <c r="C432" s="643"/>
      <c r="D432" s="643"/>
      <c r="E432" s="643"/>
      <c r="F432" s="643"/>
      <c r="G432" s="103"/>
      <c r="H432" s="103"/>
      <c r="I432" s="103"/>
      <c r="J432" s="103"/>
      <c r="K432" s="103"/>
      <c r="L432" s="103"/>
      <c r="M432" s="103"/>
      <c r="N432" s="706"/>
      <c r="O432" s="1037"/>
    </row>
    <row r="433" spans="1:61" ht="24.6" hidden="1" customHeight="1">
      <c r="A433" s="1086"/>
      <c r="B433" s="643" t="s">
        <v>34</v>
      </c>
      <c r="C433" s="643"/>
      <c r="D433" s="643"/>
      <c r="E433" s="643"/>
      <c r="F433" s="643"/>
      <c r="G433" s="103"/>
      <c r="H433" s="103"/>
      <c r="I433" s="103"/>
      <c r="J433" s="103"/>
      <c r="K433" s="103"/>
      <c r="L433" s="103"/>
      <c r="M433" s="103"/>
      <c r="N433" s="706"/>
      <c r="O433" s="1037"/>
    </row>
    <row r="434" spans="1:61" ht="35.25" hidden="1" customHeight="1">
      <c r="A434" s="1085" t="s">
        <v>22</v>
      </c>
      <c r="B434" s="62" t="s">
        <v>237</v>
      </c>
      <c r="C434" s="62"/>
      <c r="D434" s="62"/>
      <c r="E434" s="62"/>
      <c r="F434" s="62"/>
      <c r="G434" s="102">
        <f t="shared" ref="G434:M434" si="165">G435+G436</f>
        <v>0</v>
      </c>
      <c r="H434" s="102">
        <f t="shared" si="165"/>
        <v>0</v>
      </c>
      <c r="I434" s="102">
        <f t="shared" si="165"/>
        <v>0</v>
      </c>
      <c r="J434" s="102">
        <f t="shared" si="165"/>
        <v>0</v>
      </c>
      <c r="K434" s="102">
        <f t="shared" si="165"/>
        <v>0</v>
      </c>
      <c r="L434" s="102">
        <f t="shared" si="165"/>
        <v>0</v>
      </c>
      <c r="M434" s="102">
        <f t="shared" si="165"/>
        <v>0</v>
      </c>
      <c r="N434" s="706"/>
      <c r="O434" s="1037" t="s">
        <v>519</v>
      </c>
    </row>
    <row r="435" spans="1:61" ht="33.75" hidden="1" customHeight="1">
      <c r="A435" s="1085"/>
      <c r="B435" s="62" t="s">
        <v>10</v>
      </c>
      <c r="C435" s="62"/>
      <c r="D435" s="62"/>
      <c r="E435" s="62"/>
      <c r="F435" s="62"/>
      <c r="G435" s="102">
        <f>I435+J435+K435</f>
        <v>0</v>
      </c>
      <c r="H435" s="102"/>
      <c r="I435" s="102"/>
      <c r="J435" s="102"/>
      <c r="K435" s="102"/>
      <c r="L435" s="102"/>
      <c r="M435" s="102">
        <v>0</v>
      </c>
      <c r="N435" s="706"/>
      <c r="O435" s="1037"/>
    </row>
    <row r="436" spans="1:61" ht="40.5" hidden="1" customHeight="1">
      <c r="A436" s="1085"/>
      <c r="B436" s="62" t="s">
        <v>443</v>
      </c>
      <c r="C436" s="62"/>
      <c r="D436" s="62"/>
      <c r="E436" s="62"/>
      <c r="F436" s="62"/>
      <c r="G436" s="102"/>
      <c r="H436" s="102"/>
      <c r="I436" s="102"/>
      <c r="J436" s="102"/>
      <c r="K436" s="102"/>
      <c r="L436" s="102"/>
      <c r="M436" s="102"/>
      <c r="N436" s="706"/>
      <c r="O436" s="1037"/>
    </row>
    <row r="437" spans="1:61" ht="26.25" customHeight="1">
      <c r="A437" s="1075" t="s">
        <v>925</v>
      </c>
      <c r="B437" s="62" t="s">
        <v>237</v>
      </c>
      <c r="C437" s="62"/>
      <c r="D437" s="62"/>
      <c r="E437" s="62"/>
      <c r="F437" s="62"/>
      <c r="G437" s="102">
        <f>G438</f>
        <v>5736.3</v>
      </c>
      <c r="H437" s="102">
        <f>H438</f>
        <v>5736.3</v>
      </c>
      <c r="I437" s="102"/>
      <c r="J437" s="102"/>
      <c r="K437" s="102"/>
      <c r="L437" s="102"/>
      <c r="M437" s="102"/>
      <c r="N437" s="1078"/>
      <c r="O437" s="1030" t="s">
        <v>926</v>
      </c>
    </row>
    <row r="438" spans="1:61" ht="18.75" customHeight="1">
      <c r="A438" s="1076"/>
      <c r="B438" s="62" t="s">
        <v>10</v>
      </c>
      <c r="C438" s="62"/>
      <c r="D438" s="62"/>
      <c r="E438" s="62"/>
      <c r="F438" s="62"/>
      <c r="G438" s="102">
        <f>H438</f>
        <v>5736.3</v>
      </c>
      <c r="H438" s="102">
        <v>5736.3</v>
      </c>
      <c r="I438" s="102"/>
      <c r="J438" s="102"/>
      <c r="K438" s="102"/>
      <c r="L438" s="102"/>
      <c r="M438" s="102"/>
      <c r="N438" s="1079"/>
      <c r="O438" s="1032"/>
    </row>
    <row r="439" spans="1:61" ht="18.75" customHeight="1">
      <c r="A439" s="1077"/>
      <c r="B439" s="62" t="s">
        <v>443</v>
      </c>
      <c r="C439" s="62"/>
      <c r="D439" s="62"/>
      <c r="E439" s="62"/>
      <c r="F439" s="62"/>
      <c r="G439" s="102"/>
      <c r="H439" s="102"/>
      <c r="I439" s="102"/>
      <c r="J439" s="102"/>
      <c r="K439" s="102"/>
      <c r="L439" s="102"/>
      <c r="M439" s="102"/>
      <c r="N439" s="1080"/>
      <c r="O439" s="1031"/>
    </row>
    <row r="440" spans="1:61" ht="24.95" customHeight="1">
      <c r="A440" s="985" t="s">
        <v>810</v>
      </c>
      <c r="B440" s="774" t="s">
        <v>744</v>
      </c>
      <c r="C440" s="774"/>
      <c r="D440" s="774"/>
      <c r="E440" s="774"/>
      <c r="F440" s="774"/>
      <c r="G440" s="102">
        <f>G447</f>
        <v>5.048</v>
      </c>
      <c r="H440" s="102">
        <f t="shared" ref="H440:L440" si="166">H447</f>
        <v>0</v>
      </c>
      <c r="I440" s="102">
        <f t="shared" si="166"/>
        <v>0</v>
      </c>
      <c r="J440" s="102">
        <f t="shared" si="166"/>
        <v>0</v>
      </c>
      <c r="K440" s="102">
        <f t="shared" si="166"/>
        <v>5.048</v>
      </c>
      <c r="L440" s="102">
        <f t="shared" si="166"/>
        <v>5</v>
      </c>
      <c r="M440" s="102">
        <f t="shared" ref="M440" si="167">M483+M489+M501+M547+M599+M627+M637+M738</f>
        <v>0</v>
      </c>
      <c r="N440" s="1037" t="s">
        <v>26</v>
      </c>
      <c r="O440" s="1037" t="s">
        <v>995</v>
      </c>
    </row>
    <row r="441" spans="1:61" ht="24.95" customHeight="1">
      <c r="A441" s="986"/>
      <c r="B441" s="774" t="s">
        <v>24</v>
      </c>
      <c r="C441" s="774"/>
      <c r="D441" s="774"/>
      <c r="E441" s="774"/>
      <c r="F441" s="774"/>
      <c r="G441" s="743">
        <f>G442/G440</f>
        <v>37199.2472266244</v>
      </c>
      <c r="H441" s="743"/>
      <c r="I441" s="743"/>
      <c r="J441" s="743"/>
      <c r="K441" s="743"/>
      <c r="L441" s="743">
        <f t="shared" ref="L441" si="168">L442/L440</f>
        <v>82368.899999999994</v>
      </c>
      <c r="M441" s="743">
        <v>0</v>
      </c>
      <c r="N441" s="1037"/>
      <c r="O441" s="1037"/>
    </row>
    <row r="442" spans="1:61" ht="24.95" customHeight="1">
      <c r="A442" s="986"/>
      <c r="B442" s="774" t="s">
        <v>25</v>
      </c>
      <c r="C442" s="774">
        <v>176</v>
      </c>
      <c r="D442" s="774" t="s">
        <v>15</v>
      </c>
      <c r="E442" s="774">
        <v>6100404</v>
      </c>
      <c r="F442" s="774">
        <v>243</v>
      </c>
      <c r="G442" s="102">
        <f>G449+G769</f>
        <v>187781.8</v>
      </c>
      <c r="H442" s="102">
        <f t="shared" ref="H442:K442" si="169">H449+H769</f>
        <v>3846.5</v>
      </c>
      <c r="I442" s="102">
        <f t="shared" si="169"/>
        <v>0</v>
      </c>
      <c r="J442" s="102">
        <f t="shared" si="169"/>
        <v>0</v>
      </c>
      <c r="K442" s="102">
        <f t="shared" si="169"/>
        <v>183935.3</v>
      </c>
      <c r="L442" s="102">
        <f t="shared" ref="L442:M442" si="170">L449+L770</f>
        <v>411844.5</v>
      </c>
      <c r="M442" s="102">
        <f t="shared" si="170"/>
        <v>90000</v>
      </c>
      <c r="N442" s="1037"/>
      <c r="O442" s="1037"/>
    </row>
    <row r="443" spans="1:61" ht="23.45" customHeight="1">
      <c r="A443" s="986"/>
      <c r="B443" s="774" t="s">
        <v>10</v>
      </c>
      <c r="C443" s="774">
        <v>176</v>
      </c>
      <c r="D443" s="774" t="s">
        <v>15</v>
      </c>
      <c r="E443" s="774">
        <v>6100404</v>
      </c>
      <c r="F443" s="774">
        <v>243</v>
      </c>
      <c r="G443" s="102">
        <f>G450+G770</f>
        <v>177089.4</v>
      </c>
      <c r="H443" s="102">
        <f t="shared" ref="H443:M443" si="171">H450+H770</f>
        <v>3846.5</v>
      </c>
      <c r="I443" s="102">
        <f t="shared" si="171"/>
        <v>0</v>
      </c>
      <c r="J443" s="102">
        <f t="shared" si="171"/>
        <v>0</v>
      </c>
      <c r="K443" s="102">
        <f t="shared" si="171"/>
        <v>173242.9</v>
      </c>
      <c r="L443" s="102">
        <f t="shared" si="171"/>
        <v>346844.5</v>
      </c>
      <c r="M443" s="102">
        <f t="shared" si="171"/>
        <v>90000</v>
      </c>
      <c r="N443" s="1037"/>
      <c r="O443" s="1037"/>
    </row>
    <row r="444" spans="1:61" s="45" customFormat="1" ht="24.6" customHeight="1">
      <c r="A444" s="986"/>
      <c r="B444" s="774" t="s">
        <v>443</v>
      </c>
      <c r="C444" s="774"/>
      <c r="D444" s="774"/>
      <c r="E444" s="774"/>
      <c r="F444" s="774"/>
      <c r="G444" s="102">
        <f>G451+G771</f>
        <v>10692.4</v>
      </c>
      <c r="H444" s="102">
        <f t="shared" ref="H444:M444" si="172">H451+H771</f>
        <v>0</v>
      </c>
      <c r="I444" s="102">
        <f t="shared" si="172"/>
        <v>0</v>
      </c>
      <c r="J444" s="102">
        <f t="shared" si="172"/>
        <v>0</v>
      </c>
      <c r="K444" s="102">
        <f t="shared" si="172"/>
        <v>10692.4</v>
      </c>
      <c r="L444" s="102">
        <f t="shared" si="172"/>
        <v>65000</v>
      </c>
      <c r="M444" s="102">
        <f t="shared" si="172"/>
        <v>0</v>
      </c>
      <c r="N444" s="1037"/>
      <c r="O444" s="1037"/>
      <c r="R444" s="1042">
        <v>2019</v>
      </c>
      <c r="S444" s="1043"/>
      <c r="T444" s="1042">
        <v>2020</v>
      </c>
      <c r="U444" s="1043"/>
      <c r="V444" s="1044">
        <v>2021</v>
      </c>
      <c r="W444" s="1044"/>
      <c r="AJ444" s="113"/>
      <c r="AK444" s="113"/>
      <c r="AL444" s="113"/>
      <c r="AM444" s="113"/>
      <c r="AN444" s="113"/>
      <c r="AO444" s="113"/>
      <c r="AP444" s="113"/>
      <c r="AQ444" s="113"/>
      <c r="AR444" s="113"/>
      <c r="AS444" s="113"/>
      <c r="AT444" s="113"/>
      <c r="AU444" s="113"/>
      <c r="AV444" s="113"/>
      <c r="AW444" s="113"/>
      <c r="AX444" s="113"/>
      <c r="AY444" s="113"/>
      <c r="AZ444" s="113"/>
      <c r="BA444" s="113"/>
      <c r="BB444" s="113"/>
      <c r="BC444" s="113"/>
      <c r="BD444" s="113"/>
      <c r="BE444" s="113"/>
      <c r="BF444" s="113"/>
      <c r="BG444" s="113"/>
      <c r="BH444" s="113"/>
      <c r="BI444" s="113"/>
    </row>
    <row r="445" spans="1:61" s="45" customFormat="1" ht="24.6" customHeight="1">
      <c r="A445" s="986"/>
      <c r="B445" s="774" t="s">
        <v>11</v>
      </c>
      <c r="C445" s="774"/>
      <c r="D445" s="774"/>
      <c r="E445" s="774"/>
      <c r="F445" s="774"/>
      <c r="G445" s="102">
        <v>0</v>
      </c>
      <c r="H445" s="102"/>
      <c r="I445" s="102"/>
      <c r="J445" s="102"/>
      <c r="K445" s="102"/>
      <c r="L445" s="102"/>
      <c r="M445" s="102"/>
      <c r="N445" s="1037"/>
      <c r="O445" s="1037"/>
      <c r="R445" s="773" t="s">
        <v>743</v>
      </c>
      <c r="S445" s="773" t="s">
        <v>355</v>
      </c>
      <c r="T445" s="773" t="s">
        <v>743</v>
      </c>
      <c r="U445" s="773" t="s">
        <v>355</v>
      </c>
      <c r="V445" s="773" t="s">
        <v>743</v>
      </c>
      <c r="W445" s="110" t="s">
        <v>355</v>
      </c>
      <c r="AJ445" s="113"/>
      <c r="AK445" s="113"/>
      <c r="AL445" s="113"/>
      <c r="AM445" s="113"/>
      <c r="AN445" s="113"/>
      <c r="AO445" s="113"/>
      <c r="AP445" s="113"/>
      <c r="AQ445" s="113"/>
      <c r="AR445" s="113"/>
      <c r="AS445" s="113"/>
      <c r="AT445" s="113"/>
      <c r="AU445" s="113"/>
      <c r="AV445" s="113"/>
      <c r="AW445" s="113"/>
      <c r="AX445" s="113"/>
      <c r="AY445" s="113"/>
      <c r="AZ445" s="113"/>
      <c r="BA445" s="113"/>
      <c r="BB445" s="113"/>
      <c r="BC445" s="113"/>
      <c r="BD445" s="113"/>
      <c r="BE445" s="113"/>
      <c r="BF445" s="113"/>
      <c r="BG445" s="113"/>
      <c r="BH445" s="113"/>
      <c r="BI445" s="113"/>
    </row>
    <row r="446" spans="1:61" ht="24.6" customHeight="1">
      <c r="A446" s="987"/>
      <c r="B446" s="774" t="s">
        <v>454</v>
      </c>
      <c r="C446" s="774"/>
      <c r="D446" s="774"/>
      <c r="E446" s="774"/>
      <c r="F446" s="774"/>
      <c r="G446" s="102">
        <v>0</v>
      </c>
      <c r="H446" s="102"/>
      <c r="I446" s="102"/>
      <c r="J446" s="102"/>
      <c r="K446" s="102"/>
      <c r="L446" s="102"/>
      <c r="M446" s="102"/>
      <c r="N446" s="1037"/>
      <c r="O446" s="1037"/>
      <c r="R446" s="1045">
        <f>18.3-0.2-0.4-0.4</f>
        <v>17.300000000000004</v>
      </c>
      <c r="S446" s="1046" t="e">
        <f>S489+S495+S507+S537+S553+S577+S589+S605+S617+S633+S643+S682+S704+#REF!+S724+S744</f>
        <v>#REF!</v>
      </c>
      <c r="T446" s="1047">
        <f>12+0.4</f>
        <v>12.4</v>
      </c>
      <c r="U446" s="1046"/>
      <c r="V446" s="1048">
        <v>16</v>
      </c>
      <c r="W446" s="1049"/>
    </row>
    <row r="447" spans="1:61" ht="24.95" customHeight="1">
      <c r="A447" s="985" t="s">
        <v>1008</v>
      </c>
      <c r="B447" s="62" t="s">
        <v>744</v>
      </c>
      <c r="C447" s="62"/>
      <c r="D447" s="62"/>
      <c r="E447" s="62"/>
      <c r="F447" s="62"/>
      <c r="G447" s="102">
        <f>G490+G496+G508+G554+G606+G634+G644+G745</f>
        <v>5.048</v>
      </c>
      <c r="H447" s="102">
        <f t="shared" ref="H447:M447" si="173">H490+H496+H508+H554+H606+H634+H644+H745</f>
        <v>0</v>
      </c>
      <c r="I447" s="102">
        <f t="shared" si="173"/>
        <v>0</v>
      </c>
      <c r="J447" s="102">
        <f t="shared" si="173"/>
        <v>0</v>
      </c>
      <c r="K447" s="102">
        <f t="shared" si="173"/>
        <v>5.048</v>
      </c>
      <c r="L447" s="102">
        <f>L490+L496+L508+L554+L606+L634+L644+L745</f>
        <v>5</v>
      </c>
      <c r="M447" s="102">
        <f t="shared" si="173"/>
        <v>0</v>
      </c>
      <c r="N447" s="1037" t="s">
        <v>26</v>
      </c>
      <c r="O447" s="1037" t="s">
        <v>995</v>
      </c>
    </row>
    <row r="448" spans="1:61" ht="24.95" customHeight="1">
      <c r="A448" s="986"/>
      <c r="B448" s="62" t="s">
        <v>24</v>
      </c>
      <c r="C448" s="62"/>
      <c r="D448" s="62"/>
      <c r="E448" s="62"/>
      <c r="F448" s="62"/>
      <c r="G448" s="743">
        <v>60700.4</v>
      </c>
      <c r="H448" s="743"/>
      <c r="I448" s="743"/>
      <c r="J448" s="743"/>
      <c r="K448" s="743"/>
      <c r="L448" s="743">
        <f>L449/L447</f>
        <v>82368.899999999994</v>
      </c>
      <c r="M448" s="743">
        <v>0</v>
      </c>
      <c r="N448" s="1037"/>
      <c r="O448" s="1037"/>
    </row>
    <row r="449" spans="1:61" ht="24.95" customHeight="1">
      <c r="A449" s="986"/>
      <c r="B449" s="62" t="s">
        <v>25</v>
      </c>
      <c r="C449" s="62">
        <v>176</v>
      </c>
      <c r="D449" s="62" t="s">
        <v>15</v>
      </c>
      <c r="E449" s="62">
        <v>6100404</v>
      </c>
      <c r="F449" s="62">
        <v>243</v>
      </c>
      <c r="G449" s="102">
        <f>G450+G451</f>
        <v>183935.3</v>
      </c>
      <c r="H449" s="102">
        <f t="shared" ref="H449:K449" si="174">H450+H451</f>
        <v>0</v>
      </c>
      <c r="I449" s="102">
        <f t="shared" si="174"/>
        <v>0</v>
      </c>
      <c r="J449" s="102">
        <f t="shared" si="174"/>
        <v>0</v>
      </c>
      <c r="K449" s="102">
        <f t="shared" si="174"/>
        <v>183935.3</v>
      </c>
      <c r="L449" s="102">
        <f t="shared" ref="L449:M449" si="175">L450+L451</f>
        <v>411844.5</v>
      </c>
      <c r="M449" s="102">
        <f t="shared" si="175"/>
        <v>90000</v>
      </c>
      <c r="N449" s="1037"/>
      <c r="O449" s="1037"/>
    </row>
    <row r="450" spans="1:61" ht="23.45" customHeight="1">
      <c r="A450" s="986"/>
      <c r="B450" s="62" t="s">
        <v>10</v>
      </c>
      <c r="C450" s="62">
        <v>176</v>
      </c>
      <c r="D450" s="62" t="s">
        <v>15</v>
      </c>
      <c r="E450" s="62">
        <v>6100404</v>
      </c>
      <c r="F450" s="62">
        <v>243</v>
      </c>
      <c r="G450" s="102">
        <f>G491+G498+G510+G556+G608+G636+G646+G746</f>
        <v>173242.9</v>
      </c>
      <c r="H450" s="102">
        <f t="shared" ref="H450:K450" si="176">H491+H498+H510+H556+H608+H636+H646+H746</f>
        <v>0</v>
      </c>
      <c r="I450" s="102">
        <f t="shared" si="176"/>
        <v>0</v>
      </c>
      <c r="J450" s="102">
        <f t="shared" si="176"/>
        <v>0</v>
      </c>
      <c r="K450" s="102">
        <f t="shared" si="176"/>
        <v>173242.9</v>
      </c>
      <c r="L450" s="102">
        <f t="shared" ref="L450:M450" si="177">L491+L498+L510+L556+L608+L636+L646+L746</f>
        <v>346844.5</v>
      </c>
      <c r="M450" s="102">
        <f t="shared" si="177"/>
        <v>90000</v>
      </c>
      <c r="N450" s="1037"/>
      <c r="O450" s="1037"/>
    </row>
    <row r="451" spans="1:61" s="45" customFormat="1" ht="24.6" customHeight="1">
      <c r="A451" s="986"/>
      <c r="B451" s="62" t="s">
        <v>443</v>
      </c>
      <c r="C451" s="62"/>
      <c r="D451" s="62"/>
      <c r="E451" s="62"/>
      <c r="F451" s="62"/>
      <c r="G451" s="102">
        <f>G499+G511+G557+G609+G637+G647</f>
        <v>10692.4</v>
      </c>
      <c r="H451" s="102">
        <f t="shared" ref="H451:M451" si="178">H499+H511+H557+H609+H637+H647</f>
        <v>0</v>
      </c>
      <c r="I451" s="102">
        <f t="shared" si="178"/>
        <v>0</v>
      </c>
      <c r="J451" s="102">
        <f t="shared" si="178"/>
        <v>0</v>
      </c>
      <c r="K451" s="102">
        <f t="shared" si="178"/>
        <v>10692.4</v>
      </c>
      <c r="L451" s="102">
        <f t="shared" si="178"/>
        <v>65000</v>
      </c>
      <c r="M451" s="102">
        <f t="shared" si="178"/>
        <v>0</v>
      </c>
      <c r="N451" s="1037"/>
      <c r="O451" s="1037"/>
      <c r="R451" s="1042">
        <v>2019</v>
      </c>
      <c r="S451" s="1043"/>
      <c r="T451" s="1042">
        <v>2020</v>
      </c>
      <c r="U451" s="1043"/>
      <c r="V451" s="1044">
        <v>2021</v>
      </c>
      <c r="W451" s="1044"/>
      <c r="AJ451" s="113"/>
      <c r="AK451" s="113"/>
      <c r="AL451" s="113"/>
      <c r="AM451" s="113"/>
      <c r="AN451" s="113"/>
      <c r="AO451" s="113"/>
      <c r="AP451" s="113"/>
      <c r="AQ451" s="113"/>
      <c r="AR451" s="113"/>
      <c r="AS451" s="113"/>
      <c r="AT451" s="113"/>
      <c r="AU451" s="113"/>
      <c r="AV451" s="113"/>
      <c r="AW451" s="113"/>
      <c r="AX451" s="113"/>
      <c r="AY451" s="113"/>
      <c r="AZ451" s="113"/>
      <c r="BA451" s="113"/>
      <c r="BB451" s="113"/>
      <c r="BC451" s="113"/>
      <c r="BD451" s="113"/>
      <c r="BE451" s="113"/>
      <c r="BF451" s="113"/>
      <c r="BG451" s="113"/>
      <c r="BH451" s="113"/>
      <c r="BI451" s="113"/>
    </row>
    <row r="452" spans="1:61" s="45" customFormat="1" ht="24.6" customHeight="1">
      <c r="A452" s="986"/>
      <c r="B452" s="62" t="s">
        <v>11</v>
      </c>
      <c r="C452" s="62"/>
      <c r="D452" s="62"/>
      <c r="E452" s="62"/>
      <c r="F452" s="62"/>
      <c r="G452" s="102">
        <v>0</v>
      </c>
      <c r="H452" s="102"/>
      <c r="I452" s="102"/>
      <c r="J452" s="102"/>
      <c r="K452" s="102"/>
      <c r="L452" s="102"/>
      <c r="M452" s="102"/>
      <c r="N452" s="1037"/>
      <c r="O452" s="1037"/>
      <c r="R452" s="488" t="s">
        <v>743</v>
      </c>
      <c r="S452" s="488" t="s">
        <v>355</v>
      </c>
      <c r="T452" s="488" t="s">
        <v>743</v>
      </c>
      <c r="U452" s="488" t="s">
        <v>355</v>
      </c>
      <c r="V452" s="488" t="s">
        <v>743</v>
      </c>
      <c r="W452" s="110" t="s">
        <v>355</v>
      </c>
      <c r="AJ452" s="113"/>
      <c r="AK452" s="113"/>
      <c r="AL452" s="113"/>
      <c r="AM452" s="113"/>
      <c r="AN452" s="113"/>
      <c r="AO452" s="113"/>
      <c r="AP452" s="113"/>
      <c r="AQ452" s="113"/>
      <c r="AR452" s="113"/>
      <c r="AS452" s="113"/>
      <c r="AT452" s="113"/>
      <c r="AU452" s="113"/>
      <c r="AV452" s="113"/>
      <c r="AW452" s="113"/>
      <c r="AX452" s="113"/>
      <c r="AY452" s="113"/>
      <c r="AZ452" s="113"/>
      <c r="BA452" s="113"/>
      <c r="BB452" s="113"/>
      <c r="BC452" s="113"/>
      <c r="BD452" s="113"/>
      <c r="BE452" s="113"/>
      <c r="BF452" s="113"/>
      <c r="BG452" s="113"/>
      <c r="BH452" s="113"/>
      <c r="BI452" s="113"/>
    </row>
    <row r="453" spans="1:61" ht="24.6" customHeight="1">
      <c r="A453" s="987"/>
      <c r="B453" s="62" t="s">
        <v>454</v>
      </c>
      <c r="C453" s="62"/>
      <c r="D453" s="62"/>
      <c r="E453" s="62"/>
      <c r="F453" s="62"/>
      <c r="G453" s="102">
        <v>0</v>
      </c>
      <c r="H453" s="102"/>
      <c r="I453" s="102"/>
      <c r="J453" s="102"/>
      <c r="K453" s="102"/>
      <c r="L453" s="102"/>
      <c r="M453" s="102"/>
      <c r="N453" s="1037"/>
      <c r="O453" s="1037"/>
      <c r="R453" s="1045">
        <f>18.3-0.2-0.4-0.4</f>
        <v>17.300000000000004</v>
      </c>
      <c r="S453" s="1046" t="e">
        <f>S496+S502+S514+S544+S560+S584+S596+S612+S624+S640+S650+S689+S711+#REF!+S731+S751</f>
        <v>#REF!</v>
      </c>
      <c r="T453" s="1047">
        <f>12+0.4</f>
        <v>12.4</v>
      </c>
      <c r="U453" s="1046"/>
      <c r="V453" s="1048">
        <v>16</v>
      </c>
      <c r="W453" s="1049"/>
    </row>
    <row r="454" spans="1:61" ht="24.6" hidden="1" customHeight="1">
      <c r="A454" s="1038" t="s">
        <v>96</v>
      </c>
      <c r="B454" s="62" t="s">
        <v>89</v>
      </c>
      <c r="C454" s="62"/>
      <c r="D454" s="62"/>
      <c r="E454" s="62"/>
      <c r="F454" s="62"/>
      <c r="G454" s="102">
        <f t="shared" ref="G454:L455" si="179">G456+G458+G460</f>
        <v>0</v>
      </c>
      <c r="H454" s="102"/>
      <c r="I454" s="102"/>
      <c r="J454" s="102"/>
      <c r="K454" s="102"/>
      <c r="L454" s="102">
        <f t="shared" si="179"/>
        <v>0</v>
      </c>
      <c r="M454" s="102"/>
      <c r="N454" s="709"/>
      <c r="O454" s="709"/>
    </row>
    <row r="455" spans="1:61" ht="24.6" hidden="1" customHeight="1">
      <c r="A455" s="1038"/>
      <c r="B455" s="62" t="s">
        <v>248</v>
      </c>
      <c r="C455" s="62"/>
      <c r="D455" s="62"/>
      <c r="E455" s="62"/>
      <c r="F455" s="62"/>
      <c r="G455" s="102">
        <f t="shared" si="179"/>
        <v>0</v>
      </c>
      <c r="H455" s="102"/>
      <c r="I455" s="102"/>
      <c r="J455" s="102"/>
      <c r="K455" s="102"/>
      <c r="L455" s="102">
        <f t="shared" si="179"/>
        <v>0</v>
      </c>
      <c r="M455" s="102"/>
      <c r="N455" s="709"/>
      <c r="O455" s="709"/>
    </row>
    <row r="456" spans="1:61" ht="24.6" hidden="1" customHeight="1">
      <c r="A456" s="1065" t="s">
        <v>108</v>
      </c>
      <c r="B456" s="643" t="s">
        <v>89</v>
      </c>
      <c r="C456" s="643">
        <v>176</v>
      </c>
      <c r="D456" s="643" t="s">
        <v>15</v>
      </c>
      <c r="E456" s="643">
        <v>6100404</v>
      </c>
      <c r="F456" s="643">
        <v>243</v>
      </c>
      <c r="G456" s="103">
        <v>0</v>
      </c>
      <c r="H456" s="103"/>
      <c r="I456" s="103"/>
      <c r="J456" s="103"/>
      <c r="K456" s="103"/>
      <c r="L456" s="103"/>
      <c r="M456" s="103"/>
      <c r="N456" s="703"/>
      <c r="O456" s="1037" t="s">
        <v>92</v>
      </c>
    </row>
    <row r="457" spans="1:61" ht="24.6" hidden="1" customHeight="1">
      <c r="A457" s="1065"/>
      <c r="B457" s="643" t="s">
        <v>248</v>
      </c>
      <c r="C457" s="643"/>
      <c r="D457" s="643"/>
      <c r="E457" s="643"/>
      <c r="F457" s="643"/>
      <c r="G457" s="103"/>
      <c r="H457" s="103"/>
      <c r="I457" s="103"/>
      <c r="J457" s="103"/>
      <c r="K457" s="103"/>
      <c r="L457" s="103"/>
      <c r="M457" s="103"/>
      <c r="N457" s="703"/>
      <c r="O457" s="1037"/>
    </row>
    <row r="458" spans="1:61" ht="24.6" hidden="1" customHeight="1">
      <c r="A458" s="644" t="s">
        <v>209</v>
      </c>
      <c r="B458" s="643" t="s">
        <v>89</v>
      </c>
      <c r="C458" s="643">
        <v>176</v>
      </c>
      <c r="D458" s="643" t="s">
        <v>15</v>
      </c>
      <c r="E458" s="643">
        <v>6100404</v>
      </c>
      <c r="F458" s="643">
        <v>243</v>
      </c>
      <c r="G458" s="103"/>
      <c r="H458" s="103"/>
      <c r="I458" s="103"/>
      <c r="J458" s="103"/>
      <c r="K458" s="103"/>
      <c r="L458" s="103"/>
      <c r="M458" s="103"/>
      <c r="N458" s="703"/>
      <c r="O458" s="703" t="s">
        <v>35</v>
      </c>
    </row>
    <row r="459" spans="1:61" s="45" customFormat="1" ht="24.6" hidden="1" customHeight="1">
      <c r="A459" s="644"/>
      <c r="B459" s="643" t="s">
        <v>248</v>
      </c>
      <c r="C459" s="643"/>
      <c r="D459" s="643"/>
      <c r="E459" s="643"/>
      <c r="F459" s="643"/>
      <c r="G459" s="103"/>
      <c r="H459" s="103"/>
      <c r="I459" s="103"/>
      <c r="J459" s="103"/>
      <c r="K459" s="103"/>
      <c r="L459" s="103"/>
      <c r="M459" s="103"/>
      <c r="N459" s="703"/>
      <c r="O459" s="703"/>
      <c r="AJ459" s="113"/>
      <c r="AK459" s="113"/>
      <c r="AL459" s="113"/>
      <c r="AM459" s="113"/>
      <c r="AN459" s="113"/>
      <c r="AO459" s="113"/>
      <c r="AP459" s="113"/>
      <c r="AQ459" s="113"/>
      <c r="AR459" s="113"/>
      <c r="AS459" s="113"/>
      <c r="AT459" s="113"/>
      <c r="AU459" s="113"/>
      <c r="AV459" s="113"/>
      <c r="AW459" s="113"/>
      <c r="AX459" s="113"/>
      <c r="AY459" s="113"/>
      <c r="AZ459" s="113"/>
      <c r="BA459" s="113"/>
      <c r="BB459" s="113"/>
      <c r="BC459" s="113"/>
      <c r="BD459" s="113"/>
      <c r="BE459" s="113"/>
      <c r="BF459" s="113"/>
      <c r="BG459" s="113"/>
      <c r="BH459" s="113"/>
      <c r="BI459" s="113"/>
    </row>
    <row r="460" spans="1:61" s="45" customFormat="1" ht="43.9" hidden="1" customHeight="1">
      <c r="A460" s="1039" t="s">
        <v>109</v>
      </c>
      <c r="B460" s="643" t="s">
        <v>89</v>
      </c>
      <c r="C460" s="643">
        <v>176</v>
      </c>
      <c r="D460" s="643" t="s">
        <v>15</v>
      </c>
      <c r="E460" s="643">
        <v>6100404</v>
      </c>
      <c r="F460" s="643">
        <v>243</v>
      </c>
      <c r="G460" s="103">
        <v>0</v>
      </c>
      <c r="H460" s="103"/>
      <c r="I460" s="103"/>
      <c r="J460" s="103"/>
      <c r="K460" s="103"/>
      <c r="L460" s="103"/>
      <c r="M460" s="103"/>
      <c r="N460" s="703"/>
      <c r="O460" s="1037" t="s">
        <v>31</v>
      </c>
      <c r="AJ460" s="113"/>
      <c r="AK460" s="113"/>
      <c r="AL460" s="113"/>
      <c r="AM460" s="113"/>
      <c r="AN460" s="113"/>
      <c r="AO460" s="113"/>
      <c r="AP460" s="113"/>
      <c r="AQ460" s="113"/>
      <c r="AR460" s="113"/>
      <c r="AS460" s="113"/>
      <c r="AT460" s="113"/>
      <c r="AU460" s="113"/>
      <c r="AV460" s="113"/>
      <c r="AW460" s="113"/>
      <c r="AX460" s="113"/>
      <c r="AY460" s="113"/>
      <c r="AZ460" s="113"/>
      <c r="BA460" s="113"/>
      <c r="BB460" s="113"/>
      <c r="BC460" s="113"/>
      <c r="BD460" s="113"/>
      <c r="BE460" s="113"/>
      <c r="BF460" s="113"/>
      <c r="BG460" s="113"/>
      <c r="BH460" s="113"/>
      <c r="BI460" s="113"/>
    </row>
    <row r="461" spans="1:61" ht="24.6" hidden="1" customHeight="1">
      <c r="A461" s="1039"/>
      <c r="B461" s="643" t="s">
        <v>248</v>
      </c>
      <c r="C461" s="643"/>
      <c r="D461" s="643"/>
      <c r="E461" s="643"/>
      <c r="F461" s="643"/>
      <c r="G461" s="103"/>
      <c r="H461" s="103"/>
      <c r="I461" s="103"/>
      <c r="J461" s="103"/>
      <c r="K461" s="103"/>
      <c r="L461" s="103"/>
      <c r="M461" s="103"/>
      <c r="N461" s="703"/>
      <c r="O461" s="1037"/>
    </row>
    <row r="462" spans="1:61" ht="24" hidden="1" customHeight="1">
      <c r="A462" s="652" t="s">
        <v>116</v>
      </c>
      <c r="B462" s="62" t="s">
        <v>89</v>
      </c>
      <c r="C462" s="62"/>
      <c r="D462" s="62"/>
      <c r="E462" s="62"/>
      <c r="F462" s="62"/>
      <c r="G462" s="102">
        <f>G464+G466</f>
        <v>0</v>
      </c>
      <c r="H462" s="102"/>
      <c r="I462" s="102"/>
      <c r="J462" s="102"/>
      <c r="K462" s="102"/>
      <c r="L462" s="102">
        <f t="shared" ref="L462:M462" si="180">L464+L466</f>
        <v>0</v>
      </c>
      <c r="M462" s="102">
        <f t="shared" si="180"/>
        <v>0</v>
      </c>
      <c r="N462" s="703"/>
      <c r="O462" s="709"/>
    </row>
    <row r="463" spans="1:61" ht="41.25" hidden="1" customHeight="1">
      <c r="A463" s="649"/>
      <c r="B463" s="62" t="s">
        <v>248</v>
      </c>
      <c r="C463" s="62"/>
      <c r="D463" s="62"/>
      <c r="E463" s="62"/>
      <c r="F463" s="62"/>
      <c r="G463" s="102">
        <f>G465+G467</f>
        <v>0</v>
      </c>
      <c r="H463" s="102"/>
      <c r="I463" s="102"/>
      <c r="J463" s="102"/>
      <c r="K463" s="102"/>
      <c r="L463" s="102">
        <f t="shared" ref="L463:M463" si="181">L465+L467</f>
        <v>0</v>
      </c>
      <c r="M463" s="102">
        <f t="shared" si="181"/>
        <v>0</v>
      </c>
      <c r="N463" s="703"/>
      <c r="O463" s="709"/>
    </row>
    <row r="464" spans="1:61" ht="24.6" hidden="1" customHeight="1">
      <c r="A464" s="1028" t="s">
        <v>151</v>
      </c>
      <c r="B464" s="643" t="s">
        <v>89</v>
      </c>
      <c r="C464" s="62"/>
      <c r="D464" s="62"/>
      <c r="E464" s="62"/>
      <c r="F464" s="62"/>
      <c r="G464" s="102"/>
      <c r="H464" s="102"/>
      <c r="I464" s="102"/>
      <c r="J464" s="102"/>
      <c r="K464" s="102"/>
      <c r="L464" s="102"/>
      <c r="M464" s="103"/>
      <c r="N464" s="703"/>
      <c r="O464" s="1037" t="s">
        <v>341</v>
      </c>
    </row>
    <row r="465" spans="1:61" ht="24.6" hidden="1" customHeight="1">
      <c r="A465" s="1029"/>
      <c r="B465" s="643" t="s">
        <v>248</v>
      </c>
      <c r="C465" s="62"/>
      <c r="D465" s="62"/>
      <c r="E465" s="62"/>
      <c r="F465" s="62"/>
      <c r="G465" s="102"/>
      <c r="H465" s="102"/>
      <c r="I465" s="102"/>
      <c r="J465" s="102"/>
      <c r="K465" s="102"/>
      <c r="L465" s="102"/>
      <c r="M465" s="103"/>
      <c r="N465" s="703"/>
      <c r="O465" s="1037"/>
    </row>
    <row r="466" spans="1:61" ht="24.6" hidden="1" customHeight="1">
      <c r="A466" s="1065" t="s">
        <v>110</v>
      </c>
      <c r="B466" s="643" t="s">
        <v>89</v>
      </c>
      <c r="C466" s="643">
        <v>176</v>
      </c>
      <c r="D466" s="643" t="s">
        <v>15</v>
      </c>
      <c r="E466" s="643">
        <v>6100404</v>
      </c>
      <c r="F466" s="643">
        <v>243</v>
      </c>
      <c r="G466" s="103"/>
      <c r="H466" s="103"/>
      <c r="I466" s="103"/>
      <c r="J466" s="103"/>
      <c r="K466" s="103"/>
      <c r="L466" s="103"/>
      <c r="M466" s="103"/>
      <c r="N466" s="703"/>
      <c r="O466" s="1037" t="s">
        <v>447</v>
      </c>
    </row>
    <row r="467" spans="1:61" ht="22.15" hidden="1" customHeight="1">
      <c r="A467" s="1065"/>
      <c r="B467" s="643" t="s">
        <v>248</v>
      </c>
      <c r="C467" s="643"/>
      <c r="D467" s="643"/>
      <c r="E467" s="643"/>
      <c r="F467" s="643"/>
      <c r="G467" s="103"/>
      <c r="H467" s="103"/>
      <c r="I467" s="103"/>
      <c r="J467" s="103"/>
      <c r="K467" s="103"/>
      <c r="L467" s="103"/>
      <c r="M467" s="103"/>
      <c r="N467" s="703"/>
      <c r="O467" s="1037"/>
    </row>
    <row r="468" spans="1:61" ht="24.6" hidden="1" customHeight="1">
      <c r="A468" s="1039" t="s">
        <v>109</v>
      </c>
      <c r="B468" s="643" t="s">
        <v>89</v>
      </c>
      <c r="C468" s="643">
        <v>176</v>
      </c>
      <c r="D468" s="643" t="s">
        <v>15</v>
      </c>
      <c r="E468" s="643">
        <v>6100404</v>
      </c>
      <c r="F468" s="643">
        <v>243</v>
      </c>
      <c r="G468" s="103"/>
      <c r="H468" s="103"/>
      <c r="I468" s="103"/>
      <c r="J468" s="103"/>
      <c r="K468" s="103"/>
      <c r="L468" s="103"/>
      <c r="M468" s="103"/>
      <c r="N468" s="703"/>
      <c r="O468" s="1037" t="s">
        <v>31</v>
      </c>
    </row>
    <row r="469" spans="1:61" s="45" customFormat="1" ht="24.6" hidden="1" customHeight="1">
      <c r="A469" s="1039"/>
      <c r="B469" s="643" t="s">
        <v>248</v>
      </c>
      <c r="C469" s="643"/>
      <c r="D469" s="643"/>
      <c r="E469" s="643"/>
      <c r="F469" s="643"/>
      <c r="G469" s="103"/>
      <c r="H469" s="103"/>
      <c r="I469" s="103"/>
      <c r="J469" s="103"/>
      <c r="K469" s="103"/>
      <c r="L469" s="103"/>
      <c r="M469" s="103"/>
      <c r="N469" s="703"/>
      <c r="O469" s="1037"/>
      <c r="AJ469" s="113"/>
      <c r="AK469" s="113"/>
      <c r="AL469" s="113"/>
      <c r="AM469" s="113"/>
      <c r="AN469" s="113"/>
      <c r="AO469" s="113"/>
      <c r="AP469" s="113"/>
      <c r="AQ469" s="113"/>
      <c r="AR469" s="113"/>
      <c r="AS469" s="113"/>
      <c r="AT469" s="113"/>
      <c r="AU469" s="113"/>
      <c r="AV469" s="113"/>
      <c r="AW469" s="113"/>
      <c r="AX469" s="113"/>
      <c r="AY469" s="113"/>
      <c r="AZ469" s="113"/>
      <c r="BA469" s="113"/>
      <c r="BB469" s="113"/>
      <c r="BC469" s="113"/>
      <c r="BD469" s="113"/>
      <c r="BE469" s="113"/>
      <c r="BF469" s="113"/>
      <c r="BG469" s="113"/>
      <c r="BH469" s="113"/>
      <c r="BI469" s="113"/>
    </row>
    <row r="470" spans="1:61" s="45" customFormat="1" ht="24.6" hidden="1" customHeight="1">
      <c r="A470" s="1039" t="s">
        <v>151</v>
      </c>
      <c r="B470" s="643" t="s">
        <v>89</v>
      </c>
      <c r="C470" s="643"/>
      <c r="D470" s="643"/>
      <c r="E470" s="643"/>
      <c r="F470" s="643"/>
      <c r="G470" s="103"/>
      <c r="H470" s="103"/>
      <c r="I470" s="103"/>
      <c r="J470" s="103"/>
      <c r="K470" s="103"/>
      <c r="L470" s="103"/>
      <c r="M470" s="103"/>
      <c r="N470" s="703"/>
      <c r="O470" s="1037" t="s">
        <v>35</v>
      </c>
      <c r="AJ470" s="113"/>
      <c r="AK470" s="113"/>
      <c r="AL470" s="113"/>
      <c r="AM470" s="113"/>
      <c r="AN470" s="113"/>
      <c r="AO470" s="113"/>
      <c r="AP470" s="113"/>
      <c r="AQ470" s="113"/>
      <c r="AR470" s="113"/>
      <c r="AS470" s="113"/>
      <c r="AT470" s="113"/>
      <c r="AU470" s="113"/>
      <c r="AV470" s="113"/>
      <c r="AW470" s="113"/>
      <c r="AX470" s="113"/>
      <c r="AY470" s="113"/>
      <c r="AZ470" s="113"/>
      <c r="BA470" s="113"/>
      <c r="BB470" s="113"/>
      <c r="BC470" s="113"/>
      <c r="BD470" s="113"/>
      <c r="BE470" s="113"/>
      <c r="BF470" s="113"/>
      <c r="BG470" s="113"/>
      <c r="BH470" s="113"/>
      <c r="BI470" s="113"/>
    </row>
    <row r="471" spans="1:61" ht="24.6" hidden="1" customHeight="1">
      <c r="A471" s="1039"/>
      <c r="B471" s="643" t="s">
        <v>248</v>
      </c>
      <c r="C471" s="643"/>
      <c r="D471" s="643"/>
      <c r="E471" s="643"/>
      <c r="F471" s="643"/>
      <c r="G471" s="103"/>
      <c r="H471" s="103"/>
      <c r="I471" s="103"/>
      <c r="J471" s="103"/>
      <c r="K471" s="103"/>
      <c r="L471" s="103"/>
      <c r="M471" s="103"/>
      <c r="N471" s="703"/>
      <c r="O471" s="1037"/>
    </row>
    <row r="472" spans="1:61" ht="24.95" hidden="1" customHeight="1">
      <c r="A472" s="1038" t="s">
        <v>97</v>
      </c>
      <c r="B472" s="62" t="s">
        <v>89</v>
      </c>
      <c r="C472" s="62"/>
      <c r="D472" s="62"/>
      <c r="E472" s="62"/>
      <c r="F472" s="62"/>
      <c r="G472" s="102">
        <f t="shared" ref="G472:M473" si="182">G474+G476+G478</f>
        <v>0</v>
      </c>
      <c r="H472" s="102"/>
      <c r="I472" s="102"/>
      <c r="J472" s="102"/>
      <c r="K472" s="102"/>
      <c r="L472" s="102">
        <f t="shared" si="182"/>
        <v>0</v>
      </c>
      <c r="M472" s="102">
        <f t="shared" si="182"/>
        <v>0</v>
      </c>
      <c r="N472" s="703"/>
      <c r="O472" s="709"/>
    </row>
    <row r="473" spans="1:61" ht="24.6" hidden="1" customHeight="1">
      <c r="A473" s="1038"/>
      <c r="B473" s="62" t="s">
        <v>248</v>
      </c>
      <c r="C473" s="62"/>
      <c r="D473" s="62"/>
      <c r="E473" s="62"/>
      <c r="F473" s="62"/>
      <c r="G473" s="102">
        <f t="shared" si="182"/>
        <v>0</v>
      </c>
      <c r="H473" s="102"/>
      <c r="I473" s="102"/>
      <c r="J473" s="102"/>
      <c r="K473" s="102"/>
      <c r="L473" s="102">
        <f t="shared" si="182"/>
        <v>0</v>
      </c>
      <c r="M473" s="102">
        <f t="shared" si="182"/>
        <v>0</v>
      </c>
      <c r="N473" s="703"/>
      <c r="O473" s="709"/>
    </row>
    <row r="474" spans="1:61" ht="25.15" hidden="1" customHeight="1">
      <c r="A474" s="1056" t="s">
        <v>111</v>
      </c>
      <c r="B474" s="643" t="s">
        <v>89</v>
      </c>
      <c r="C474" s="643">
        <v>176</v>
      </c>
      <c r="D474" s="643" t="s">
        <v>15</v>
      </c>
      <c r="E474" s="643">
        <v>6100404</v>
      </c>
      <c r="F474" s="643">
        <v>243</v>
      </c>
      <c r="G474" s="103"/>
      <c r="H474" s="103"/>
      <c r="I474" s="103"/>
      <c r="J474" s="103"/>
      <c r="K474" s="103"/>
      <c r="L474" s="103"/>
      <c r="M474" s="103"/>
      <c r="N474" s="703"/>
      <c r="O474" s="1037" t="s">
        <v>294</v>
      </c>
    </row>
    <row r="475" spans="1:61" ht="23.45" hidden="1" customHeight="1">
      <c r="A475" s="1056"/>
      <c r="B475" s="643" t="s">
        <v>248</v>
      </c>
      <c r="C475" s="643"/>
      <c r="D475" s="643"/>
      <c r="E475" s="643"/>
      <c r="F475" s="643"/>
      <c r="G475" s="103"/>
      <c r="H475" s="103"/>
      <c r="I475" s="103"/>
      <c r="J475" s="103"/>
      <c r="K475" s="103"/>
      <c r="L475" s="103"/>
      <c r="M475" s="103"/>
      <c r="N475" s="703"/>
      <c r="O475" s="1037"/>
    </row>
    <row r="476" spans="1:61" ht="25.15" hidden="1" customHeight="1">
      <c r="A476" s="1039" t="s">
        <v>112</v>
      </c>
      <c r="B476" s="643" t="s">
        <v>89</v>
      </c>
      <c r="C476" s="643">
        <v>176</v>
      </c>
      <c r="D476" s="643" t="s">
        <v>15</v>
      </c>
      <c r="E476" s="643">
        <v>6100404</v>
      </c>
      <c r="F476" s="643">
        <v>243</v>
      </c>
      <c r="G476" s="103"/>
      <c r="H476" s="103"/>
      <c r="I476" s="103"/>
      <c r="J476" s="103"/>
      <c r="K476" s="103"/>
      <c r="L476" s="103"/>
      <c r="M476" s="103"/>
      <c r="N476" s="703"/>
      <c r="O476" s="1037" t="s">
        <v>210</v>
      </c>
    </row>
    <row r="477" spans="1:61" s="45" customFormat="1" ht="24.6" hidden="1" customHeight="1">
      <c r="A477" s="1039"/>
      <c r="B477" s="643" t="s">
        <v>248</v>
      </c>
      <c r="C477" s="643"/>
      <c r="D477" s="643"/>
      <c r="E477" s="643"/>
      <c r="F477" s="643"/>
      <c r="G477" s="103">
        <v>0</v>
      </c>
      <c r="H477" s="103"/>
      <c r="I477" s="103"/>
      <c r="J477" s="103"/>
      <c r="K477" s="103"/>
      <c r="L477" s="103"/>
      <c r="M477" s="103"/>
      <c r="N477" s="703"/>
      <c r="O477" s="1037"/>
      <c r="AJ477" s="113"/>
      <c r="AK477" s="113"/>
      <c r="AL477" s="113"/>
      <c r="AM477" s="113"/>
      <c r="AN477" s="113"/>
      <c r="AO477" s="113"/>
      <c r="AP477" s="113"/>
      <c r="AQ477" s="113"/>
      <c r="AR477" s="113"/>
      <c r="AS477" s="113"/>
      <c r="AT477" s="113"/>
      <c r="AU477" s="113"/>
      <c r="AV477" s="113"/>
      <c r="AW477" s="113"/>
      <c r="AX477" s="113"/>
      <c r="AY477" s="113"/>
      <c r="AZ477" s="113"/>
      <c r="BA477" s="113"/>
      <c r="BB477" s="113"/>
      <c r="BC477" s="113"/>
      <c r="BD477" s="113"/>
      <c r="BE477" s="113"/>
      <c r="BF477" s="113"/>
      <c r="BG477" s="113"/>
      <c r="BH477" s="113"/>
      <c r="BI477" s="113"/>
    </row>
    <row r="478" spans="1:61" s="45" customFormat="1" ht="24.6" hidden="1" customHeight="1">
      <c r="A478" s="642" t="s">
        <v>251</v>
      </c>
      <c r="B478" s="643" t="s">
        <v>89</v>
      </c>
      <c r="C478" s="643"/>
      <c r="D478" s="643"/>
      <c r="E478" s="643"/>
      <c r="F478" s="643"/>
      <c r="G478" s="103"/>
      <c r="H478" s="103"/>
      <c r="I478" s="103"/>
      <c r="J478" s="103"/>
      <c r="K478" s="103"/>
      <c r="L478" s="103"/>
      <c r="M478" s="103"/>
      <c r="N478" s="703"/>
      <c r="O478" s="703"/>
      <c r="AJ478" s="113"/>
      <c r="AK478" s="113"/>
      <c r="AL478" s="113"/>
      <c r="AM478" s="113"/>
      <c r="AN478" s="113"/>
      <c r="AO478" s="113"/>
      <c r="AP478" s="113"/>
      <c r="AQ478" s="113"/>
      <c r="AR478" s="113"/>
      <c r="AS478" s="113"/>
      <c r="AT478" s="113"/>
      <c r="AU478" s="113"/>
      <c r="AV478" s="113"/>
      <c r="AW478" s="113"/>
      <c r="AX478" s="113"/>
      <c r="AY478" s="113"/>
      <c r="AZ478" s="113"/>
      <c r="BA478" s="113"/>
      <c r="BB478" s="113"/>
      <c r="BC478" s="113"/>
      <c r="BD478" s="113"/>
      <c r="BE478" s="113"/>
      <c r="BF478" s="113"/>
      <c r="BG478" s="113"/>
      <c r="BH478" s="113"/>
      <c r="BI478" s="113"/>
    </row>
    <row r="479" spans="1:61" ht="24.6" hidden="1" customHeight="1">
      <c r="A479" s="642"/>
      <c r="B479" s="643" t="s">
        <v>248</v>
      </c>
      <c r="C479" s="643"/>
      <c r="D479" s="643"/>
      <c r="E479" s="643"/>
      <c r="F479" s="643"/>
      <c r="G479" s="103"/>
      <c r="H479" s="103"/>
      <c r="I479" s="103"/>
      <c r="J479" s="103"/>
      <c r="K479" s="103"/>
      <c r="L479" s="103"/>
      <c r="M479" s="103"/>
      <c r="N479" s="703"/>
      <c r="O479" s="703" t="s">
        <v>35</v>
      </c>
    </row>
    <row r="480" spans="1:61" ht="0.6" hidden="1" customHeight="1">
      <c r="A480" s="1038" t="s">
        <v>98</v>
      </c>
      <c r="B480" s="62" t="s">
        <v>89</v>
      </c>
      <c r="C480" s="62"/>
      <c r="D480" s="62"/>
      <c r="E480" s="62"/>
      <c r="F480" s="62"/>
      <c r="G480" s="102">
        <f t="shared" ref="G480:L481" si="183">G482+G484+G486</f>
        <v>0</v>
      </c>
      <c r="H480" s="102"/>
      <c r="I480" s="102"/>
      <c r="J480" s="102"/>
      <c r="K480" s="102"/>
      <c r="L480" s="102">
        <f t="shared" si="183"/>
        <v>0</v>
      </c>
      <c r="M480" s="102"/>
      <c r="N480" s="703"/>
      <c r="O480" s="709"/>
    </row>
    <row r="481" spans="1:61" ht="0.6" hidden="1" customHeight="1">
      <c r="A481" s="1038"/>
      <c r="B481" s="62" t="s">
        <v>248</v>
      </c>
      <c r="C481" s="62"/>
      <c r="D481" s="62"/>
      <c r="E481" s="62"/>
      <c r="F481" s="62"/>
      <c r="G481" s="102">
        <f t="shared" si="183"/>
        <v>0</v>
      </c>
      <c r="H481" s="102"/>
      <c r="I481" s="102"/>
      <c r="J481" s="102"/>
      <c r="K481" s="102"/>
      <c r="L481" s="102">
        <f t="shared" si="183"/>
        <v>0</v>
      </c>
      <c r="M481" s="102"/>
      <c r="N481" s="703"/>
      <c r="O481" s="709"/>
    </row>
    <row r="482" spans="1:61" ht="24.6" hidden="1" customHeight="1">
      <c r="A482" s="1039" t="s">
        <v>113</v>
      </c>
      <c r="B482" s="643" t="s">
        <v>89</v>
      </c>
      <c r="C482" s="643">
        <v>176</v>
      </c>
      <c r="D482" s="643" t="s">
        <v>15</v>
      </c>
      <c r="E482" s="643">
        <v>6100404</v>
      </c>
      <c r="F482" s="643">
        <v>243</v>
      </c>
      <c r="G482" s="103"/>
      <c r="H482" s="103"/>
      <c r="I482" s="103"/>
      <c r="J482" s="103"/>
      <c r="K482" s="103"/>
      <c r="L482" s="103"/>
      <c r="M482" s="103"/>
      <c r="N482" s="703"/>
      <c r="O482" s="1037" t="s">
        <v>35</v>
      </c>
    </row>
    <row r="483" spans="1:61" ht="21.6" hidden="1" customHeight="1">
      <c r="A483" s="1039"/>
      <c r="B483" s="643" t="s">
        <v>248</v>
      </c>
      <c r="C483" s="643"/>
      <c r="D483" s="643"/>
      <c r="E483" s="643"/>
      <c r="F483" s="643"/>
      <c r="G483" s="103"/>
      <c r="H483" s="103"/>
      <c r="I483" s="103"/>
      <c r="J483" s="103"/>
      <c r="K483" s="103"/>
      <c r="L483" s="103"/>
      <c r="M483" s="103"/>
      <c r="N483" s="703"/>
      <c r="O483" s="1037"/>
    </row>
    <row r="484" spans="1:61" ht="24.6" hidden="1" customHeight="1">
      <c r="A484" s="642" t="s">
        <v>115</v>
      </c>
      <c r="B484" s="643" t="s">
        <v>89</v>
      </c>
      <c r="C484" s="643">
        <v>176</v>
      </c>
      <c r="D484" s="643" t="s">
        <v>15</v>
      </c>
      <c r="E484" s="643">
        <v>6100404</v>
      </c>
      <c r="F484" s="643">
        <v>243</v>
      </c>
      <c r="G484" s="103"/>
      <c r="H484" s="103"/>
      <c r="I484" s="103"/>
      <c r="J484" s="103"/>
      <c r="K484" s="103"/>
      <c r="L484" s="103"/>
      <c r="M484" s="103"/>
      <c r="N484" s="703"/>
      <c r="O484" s="703" t="s">
        <v>35</v>
      </c>
    </row>
    <row r="485" spans="1:61" ht="24.6" hidden="1" customHeight="1">
      <c r="A485" s="642"/>
      <c r="B485" s="643" t="s">
        <v>248</v>
      </c>
      <c r="C485" s="643"/>
      <c r="D485" s="643"/>
      <c r="E485" s="643"/>
      <c r="F485" s="643"/>
      <c r="G485" s="103"/>
      <c r="H485" s="103"/>
      <c r="I485" s="103"/>
      <c r="J485" s="103"/>
      <c r="K485" s="103"/>
      <c r="L485" s="103"/>
      <c r="M485" s="103"/>
      <c r="N485" s="703"/>
      <c r="O485" s="703"/>
    </row>
    <row r="486" spans="1:61" ht="24.6" hidden="1" customHeight="1">
      <c r="A486" s="642" t="s">
        <v>114</v>
      </c>
      <c r="B486" s="643" t="s">
        <v>89</v>
      </c>
      <c r="C486" s="643">
        <v>176</v>
      </c>
      <c r="D486" s="643" t="s">
        <v>15</v>
      </c>
      <c r="E486" s="643">
        <v>6100404</v>
      </c>
      <c r="F486" s="643">
        <v>243</v>
      </c>
      <c r="G486" s="103">
        <v>0</v>
      </c>
      <c r="H486" s="103"/>
      <c r="I486" s="103"/>
      <c r="J486" s="103"/>
      <c r="K486" s="103"/>
      <c r="L486" s="103"/>
      <c r="M486" s="103"/>
      <c r="N486" s="703"/>
      <c r="O486" s="1037" t="s">
        <v>230</v>
      </c>
    </row>
    <row r="487" spans="1:61" s="45" customFormat="1" ht="24.6" hidden="1" customHeight="1">
      <c r="A487" s="642"/>
      <c r="B487" s="643" t="s">
        <v>248</v>
      </c>
      <c r="C487" s="643"/>
      <c r="D487" s="643"/>
      <c r="E487" s="643"/>
      <c r="F487" s="643"/>
      <c r="G487" s="103"/>
      <c r="H487" s="103"/>
      <c r="I487" s="103"/>
      <c r="J487" s="103"/>
      <c r="K487" s="103"/>
      <c r="L487" s="103"/>
      <c r="M487" s="103"/>
      <c r="N487" s="703"/>
      <c r="O487" s="1037"/>
      <c r="AJ487" s="113"/>
      <c r="AK487" s="113"/>
      <c r="AL487" s="113"/>
      <c r="AM487" s="113"/>
      <c r="AN487" s="113"/>
      <c r="AO487" s="113"/>
      <c r="AP487" s="113"/>
      <c r="AQ487" s="113"/>
      <c r="AR487" s="113"/>
      <c r="AS487" s="113"/>
      <c r="AT487" s="113"/>
      <c r="AU487" s="113"/>
      <c r="AV487" s="113"/>
      <c r="AW487" s="113"/>
      <c r="AX487" s="113"/>
      <c r="AY487" s="113"/>
      <c r="AZ487" s="113"/>
      <c r="BA487" s="113"/>
      <c r="BB487" s="113"/>
      <c r="BC487" s="113"/>
      <c r="BD487" s="113"/>
      <c r="BE487" s="113"/>
      <c r="BF487" s="113"/>
      <c r="BG487" s="113"/>
      <c r="BH487" s="113"/>
      <c r="BI487" s="113"/>
    </row>
    <row r="488" spans="1:61" s="45" customFormat="1" ht="24.6" hidden="1" customHeight="1">
      <c r="A488" s="644" t="s">
        <v>111</v>
      </c>
      <c r="B488" s="643" t="s">
        <v>89</v>
      </c>
      <c r="C488" s="643">
        <v>176</v>
      </c>
      <c r="D488" s="643" t="s">
        <v>15</v>
      </c>
      <c r="E488" s="643">
        <v>6100404</v>
      </c>
      <c r="F488" s="643">
        <v>243</v>
      </c>
      <c r="G488" s="103"/>
      <c r="H488" s="103"/>
      <c r="I488" s="103"/>
      <c r="J488" s="103"/>
      <c r="K488" s="103"/>
      <c r="L488" s="103"/>
      <c r="M488" s="103"/>
      <c r="N488" s="703"/>
      <c r="O488" s="703" t="s">
        <v>31</v>
      </c>
      <c r="AJ488" s="113"/>
      <c r="AK488" s="113"/>
      <c r="AL488" s="113"/>
      <c r="AM488" s="113"/>
      <c r="AN488" s="113"/>
      <c r="AO488" s="113"/>
      <c r="AP488" s="113"/>
      <c r="AQ488" s="113"/>
      <c r="AR488" s="113"/>
      <c r="AS488" s="113"/>
      <c r="AT488" s="113"/>
      <c r="AU488" s="113"/>
      <c r="AV488" s="113"/>
      <c r="AW488" s="113"/>
      <c r="AX488" s="113"/>
      <c r="AY488" s="113"/>
      <c r="AZ488" s="113"/>
      <c r="BA488" s="113"/>
      <c r="BB488" s="113"/>
      <c r="BC488" s="113"/>
      <c r="BD488" s="113"/>
      <c r="BE488" s="113"/>
      <c r="BF488" s="113"/>
      <c r="BG488" s="113"/>
      <c r="BH488" s="113"/>
      <c r="BI488" s="113"/>
    </row>
    <row r="489" spans="1:61" ht="24.6" hidden="1" customHeight="1">
      <c r="A489" s="644"/>
      <c r="B489" s="643" t="s">
        <v>248</v>
      </c>
      <c r="C489" s="643"/>
      <c r="D489" s="643"/>
      <c r="E489" s="643"/>
      <c r="F489" s="643"/>
      <c r="G489" s="103"/>
      <c r="H489" s="103"/>
      <c r="I489" s="103"/>
      <c r="J489" s="103"/>
      <c r="K489" s="103"/>
      <c r="L489" s="103"/>
      <c r="M489" s="103"/>
      <c r="N489" s="703"/>
      <c r="O489" s="703"/>
    </row>
    <row r="490" spans="1:61" ht="31.9" customHeight="1">
      <c r="A490" s="1084" t="s">
        <v>99</v>
      </c>
      <c r="B490" s="62" t="s">
        <v>744</v>
      </c>
      <c r="C490" s="62"/>
      <c r="D490" s="62"/>
      <c r="E490" s="62"/>
      <c r="F490" s="62"/>
      <c r="G490" s="102">
        <f t="shared" ref="G490:G491" si="184">G492</f>
        <v>0</v>
      </c>
      <c r="H490" s="102"/>
      <c r="I490" s="102"/>
      <c r="J490" s="102"/>
      <c r="K490" s="102"/>
      <c r="L490" s="102">
        <f>L494</f>
        <v>1</v>
      </c>
      <c r="M490" s="102">
        <f t="shared" ref="M490:N490" si="185">M494</f>
        <v>0</v>
      </c>
      <c r="N490" s="102">
        <f t="shared" si="185"/>
        <v>0</v>
      </c>
      <c r="O490" s="709"/>
    </row>
    <row r="491" spans="1:61" ht="26.45" customHeight="1">
      <c r="A491" s="1084"/>
      <c r="B491" s="62" t="s">
        <v>248</v>
      </c>
      <c r="C491" s="62"/>
      <c r="D491" s="62"/>
      <c r="E491" s="62"/>
      <c r="F491" s="62"/>
      <c r="G491" s="102">
        <f t="shared" si="184"/>
        <v>0</v>
      </c>
      <c r="H491" s="102"/>
      <c r="I491" s="102"/>
      <c r="J491" s="102"/>
      <c r="K491" s="102"/>
      <c r="L491" s="102">
        <f>L495</f>
        <v>79353.5</v>
      </c>
      <c r="M491" s="102">
        <f t="shared" ref="M491:N491" si="186">M495</f>
        <v>0</v>
      </c>
      <c r="N491" s="102">
        <f t="shared" si="186"/>
        <v>0</v>
      </c>
      <c r="O491" s="709"/>
    </row>
    <row r="492" spans="1:61" ht="28.15" hidden="1" customHeight="1">
      <c r="A492" s="1039" t="s">
        <v>252</v>
      </c>
      <c r="B492" s="643" t="s">
        <v>89</v>
      </c>
      <c r="C492" s="643">
        <v>176</v>
      </c>
      <c r="D492" s="643" t="s">
        <v>15</v>
      </c>
      <c r="E492" s="643">
        <v>6100404</v>
      </c>
      <c r="F492" s="643">
        <v>243</v>
      </c>
      <c r="G492" s="103"/>
      <c r="H492" s="103"/>
      <c r="I492" s="103"/>
      <c r="J492" s="103"/>
      <c r="K492" s="103"/>
      <c r="L492" s="103"/>
      <c r="M492" s="103"/>
      <c r="N492" s="703"/>
      <c r="O492" s="1037" t="s">
        <v>35</v>
      </c>
    </row>
    <row r="493" spans="1:61" s="45" customFormat="1" ht="28.15" hidden="1" customHeight="1">
      <c r="A493" s="1039"/>
      <c r="B493" s="643" t="s">
        <v>248</v>
      </c>
      <c r="C493" s="643"/>
      <c r="D493" s="643"/>
      <c r="E493" s="643"/>
      <c r="F493" s="643"/>
      <c r="G493" s="103"/>
      <c r="H493" s="103"/>
      <c r="I493" s="103"/>
      <c r="J493" s="103"/>
      <c r="K493" s="103"/>
      <c r="L493" s="103">
        <f>18324.4-18324.4</f>
        <v>0</v>
      </c>
      <c r="M493" s="103"/>
      <c r="N493" s="703"/>
      <c r="O493" s="1037"/>
      <c r="AJ493" s="113"/>
      <c r="AK493" s="113"/>
      <c r="AL493" s="113"/>
      <c r="AM493" s="113"/>
      <c r="AN493" s="113"/>
      <c r="AO493" s="113"/>
      <c r="AP493" s="113"/>
      <c r="AQ493" s="113"/>
      <c r="AR493" s="113"/>
      <c r="AS493" s="113"/>
      <c r="AT493" s="113"/>
      <c r="AU493" s="113"/>
      <c r="AV493" s="113"/>
      <c r="AW493" s="113"/>
      <c r="AX493" s="113"/>
      <c r="AY493" s="113"/>
      <c r="AZ493" s="113"/>
      <c r="BA493" s="113"/>
      <c r="BB493" s="113"/>
      <c r="BC493" s="113"/>
      <c r="BD493" s="113"/>
      <c r="BE493" s="113"/>
      <c r="BF493" s="113"/>
      <c r="BG493" s="113"/>
      <c r="BH493" s="113"/>
      <c r="BI493" s="113"/>
    </row>
    <row r="494" spans="1:61" s="45" customFormat="1" ht="28.15" customHeight="1">
      <c r="A494" s="1039" t="s">
        <v>329</v>
      </c>
      <c r="B494" s="643" t="s">
        <v>744</v>
      </c>
      <c r="C494" s="643">
        <v>176</v>
      </c>
      <c r="D494" s="643" t="s">
        <v>15</v>
      </c>
      <c r="E494" s="643">
        <v>6100404</v>
      </c>
      <c r="F494" s="643">
        <v>243</v>
      </c>
      <c r="G494" s="103">
        <v>0</v>
      </c>
      <c r="H494" s="103"/>
      <c r="I494" s="103"/>
      <c r="J494" s="103"/>
      <c r="K494" s="103"/>
      <c r="L494" s="103">
        <v>1</v>
      </c>
      <c r="M494" s="103"/>
      <c r="N494" s="703"/>
      <c r="O494" s="1037" t="s">
        <v>753</v>
      </c>
      <c r="AJ494" s="113"/>
      <c r="AK494" s="113"/>
      <c r="AL494" s="113"/>
      <c r="AM494" s="113"/>
      <c r="AN494" s="113"/>
      <c r="AO494" s="113"/>
      <c r="AP494" s="113"/>
      <c r="AQ494" s="113"/>
      <c r="AR494" s="113"/>
      <c r="AS494" s="113"/>
      <c r="AT494" s="113"/>
      <c r="AU494" s="113"/>
      <c r="AV494" s="113"/>
      <c r="AW494" s="113"/>
      <c r="AX494" s="113"/>
      <c r="AY494" s="113"/>
      <c r="AZ494" s="113"/>
      <c r="BA494" s="113"/>
      <c r="BB494" s="113"/>
      <c r="BC494" s="113"/>
      <c r="BD494" s="113"/>
      <c r="BE494" s="113"/>
      <c r="BF494" s="113"/>
      <c r="BG494" s="113"/>
      <c r="BH494" s="113"/>
      <c r="BI494" s="113"/>
    </row>
    <row r="495" spans="1:61" ht="24" customHeight="1">
      <c r="A495" s="1039"/>
      <c r="B495" s="643" t="s">
        <v>248</v>
      </c>
      <c r="C495" s="643"/>
      <c r="D495" s="643"/>
      <c r="E495" s="643"/>
      <c r="F495" s="643"/>
      <c r="G495" s="103"/>
      <c r="H495" s="103"/>
      <c r="I495" s="103"/>
      <c r="J495" s="103"/>
      <c r="K495" s="103"/>
      <c r="L495" s="103">
        <v>79353.5</v>
      </c>
      <c r="M495" s="103"/>
      <c r="N495" s="703"/>
      <c r="O495" s="1037"/>
    </row>
    <row r="496" spans="1:61" ht="24.95" customHeight="1">
      <c r="A496" s="1038" t="s">
        <v>117</v>
      </c>
      <c r="B496" s="62" t="s">
        <v>744</v>
      </c>
      <c r="C496" s="62"/>
      <c r="D496" s="62"/>
      <c r="E496" s="62"/>
      <c r="F496" s="62"/>
      <c r="G496" s="102">
        <f>K496</f>
        <v>1</v>
      </c>
      <c r="H496" s="102"/>
      <c r="I496" s="102"/>
      <c r="J496" s="102"/>
      <c r="K496" s="102">
        <f>K500+K502+K504</f>
        <v>1</v>
      </c>
      <c r="L496" s="102">
        <f>L500+L502+L504</f>
        <v>1</v>
      </c>
      <c r="M496" s="102">
        <f>M500+M502+M504</f>
        <v>0</v>
      </c>
      <c r="N496" s="703"/>
      <c r="O496" s="709"/>
    </row>
    <row r="497" spans="1:61" ht="24.95" customHeight="1">
      <c r="A497" s="1038"/>
      <c r="B497" s="62" t="s">
        <v>335</v>
      </c>
      <c r="C497" s="62"/>
      <c r="D497" s="62"/>
      <c r="E497" s="62"/>
      <c r="F497" s="62"/>
      <c r="G497" s="102">
        <f>K497</f>
        <v>21472.6</v>
      </c>
      <c r="H497" s="102"/>
      <c r="I497" s="102"/>
      <c r="J497" s="102"/>
      <c r="K497" s="102">
        <f>K498+K499</f>
        <v>21472.6</v>
      </c>
      <c r="L497" s="102">
        <f t="shared" ref="L497:M497" si="187">L498+L499</f>
        <v>85491</v>
      </c>
      <c r="M497" s="102">
        <f t="shared" si="187"/>
        <v>0</v>
      </c>
      <c r="N497" s="703"/>
      <c r="O497" s="709"/>
    </row>
    <row r="498" spans="1:61" ht="24.95" customHeight="1">
      <c r="A498" s="1038"/>
      <c r="B498" s="62" t="s">
        <v>249</v>
      </c>
      <c r="C498" s="62"/>
      <c r="D498" s="62"/>
      <c r="E498" s="62"/>
      <c r="F498" s="62"/>
      <c r="G498" s="102">
        <f t="shared" ref="G498:G499" si="188">K498</f>
        <v>21472.6</v>
      </c>
      <c r="H498" s="102"/>
      <c r="I498" s="102"/>
      <c r="J498" s="102"/>
      <c r="K498" s="102">
        <f>K501+K503+K506</f>
        <v>21472.6</v>
      </c>
      <c r="L498" s="102">
        <f t="shared" ref="L498:M498" si="189">L501+L503+L506</f>
        <v>85491</v>
      </c>
      <c r="M498" s="102">
        <f t="shared" si="189"/>
        <v>0</v>
      </c>
      <c r="N498" s="703"/>
      <c r="O498" s="709"/>
    </row>
    <row r="499" spans="1:61" ht="37.5" customHeight="1">
      <c r="A499" s="1038"/>
      <c r="B499" s="62" t="s">
        <v>502</v>
      </c>
      <c r="C499" s="62"/>
      <c r="D499" s="62"/>
      <c r="E499" s="62"/>
      <c r="F499" s="62"/>
      <c r="G499" s="102">
        <f t="shared" si="188"/>
        <v>0</v>
      </c>
      <c r="H499" s="102">
        <f>H501+H503+H507</f>
        <v>0</v>
      </c>
      <c r="I499" s="102">
        <f>I501+I503+I507</f>
        <v>0</v>
      </c>
      <c r="J499" s="102"/>
      <c r="K499" s="102">
        <f>K507</f>
        <v>0</v>
      </c>
      <c r="L499" s="102">
        <f t="shared" ref="L499:M499" si="190">L507</f>
        <v>0</v>
      </c>
      <c r="M499" s="102">
        <f t="shared" si="190"/>
        <v>0</v>
      </c>
      <c r="N499" s="703"/>
      <c r="O499" s="709"/>
    </row>
    <row r="500" spans="1:61" ht="24.95" customHeight="1">
      <c r="A500" s="1039" t="s">
        <v>329</v>
      </c>
      <c r="B500" s="62" t="s">
        <v>744</v>
      </c>
      <c r="C500" s="643">
        <v>176</v>
      </c>
      <c r="D500" s="643" t="s">
        <v>15</v>
      </c>
      <c r="E500" s="643">
        <v>6100404</v>
      </c>
      <c r="F500" s="643">
        <v>243</v>
      </c>
      <c r="G500" s="102">
        <f t="shared" ref="G500:G508" si="191">K500</f>
        <v>0</v>
      </c>
      <c r="H500" s="103"/>
      <c r="I500" s="103"/>
      <c r="J500" s="103"/>
      <c r="K500" s="103"/>
      <c r="L500" s="103">
        <v>1</v>
      </c>
      <c r="M500" s="103"/>
      <c r="N500" s="703"/>
      <c r="O500" s="1037" t="s">
        <v>752</v>
      </c>
    </row>
    <row r="501" spans="1:61" ht="25.5" customHeight="1">
      <c r="A501" s="1039"/>
      <c r="B501" s="643" t="s">
        <v>248</v>
      </c>
      <c r="C501" s="643"/>
      <c r="D501" s="643"/>
      <c r="E501" s="643"/>
      <c r="F501" s="643"/>
      <c r="G501" s="102">
        <f t="shared" si="191"/>
        <v>0</v>
      </c>
      <c r="H501" s="103"/>
      <c r="I501" s="103"/>
      <c r="J501" s="103"/>
      <c r="K501" s="103"/>
      <c r="L501" s="103">
        <v>85491</v>
      </c>
      <c r="M501" s="103"/>
      <c r="N501" s="703"/>
      <c r="O501" s="1037"/>
    </row>
    <row r="502" spans="1:61" ht="20.25" customHeight="1">
      <c r="A502" s="1028" t="s">
        <v>731</v>
      </c>
      <c r="B502" s="62" t="s">
        <v>744</v>
      </c>
      <c r="C502" s="643">
        <v>176</v>
      </c>
      <c r="D502" s="643" t="s">
        <v>15</v>
      </c>
      <c r="E502" s="643">
        <v>6100404</v>
      </c>
      <c r="F502" s="643">
        <v>243</v>
      </c>
      <c r="G502" s="103">
        <f t="shared" si="191"/>
        <v>1</v>
      </c>
      <c r="H502" s="103"/>
      <c r="I502" s="103"/>
      <c r="J502" s="103"/>
      <c r="K502" s="103">
        <v>1</v>
      </c>
      <c r="L502" s="103"/>
      <c r="M502" s="103"/>
      <c r="N502" s="703"/>
      <c r="O502" s="1037" t="s">
        <v>846</v>
      </c>
    </row>
    <row r="503" spans="1:61" s="45" customFormat="1" ht="22.9" customHeight="1">
      <c r="A503" s="1029"/>
      <c r="B503" s="643" t="s">
        <v>248</v>
      </c>
      <c r="C503" s="643"/>
      <c r="D503" s="643"/>
      <c r="E503" s="643"/>
      <c r="F503" s="643"/>
      <c r="G503" s="103">
        <f t="shared" si="191"/>
        <v>21472.6</v>
      </c>
      <c r="H503" s="103"/>
      <c r="I503" s="103"/>
      <c r="J503" s="103"/>
      <c r="K503" s="103">
        <v>21472.6</v>
      </c>
      <c r="L503" s="103"/>
      <c r="M503" s="103"/>
      <c r="N503" s="703"/>
      <c r="O503" s="1037"/>
      <c r="AJ503" s="113"/>
      <c r="AK503" s="113"/>
      <c r="AL503" s="113"/>
      <c r="AM503" s="113"/>
      <c r="AN503" s="113"/>
      <c r="AO503" s="113"/>
      <c r="AP503" s="113"/>
      <c r="AQ503" s="113"/>
      <c r="AR503" s="113"/>
      <c r="AS503" s="113"/>
      <c r="AT503" s="113"/>
      <c r="AU503" s="113"/>
      <c r="AV503" s="113"/>
      <c r="AW503" s="113"/>
      <c r="AX503" s="113"/>
      <c r="AY503" s="113"/>
      <c r="AZ503" s="113"/>
      <c r="BA503" s="113"/>
      <c r="BB503" s="113"/>
      <c r="BC503" s="113"/>
      <c r="BD503" s="113"/>
      <c r="BE503" s="113"/>
      <c r="BF503" s="113"/>
      <c r="BG503" s="113"/>
      <c r="BH503" s="113"/>
      <c r="BI503" s="113"/>
    </row>
    <row r="504" spans="1:61" s="45" customFormat="1" ht="23.45" hidden="1" customHeight="1">
      <c r="A504" s="1028" t="s">
        <v>313</v>
      </c>
      <c r="B504" s="62" t="s">
        <v>744</v>
      </c>
      <c r="C504" s="643">
        <v>176</v>
      </c>
      <c r="D504" s="643" t="s">
        <v>15</v>
      </c>
      <c r="E504" s="643">
        <v>6100404</v>
      </c>
      <c r="F504" s="643">
        <v>243</v>
      </c>
      <c r="G504" s="103">
        <f t="shared" si="191"/>
        <v>0</v>
      </c>
      <c r="H504" s="103"/>
      <c r="I504" s="103"/>
      <c r="J504" s="103"/>
      <c r="K504" s="103">
        <v>0</v>
      </c>
      <c r="L504" s="103"/>
      <c r="M504" s="103"/>
      <c r="N504" s="703"/>
      <c r="O504" s="1037" t="s">
        <v>751</v>
      </c>
      <c r="AJ504" s="113"/>
      <c r="AK504" s="113"/>
      <c r="AL504" s="113"/>
      <c r="AM504" s="113"/>
      <c r="AN504" s="113"/>
      <c r="AO504" s="113"/>
      <c r="AP504" s="113"/>
      <c r="AQ504" s="113"/>
      <c r="AR504" s="113"/>
      <c r="AS504" s="113"/>
      <c r="AT504" s="113"/>
      <c r="AU504" s="113"/>
      <c r="AV504" s="113"/>
      <c r="AW504" s="113"/>
      <c r="AX504" s="113"/>
      <c r="AY504" s="113"/>
      <c r="AZ504" s="113"/>
      <c r="BA504" s="113"/>
      <c r="BB504" s="113"/>
      <c r="BC504" s="113"/>
      <c r="BD504" s="113"/>
      <c r="BE504" s="113"/>
      <c r="BF504" s="113"/>
      <c r="BG504" s="113"/>
      <c r="BH504" s="113"/>
      <c r="BI504" s="113"/>
    </row>
    <row r="505" spans="1:61" s="45" customFormat="1" ht="23.45" hidden="1" customHeight="1">
      <c r="A505" s="1036"/>
      <c r="B505" s="643" t="s">
        <v>565</v>
      </c>
      <c r="C505" s="643"/>
      <c r="D505" s="643"/>
      <c r="E505" s="643"/>
      <c r="F505" s="643"/>
      <c r="G505" s="103">
        <f>K505</f>
        <v>0</v>
      </c>
      <c r="H505" s="103"/>
      <c r="I505" s="103"/>
      <c r="J505" s="103"/>
      <c r="K505" s="103">
        <f>K506+K507</f>
        <v>0</v>
      </c>
      <c r="L505" s="103"/>
      <c r="M505" s="103"/>
      <c r="N505" s="703"/>
      <c r="O505" s="1037"/>
      <c r="AJ505" s="113"/>
      <c r="AK505" s="113"/>
      <c r="AL505" s="113"/>
      <c r="AM505" s="113"/>
      <c r="AN505" s="113"/>
      <c r="AO505" s="113"/>
      <c r="AP505" s="113"/>
      <c r="AQ505" s="113"/>
      <c r="AR505" s="113"/>
      <c r="AS505" s="113"/>
      <c r="AT505" s="113"/>
      <c r="AU505" s="113"/>
      <c r="AV505" s="113"/>
      <c r="AW505" s="113"/>
      <c r="AX505" s="113"/>
      <c r="AY505" s="113"/>
      <c r="AZ505" s="113"/>
      <c r="BA505" s="113"/>
      <c r="BB505" s="113"/>
      <c r="BC505" s="113"/>
      <c r="BD505" s="113"/>
      <c r="BE505" s="113"/>
      <c r="BF505" s="113"/>
      <c r="BG505" s="113"/>
      <c r="BH505" s="113"/>
      <c r="BI505" s="113"/>
    </row>
    <row r="506" spans="1:61" s="45" customFormat="1" ht="23.45" hidden="1" customHeight="1">
      <c r="A506" s="1036"/>
      <c r="B506" s="643" t="s">
        <v>249</v>
      </c>
      <c r="C506" s="643"/>
      <c r="D506" s="643"/>
      <c r="E506" s="643"/>
      <c r="F506" s="643"/>
      <c r="G506" s="103">
        <f t="shared" ref="G506:G507" si="192">K506</f>
        <v>0</v>
      </c>
      <c r="H506" s="103"/>
      <c r="I506" s="103"/>
      <c r="J506" s="103"/>
      <c r="K506" s="103">
        <v>0</v>
      </c>
      <c r="L506" s="103"/>
      <c r="M506" s="103"/>
      <c r="N506" s="703"/>
      <c r="O506" s="1037"/>
      <c r="AJ506" s="113"/>
      <c r="AK506" s="113"/>
      <c r="AL506" s="113"/>
      <c r="AM506" s="113"/>
      <c r="AN506" s="113"/>
      <c r="AO506" s="113"/>
      <c r="AP506" s="113"/>
      <c r="AQ506" s="113"/>
      <c r="AR506" s="113"/>
      <c r="AS506" s="113"/>
      <c r="AT506" s="113"/>
      <c r="AU506" s="113"/>
      <c r="AV506" s="113"/>
      <c r="AW506" s="113"/>
      <c r="AX506" s="113"/>
      <c r="AY506" s="113"/>
      <c r="AZ506" s="113"/>
      <c r="BA506" s="113"/>
      <c r="BB506" s="113"/>
      <c r="BC506" s="113"/>
      <c r="BD506" s="113"/>
      <c r="BE506" s="113"/>
      <c r="BF506" s="113"/>
      <c r="BG506" s="113"/>
      <c r="BH506" s="113"/>
      <c r="BI506" s="113"/>
    </row>
    <row r="507" spans="1:61" ht="23.45" hidden="1" customHeight="1">
      <c r="A507" s="1029"/>
      <c r="B507" s="643" t="s">
        <v>502</v>
      </c>
      <c r="C507" s="643"/>
      <c r="D507" s="643"/>
      <c r="E507" s="643"/>
      <c r="F507" s="643"/>
      <c r="G507" s="103">
        <f t="shared" si="192"/>
        <v>0</v>
      </c>
      <c r="H507" s="103"/>
      <c r="I507" s="103"/>
      <c r="J507" s="103"/>
      <c r="K507" s="103">
        <v>0</v>
      </c>
      <c r="L507" s="103"/>
      <c r="M507" s="103"/>
      <c r="N507" s="703"/>
      <c r="O507" s="1037"/>
    </row>
    <row r="508" spans="1:61" ht="24.95" customHeight="1">
      <c r="A508" s="1038" t="s">
        <v>100</v>
      </c>
      <c r="B508" s="62" t="s">
        <v>744</v>
      </c>
      <c r="C508" s="62"/>
      <c r="D508" s="62"/>
      <c r="E508" s="62"/>
      <c r="F508" s="62"/>
      <c r="G508" s="102">
        <f t="shared" si="191"/>
        <v>1</v>
      </c>
      <c r="H508" s="102">
        <f t="shared" ref="H508:J508" si="193">H512+H520</f>
        <v>0</v>
      </c>
      <c r="I508" s="102">
        <f t="shared" si="193"/>
        <v>0</v>
      </c>
      <c r="J508" s="102">
        <f t="shared" si="193"/>
        <v>0</v>
      </c>
      <c r="K508" s="102">
        <f>K514+K516+K520</f>
        <v>1</v>
      </c>
      <c r="L508" s="102">
        <f t="shared" ref="L508:M508" si="194">L512+L514+L516</f>
        <v>0</v>
      </c>
      <c r="M508" s="102">
        <f t="shared" si="194"/>
        <v>0</v>
      </c>
      <c r="N508" s="703"/>
      <c r="O508" s="709"/>
    </row>
    <row r="509" spans="1:61" ht="24.95" customHeight="1">
      <c r="A509" s="1038"/>
      <c r="B509" s="62" t="s">
        <v>446</v>
      </c>
      <c r="C509" s="62"/>
      <c r="D509" s="62"/>
      <c r="E509" s="62"/>
      <c r="F509" s="62"/>
      <c r="G509" s="102">
        <f>K509</f>
        <v>39712.6</v>
      </c>
      <c r="H509" s="102"/>
      <c r="I509" s="102"/>
      <c r="J509" s="102"/>
      <c r="K509" s="102">
        <f>K510+K511</f>
        <v>39712.6</v>
      </c>
      <c r="L509" s="102">
        <f>L510+L511</f>
        <v>0</v>
      </c>
      <c r="M509" s="102"/>
      <c r="N509" s="703"/>
      <c r="O509" s="709"/>
    </row>
    <row r="510" spans="1:61" ht="24.95" customHeight="1">
      <c r="A510" s="1038"/>
      <c r="B510" s="62" t="s">
        <v>249</v>
      </c>
      <c r="C510" s="62"/>
      <c r="D510" s="62"/>
      <c r="E510" s="62"/>
      <c r="F510" s="62"/>
      <c r="G510" s="102">
        <f t="shared" ref="G510:G511" si="195">K510</f>
        <v>39712.6</v>
      </c>
      <c r="H510" s="102"/>
      <c r="I510" s="102"/>
      <c r="J510" s="102"/>
      <c r="K510" s="102">
        <f>K515+K518+K522</f>
        <v>39712.6</v>
      </c>
      <c r="L510" s="102">
        <f>L515+L518+L522</f>
        <v>0</v>
      </c>
      <c r="M510" s="102"/>
      <c r="N510" s="703"/>
      <c r="O510" s="709"/>
    </row>
    <row r="511" spans="1:61" ht="23.25" customHeight="1">
      <c r="A511" s="1038"/>
      <c r="B511" s="62" t="s">
        <v>502</v>
      </c>
      <c r="C511" s="62"/>
      <c r="D511" s="62"/>
      <c r="E511" s="62"/>
      <c r="F511" s="62"/>
      <c r="G511" s="102">
        <f t="shared" si="195"/>
        <v>0</v>
      </c>
      <c r="H511" s="102">
        <f t="shared" ref="H511:J511" si="196">H513+H519+H523</f>
        <v>0</v>
      </c>
      <c r="I511" s="102">
        <f t="shared" si="196"/>
        <v>0</v>
      </c>
      <c r="J511" s="102">
        <f t="shared" si="196"/>
        <v>0</v>
      </c>
      <c r="K511" s="102">
        <f>K519+K523</f>
        <v>0</v>
      </c>
      <c r="L511" s="102">
        <f>L519+L523</f>
        <v>0</v>
      </c>
      <c r="M511" s="102">
        <f>M513+M519</f>
        <v>0</v>
      </c>
      <c r="N511" s="703"/>
      <c r="O511" s="709"/>
      <c r="V511" s="44">
        <v>121.8</v>
      </c>
    </row>
    <row r="512" spans="1:61" ht="30.75" hidden="1" customHeight="1">
      <c r="A512" s="1039" t="s">
        <v>947</v>
      </c>
      <c r="B512" s="643" t="s">
        <v>89</v>
      </c>
      <c r="C512" s="643">
        <v>176</v>
      </c>
      <c r="D512" s="643" t="s">
        <v>15</v>
      </c>
      <c r="E512" s="643">
        <v>6100404</v>
      </c>
      <c r="F512" s="643">
        <v>243</v>
      </c>
      <c r="G512" s="103"/>
      <c r="H512" s="103"/>
      <c r="I512" s="103"/>
      <c r="J512" s="103"/>
      <c r="K512" s="103"/>
      <c r="L512" s="103"/>
      <c r="M512" s="103"/>
      <c r="N512" s="703"/>
      <c r="O512" s="1037" t="s">
        <v>943</v>
      </c>
    </row>
    <row r="513" spans="1:61" ht="30.75" hidden="1" customHeight="1">
      <c r="A513" s="1039"/>
      <c r="B513" s="643" t="s">
        <v>248</v>
      </c>
      <c r="C513" s="643"/>
      <c r="D513" s="643"/>
      <c r="E513" s="643"/>
      <c r="F513" s="643"/>
      <c r="G513" s="103"/>
      <c r="H513" s="103"/>
      <c r="I513" s="103"/>
      <c r="J513" s="103"/>
      <c r="K513" s="103"/>
      <c r="L513" s="103">
        <f>15882.9-15882.9</f>
        <v>0</v>
      </c>
      <c r="M513" s="103"/>
      <c r="N513" s="703"/>
      <c r="O513" s="1037"/>
    </row>
    <row r="514" spans="1:61" ht="30.75" hidden="1" customHeight="1">
      <c r="A514" s="1028" t="s">
        <v>317</v>
      </c>
      <c r="B514" s="643" t="s">
        <v>744</v>
      </c>
      <c r="C514" s="643"/>
      <c r="D514" s="643"/>
      <c r="E514" s="643"/>
      <c r="F514" s="643"/>
      <c r="G514" s="103">
        <f>K514</f>
        <v>0</v>
      </c>
      <c r="H514" s="103"/>
      <c r="I514" s="103"/>
      <c r="J514" s="103"/>
      <c r="K514" s="103"/>
      <c r="L514" s="103"/>
      <c r="M514" s="103"/>
      <c r="N514" s="703"/>
      <c r="O514" s="1037" t="s">
        <v>754</v>
      </c>
    </row>
    <row r="515" spans="1:61" ht="24.6" hidden="1" customHeight="1">
      <c r="A515" s="1029"/>
      <c r="B515" s="643" t="s">
        <v>248</v>
      </c>
      <c r="C515" s="643"/>
      <c r="D515" s="643"/>
      <c r="E515" s="643"/>
      <c r="F515" s="643"/>
      <c r="G515" s="103">
        <f>K515</f>
        <v>0</v>
      </c>
      <c r="H515" s="103"/>
      <c r="I515" s="103"/>
      <c r="J515" s="103"/>
      <c r="K515" s="103"/>
      <c r="L515" s="103"/>
      <c r="M515" s="103"/>
      <c r="N515" s="703"/>
      <c r="O515" s="1037"/>
    </row>
    <row r="516" spans="1:61" ht="24.6" customHeight="1">
      <c r="A516" s="1039" t="s">
        <v>566</v>
      </c>
      <c r="B516" s="643" t="s">
        <v>744</v>
      </c>
      <c r="C516" s="643">
        <v>176</v>
      </c>
      <c r="D516" s="643" t="s">
        <v>15</v>
      </c>
      <c r="E516" s="643">
        <v>6100404</v>
      </c>
      <c r="F516" s="643">
        <v>243</v>
      </c>
      <c r="G516" s="103">
        <f>K516</f>
        <v>1</v>
      </c>
      <c r="H516" s="103"/>
      <c r="I516" s="103"/>
      <c r="J516" s="103"/>
      <c r="K516" s="103">
        <v>1</v>
      </c>
      <c r="L516" s="103"/>
      <c r="M516" s="103"/>
      <c r="N516" s="703"/>
      <c r="O516" s="1037" t="s">
        <v>993</v>
      </c>
    </row>
    <row r="517" spans="1:61" ht="24.6" customHeight="1">
      <c r="A517" s="1039"/>
      <c r="B517" s="643" t="s">
        <v>446</v>
      </c>
      <c r="C517" s="643"/>
      <c r="D517" s="643"/>
      <c r="E517" s="643"/>
      <c r="F517" s="643"/>
      <c r="G517" s="103">
        <f t="shared" ref="G517:G519" si="197">K517</f>
        <v>39712.6</v>
      </c>
      <c r="H517" s="103"/>
      <c r="I517" s="103"/>
      <c r="J517" s="103"/>
      <c r="K517" s="103">
        <f>K518+K519</f>
        <v>39712.6</v>
      </c>
      <c r="L517" s="103">
        <f>L518+L519</f>
        <v>0</v>
      </c>
      <c r="M517" s="103"/>
      <c r="N517" s="703"/>
      <c r="O517" s="1037"/>
    </row>
    <row r="518" spans="1:61" ht="24.6" customHeight="1">
      <c r="A518" s="1039"/>
      <c r="B518" s="643" t="s">
        <v>249</v>
      </c>
      <c r="C518" s="643"/>
      <c r="D518" s="643"/>
      <c r="E518" s="643"/>
      <c r="F518" s="643"/>
      <c r="G518" s="103">
        <f t="shared" si="197"/>
        <v>39712.6</v>
      </c>
      <c r="H518" s="103"/>
      <c r="I518" s="103"/>
      <c r="J518" s="103"/>
      <c r="K518" s="103">
        <v>39712.6</v>
      </c>
      <c r="L518" s="103"/>
      <c r="M518" s="103"/>
      <c r="N518" s="703"/>
      <c r="O518" s="1037"/>
    </row>
    <row r="519" spans="1:61" s="45" customFormat="1" ht="24" customHeight="1">
      <c r="A519" s="1039"/>
      <c r="B519" s="643" t="s">
        <v>502</v>
      </c>
      <c r="C519" s="643"/>
      <c r="D519" s="643"/>
      <c r="E519" s="643"/>
      <c r="F519" s="643"/>
      <c r="G519" s="103">
        <f t="shared" si="197"/>
        <v>0</v>
      </c>
      <c r="H519" s="103"/>
      <c r="I519" s="103"/>
      <c r="J519" s="103"/>
      <c r="K519" s="103">
        <v>0</v>
      </c>
      <c r="L519" s="103"/>
      <c r="M519" s="103"/>
      <c r="N519" s="703"/>
      <c r="O519" s="1037"/>
      <c r="AJ519" s="113"/>
      <c r="AK519" s="113"/>
      <c r="AL519" s="113"/>
      <c r="AM519" s="113"/>
      <c r="AN519" s="113"/>
      <c r="AO519" s="113"/>
      <c r="AP519" s="113"/>
      <c r="AQ519" s="113"/>
      <c r="AR519" s="113"/>
      <c r="AS519" s="113"/>
      <c r="AT519" s="113"/>
      <c r="AU519" s="113"/>
      <c r="AV519" s="113"/>
      <c r="AW519" s="113"/>
      <c r="AX519" s="113"/>
      <c r="AY519" s="113"/>
      <c r="AZ519" s="113"/>
      <c r="BA519" s="113"/>
      <c r="BB519" s="113"/>
      <c r="BC519" s="113"/>
      <c r="BD519" s="113"/>
      <c r="BE519" s="113"/>
      <c r="BF519" s="113"/>
      <c r="BG519" s="113"/>
      <c r="BH519" s="113"/>
      <c r="BI519" s="113"/>
    </row>
    <row r="520" spans="1:61" s="45" customFormat="1" ht="24.6" hidden="1" customHeight="1">
      <c r="A520" s="1028" t="s">
        <v>484</v>
      </c>
      <c r="B520" s="643" t="s">
        <v>744</v>
      </c>
      <c r="C520" s="643">
        <v>176</v>
      </c>
      <c r="D520" s="643" t="s">
        <v>15</v>
      </c>
      <c r="E520" s="643">
        <v>6100404</v>
      </c>
      <c r="F520" s="643">
        <v>243</v>
      </c>
      <c r="G520" s="103">
        <f>K520</f>
        <v>0</v>
      </c>
      <c r="H520" s="103"/>
      <c r="I520" s="103"/>
      <c r="J520" s="103"/>
      <c r="K520" s="103"/>
      <c r="L520" s="103"/>
      <c r="M520" s="103"/>
      <c r="N520" s="703"/>
      <c r="O520" s="1037" t="s">
        <v>750</v>
      </c>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row>
    <row r="521" spans="1:61" s="45" customFormat="1" ht="24.6" hidden="1" customHeight="1">
      <c r="A521" s="1036"/>
      <c r="B521" s="643" t="s">
        <v>446</v>
      </c>
      <c r="C521" s="643"/>
      <c r="D521" s="643"/>
      <c r="E521" s="643"/>
      <c r="F521" s="643"/>
      <c r="G521" s="103">
        <f t="shared" ref="G521:G523" si="198">K521</f>
        <v>0</v>
      </c>
      <c r="H521" s="103"/>
      <c r="I521" s="103"/>
      <c r="J521" s="103"/>
      <c r="K521" s="103">
        <f>K522+K523</f>
        <v>0</v>
      </c>
      <c r="L521" s="103"/>
      <c r="M521" s="103"/>
      <c r="N521" s="703"/>
      <c r="O521" s="1037"/>
      <c r="AJ521" s="113"/>
      <c r="AK521" s="113"/>
      <c r="AL521" s="113"/>
      <c r="AM521" s="113"/>
      <c r="AN521" s="113"/>
      <c r="AO521" s="113"/>
      <c r="AP521" s="113"/>
      <c r="AQ521" s="113"/>
      <c r="AR521" s="113"/>
      <c r="AS521" s="113"/>
      <c r="AT521" s="113"/>
      <c r="AU521" s="113"/>
      <c r="AV521" s="113"/>
      <c r="AW521" s="113"/>
      <c r="AX521" s="113"/>
      <c r="AY521" s="113"/>
      <c r="AZ521" s="113"/>
      <c r="BA521" s="113"/>
      <c r="BB521" s="113"/>
      <c r="BC521" s="113"/>
      <c r="BD521" s="113"/>
      <c r="BE521" s="113"/>
      <c r="BF521" s="113"/>
      <c r="BG521" s="113"/>
      <c r="BH521" s="113"/>
      <c r="BI521" s="113"/>
    </row>
    <row r="522" spans="1:61" s="45" customFormat="1" ht="24.6" hidden="1" customHeight="1">
      <c r="A522" s="1036"/>
      <c r="B522" s="643" t="s">
        <v>249</v>
      </c>
      <c r="C522" s="643"/>
      <c r="D522" s="643"/>
      <c r="E522" s="643"/>
      <c r="F522" s="643"/>
      <c r="G522" s="103">
        <f t="shared" si="198"/>
        <v>0</v>
      </c>
      <c r="H522" s="103"/>
      <c r="I522" s="103"/>
      <c r="J522" s="103"/>
      <c r="K522" s="103"/>
      <c r="L522" s="103"/>
      <c r="M522" s="103"/>
      <c r="N522" s="703"/>
      <c r="O522" s="1037"/>
      <c r="AJ522" s="113"/>
      <c r="AK522" s="113"/>
      <c r="AL522" s="113"/>
      <c r="AM522" s="113"/>
      <c r="AN522" s="113"/>
      <c r="AO522" s="113"/>
      <c r="AP522" s="113"/>
      <c r="AQ522" s="113"/>
      <c r="AR522" s="113"/>
      <c r="AS522" s="113"/>
      <c r="AT522" s="113"/>
      <c r="AU522" s="113"/>
      <c r="AV522" s="113"/>
      <c r="AW522" s="113"/>
      <c r="AX522" s="113"/>
      <c r="AY522" s="113"/>
      <c r="AZ522" s="113"/>
      <c r="BA522" s="113"/>
      <c r="BB522" s="113"/>
      <c r="BC522" s="113"/>
      <c r="BD522" s="113"/>
      <c r="BE522" s="113"/>
      <c r="BF522" s="113"/>
      <c r="BG522" s="113"/>
      <c r="BH522" s="113"/>
      <c r="BI522" s="113"/>
    </row>
    <row r="523" spans="1:61" s="45" customFormat="1" ht="24.6" hidden="1" customHeight="1">
      <c r="A523" s="1029"/>
      <c r="B523" s="643" t="s">
        <v>502</v>
      </c>
      <c r="C523" s="643"/>
      <c r="D523" s="643"/>
      <c r="E523" s="643"/>
      <c r="F523" s="643"/>
      <c r="G523" s="103">
        <f t="shared" si="198"/>
        <v>0</v>
      </c>
      <c r="H523" s="103"/>
      <c r="I523" s="103"/>
      <c r="J523" s="103"/>
      <c r="K523" s="103"/>
      <c r="L523" s="103"/>
      <c r="M523" s="103"/>
      <c r="N523" s="703"/>
      <c r="O523" s="1037"/>
      <c r="AJ523" s="113"/>
      <c r="AK523" s="113"/>
      <c r="AL523" s="113"/>
      <c r="AM523" s="113"/>
      <c r="AN523" s="113"/>
      <c r="AO523" s="113"/>
      <c r="AP523" s="113"/>
      <c r="AQ523" s="113"/>
      <c r="AR523" s="113"/>
      <c r="AS523" s="113"/>
      <c r="AT523" s="113"/>
      <c r="AU523" s="113"/>
      <c r="AV523" s="113"/>
      <c r="AW523" s="113"/>
      <c r="AX523" s="113"/>
      <c r="AY523" s="113"/>
      <c r="AZ523" s="113"/>
      <c r="BA523" s="113"/>
      <c r="BB523" s="113"/>
      <c r="BC523" s="113"/>
      <c r="BD523" s="113"/>
      <c r="BE523" s="113"/>
      <c r="BF523" s="113"/>
      <c r="BG523" s="113"/>
      <c r="BH523" s="113"/>
      <c r="BI523" s="113"/>
    </row>
    <row r="524" spans="1:61" s="45" customFormat="1" ht="22.15" hidden="1" customHeight="1">
      <c r="A524" s="1083" t="s">
        <v>119</v>
      </c>
      <c r="B524" s="62" t="s">
        <v>89</v>
      </c>
      <c r="C524" s="62"/>
      <c r="D524" s="62"/>
      <c r="E524" s="62"/>
      <c r="F524" s="62"/>
      <c r="G524" s="102">
        <f>G528+G536+G534</f>
        <v>0</v>
      </c>
      <c r="H524" s="102">
        <f t="shared" ref="H524:J524" si="199">H528+H536+H534</f>
        <v>0</v>
      </c>
      <c r="I524" s="102">
        <f t="shared" si="199"/>
        <v>0</v>
      </c>
      <c r="J524" s="102">
        <f t="shared" si="199"/>
        <v>0</v>
      </c>
      <c r="K524" s="102"/>
      <c r="L524" s="102">
        <f t="shared" ref="L524" si="200">L528+L536</f>
        <v>0</v>
      </c>
      <c r="M524" s="102"/>
      <c r="N524" s="703"/>
      <c r="O524" s="709"/>
      <c r="AJ524" s="113"/>
      <c r="AK524" s="113"/>
      <c r="AL524" s="113"/>
      <c r="AM524" s="113"/>
      <c r="AN524" s="113"/>
      <c r="AO524" s="113"/>
      <c r="AP524" s="113"/>
      <c r="AQ524" s="113"/>
      <c r="AR524" s="113"/>
      <c r="AS524" s="113"/>
      <c r="AT524" s="113"/>
      <c r="AU524" s="113"/>
      <c r="AV524" s="113"/>
      <c r="AW524" s="113"/>
      <c r="AX524" s="113"/>
      <c r="AY524" s="113"/>
      <c r="AZ524" s="113"/>
      <c r="BA524" s="113"/>
      <c r="BB524" s="113"/>
      <c r="BC524" s="113"/>
      <c r="BD524" s="113"/>
      <c r="BE524" s="113"/>
      <c r="BF524" s="113"/>
      <c r="BG524" s="113"/>
      <c r="BH524" s="113"/>
      <c r="BI524" s="113"/>
    </row>
    <row r="525" spans="1:61" ht="24.6" hidden="1" customHeight="1">
      <c r="A525" s="1083"/>
      <c r="B525" s="62" t="s">
        <v>248</v>
      </c>
      <c r="C525" s="62"/>
      <c r="D525" s="62"/>
      <c r="E525" s="62"/>
      <c r="F525" s="62"/>
      <c r="G525" s="102">
        <f t="shared" ref="G525:L525" si="201">G526+G527</f>
        <v>0</v>
      </c>
      <c r="H525" s="102">
        <f t="shared" si="201"/>
        <v>0</v>
      </c>
      <c r="I525" s="102">
        <f t="shared" si="201"/>
        <v>0</v>
      </c>
      <c r="J525" s="102">
        <f t="shared" si="201"/>
        <v>0</v>
      </c>
      <c r="K525" s="102"/>
      <c r="L525" s="102">
        <f t="shared" si="201"/>
        <v>0</v>
      </c>
      <c r="M525" s="102"/>
      <c r="N525" s="703"/>
      <c r="O525" s="709"/>
    </row>
    <row r="526" spans="1:61" ht="24.6" hidden="1" customHeight="1">
      <c r="A526" s="1083"/>
      <c r="B526" s="62" t="s">
        <v>249</v>
      </c>
      <c r="C526" s="62"/>
      <c r="D526" s="62"/>
      <c r="E526" s="62"/>
      <c r="F526" s="62"/>
      <c r="G526" s="102">
        <f>G530+G537+G535</f>
        <v>0</v>
      </c>
      <c r="H526" s="102">
        <f t="shared" ref="H526:J526" si="202">H530+H537+H535</f>
        <v>0</v>
      </c>
      <c r="I526" s="102">
        <f t="shared" si="202"/>
        <v>0</v>
      </c>
      <c r="J526" s="102">
        <f t="shared" si="202"/>
        <v>0</v>
      </c>
      <c r="K526" s="102"/>
      <c r="L526" s="102">
        <f t="shared" ref="L526" si="203">L530+L537</f>
        <v>0</v>
      </c>
      <c r="M526" s="102"/>
      <c r="N526" s="703"/>
      <c r="O526" s="709"/>
    </row>
    <row r="527" spans="1:61" ht="24" hidden="1" customHeight="1">
      <c r="A527" s="1083"/>
      <c r="B527" s="62" t="s">
        <v>250</v>
      </c>
      <c r="C527" s="62"/>
      <c r="D527" s="62"/>
      <c r="E527" s="62"/>
      <c r="F527" s="62"/>
      <c r="G527" s="102">
        <f t="shared" ref="G527:L527" si="204">G531</f>
        <v>0</v>
      </c>
      <c r="H527" s="102"/>
      <c r="I527" s="102"/>
      <c r="J527" s="102"/>
      <c r="K527" s="102"/>
      <c r="L527" s="102">
        <f t="shared" si="204"/>
        <v>0</v>
      </c>
      <c r="M527" s="102"/>
      <c r="N527" s="703"/>
      <c r="O527" s="709"/>
    </row>
    <row r="528" spans="1:61" ht="24.6" hidden="1" customHeight="1">
      <c r="A528" s="1039" t="s">
        <v>118</v>
      </c>
      <c r="B528" s="643" t="s">
        <v>89</v>
      </c>
      <c r="C528" s="643">
        <v>176</v>
      </c>
      <c r="D528" s="643" t="s">
        <v>15</v>
      </c>
      <c r="E528" s="643">
        <v>6100404</v>
      </c>
      <c r="F528" s="643">
        <v>243</v>
      </c>
      <c r="G528" s="103">
        <v>0</v>
      </c>
      <c r="H528" s="103"/>
      <c r="I528" s="103"/>
      <c r="J528" s="103"/>
      <c r="K528" s="103"/>
      <c r="L528" s="103"/>
      <c r="M528" s="103"/>
      <c r="N528" s="703"/>
      <c r="O528" s="1037" t="s">
        <v>36</v>
      </c>
    </row>
    <row r="529" spans="1:61" ht="24.6" hidden="1" customHeight="1">
      <c r="A529" s="1039"/>
      <c r="B529" s="643" t="s">
        <v>237</v>
      </c>
      <c r="C529" s="643"/>
      <c r="D529" s="643"/>
      <c r="E529" s="643"/>
      <c r="F529" s="643"/>
      <c r="G529" s="103">
        <f t="shared" ref="G529:L529" si="205">G530+G531</f>
        <v>0</v>
      </c>
      <c r="H529" s="103"/>
      <c r="I529" s="103"/>
      <c r="J529" s="103"/>
      <c r="K529" s="103"/>
      <c r="L529" s="103">
        <f t="shared" si="205"/>
        <v>0</v>
      </c>
      <c r="M529" s="103"/>
      <c r="N529" s="703"/>
      <c r="O529" s="1037"/>
    </row>
    <row r="530" spans="1:61" ht="24.6" hidden="1" customHeight="1">
      <c r="A530" s="1039"/>
      <c r="B530" s="643" t="s">
        <v>249</v>
      </c>
      <c r="C530" s="643"/>
      <c r="D530" s="643"/>
      <c r="E530" s="643"/>
      <c r="F530" s="643"/>
      <c r="G530" s="103"/>
      <c r="H530" s="103"/>
      <c r="I530" s="103"/>
      <c r="J530" s="103"/>
      <c r="K530" s="103"/>
      <c r="L530" s="103"/>
      <c r="M530" s="103"/>
      <c r="N530" s="703"/>
      <c r="O530" s="1037"/>
    </row>
    <row r="531" spans="1:61" ht="24" hidden="1" customHeight="1">
      <c r="A531" s="1039"/>
      <c r="B531" s="643" t="s">
        <v>250</v>
      </c>
      <c r="C531" s="643"/>
      <c r="D531" s="643"/>
      <c r="E531" s="643"/>
      <c r="F531" s="643"/>
      <c r="G531" s="103"/>
      <c r="H531" s="103"/>
      <c r="I531" s="103"/>
      <c r="J531" s="103"/>
      <c r="K531" s="103"/>
      <c r="L531" s="103"/>
      <c r="M531" s="103"/>
      <c r="N531" s="703"/>
      <c r="O531" s="1037"/>
    </row>
    <row r="532" spans="1:61" ht="24.6" hidden="1" customHeight="1">
      <c r="A532" s="1081" t="s">
        <v>120</v>
      </c>
      <c r="B532" s="643" t="s">
        <v>89</v>
      </c>
      <c r="C532" s="643">
        <v>176</v>
      </c>
      <c r="D532" s="643" t="s">
        <v>15</v>
      </c>
      <c r="E532" s="643">
        <v>6100404</v>
      </c>
      <c r="F532" s="643">
        <v>243</v>
      </c>
      <c r="G532" s="103"/>
      <c r="H532" s="103"/>
      <c r="I532" s="103"/>
      <c r="J532" s="103"/>
      <c r="K532" s="103"/>
      <c r="L532" s="103"/>
      <c r="M532" s="103"/>
      <c r="N532" s="703"/>
      <c r="O532" s="1037" t="s">
        <v>37</v>
      </c>
    </row>
    <row r="533" spans="1:61" ht="24.6" hidden="1" customHeight="1">
      <c r="A533" s="1081"/>
      <c r="B533" s="643" t="s">
        <v>248</v>
      </c>
      <c r="C533" s="643"/>
      <c r="D533" s="643"/>
      <c r="E533" s="643"/>
      <c r="F533" s="643"/>
      <c r="G533" s="103"/>
      <c r="H533" s="103"/>
      <c r="I533" s="103"/>
      <c r="J533" s="103"/>
      <c r="K533" s="103"/>
      <c r="L533" s="103"/>
      <c r="M533" s="103"/>
      <c r="N533" s="703"/>
      <c r="O533" s="1037"/>
    </row>
    <row r="534" spans="1:61" ht="23.45" hidden="1" customHeight="1">
      <c r="A534" s="1081" t="s">
        <v>322</v>
      </c>
      <c r="B534" s="643" t="s">
        <v>89</v>
      </c>
      <c r="C534" s="643">
        <v>176</v>
      </c>
      <c r="D534" s="643" t="s">
        <v>15</v>
      </c>
      <c r="E534" s="643">
        <v>6100404</v>
      </c>
      <c r="F534" s="643">
        <v>243</v>
      </c>
      <c r="G534" s="103">
        <f>J534</f>
        <v>0</v>
      </c>
      <c r="H534" s="103"/>
      <c r="I534" s="103"/>
      <c r="J534" s="103"/>
      <c r="K534" s="103"/>
      <c r="L534" s="103"/>
      <c r="M534" s="103"/>
      <c r="N534" s="703"/>
      <c r="O534" s="1037" t="s">
        <v>282</v>
      </c>
    </row>
    <row r="535" spans="1:61" s="45" customFormat="1" ht="24.6" hidden="1" customHeight="1">
      <c r="A535" s="1081"/>
      <c r="B535" s="643" t="s">
        <v>248</v>
      </c>
      <c r="C535" s="643"/>
      <c r="D535" s="643"/>
      <c r="E535" s="643"/>
      <c r="F535" s="643"/>
      <c r="G535" s="103">
        <f>J535</f>
        <v>0</v>
      </c>
      <c r="H535" s="103"/>
      <c r="I535" s="103"/>
      <c r="J535" s="103"/>
      <c r="K535" s="103"/>
      <c r="L535" s="103"/>
      <c r="M535" s="103"/>
      <c r="N535" s="703"/>
      <c r="O535" s="1037"/>
      <c r="AJ535" s="113"/>
      <c r="AK535" s="113"/>
      <c r="AL535" s="113"/>
      <c r="AM535" s="113"/>
      <c r="AN535" s="113"/>
      <c r="AO535" s="113"/>
      <c r="AP535" s="113"/>
      <c r="AQ535" s="113"/>
      <c r="AR535" s="113"/>
      <c r="AS535" s="113"/>
      <c r="AT535" s="113"/>
      <c r="AU535" s="113"/>
      <c r="AV535" s="113"/>
      <c r="AW535" s="113"/>
      <c r="AX535" s="113"/>
      <c r="AY535" s="113"/>
      <c r="AZ535" s="113"/>
      <c r="BA535" s="113"/>
      <c r="BB535" s="113"/>
      <c r="BC535" s="113"/>
      <c r="BD535" s="113"/>
      <c r="BE535" s="113"/>
      <c r="BF535" s="113"/>
      <c r="BG535" s="113"/>
      <c r="BH535" s="113"/>
      <c r="BI535" s="113"/>
    </row>
    <row r="536" spans="1:61" s="45" customFormat="1" ht="24.6" hidden="1" customHeight="1">
      <c r="A536" s="1081" t="s">
        <v>111</v>
      </c>
      <c r="B536" s="643" t="s">
        <v>89</v>
      </c>
      <c r="C536" s="643">
        <v>176</v>
      </c>
      <c r="D536" s="643" t="s">
        <v>15</v>
      </c>
      <c r="E536" s="643">
        <v>6100404</v>
      </c>
      <c r="F536" s="643">
        <v>243</v>
      </c>
      <c r="G536" s="103"/>
      <c r="H536" s="103"/>
      <c r="I536" s="103"/>
      <c r="J536" s="103"/>
      <c r="K536" s="103"/>
      <c r="L536" s="103"/>
      <c r="M536" s="103"/>
      <c r="N536" s="703"/>
      <c r="O536" s="1037" t="s">
        <v>111</v>
      </c>
      <c r="AJ536" s="113"/>
      <c r="AK536" s="113"/>
      <c r="AL536" s="113"/>
      <c r="AM536" s="113"/>
      <c r="AN536" s="113"/>
      <c r="AO536" s="113"/>
      <c r="AP536" s="113"/>
      <c r="AQ536" s="113"/>
      <c r="AR536" s="113"/>
      <c r="AS536" s="113"/>
      <c r="AT536" s="113"/>
      <c r="AU536" s="113"/>
      <c r="AV536" s="113"/>
      <c r="AW536" s="113"/>
      <c r="AX536" s="113"/>
      <c r="AY536" s="113"/>
      <c r="AZ536" s="113"/>
      <c r="BA536" s="113"/>
      <c r="BB536" s="113"/>
      <c r="BC536" s="113"/>
      <c r="BD536" s="113"/>
      <c r="BE536" s="113"/>
      <c r="BF536" s="113"/>
      <c r="BG536" s="113"/>
      <c r="BH536" s="113"/>
      <c r="BI536" s="113"/>
    </row>
    <row r="537" spans="1:61" ht="24.6" hidden="1" customHeight="1">
      <c r="A537" s="1081"/>
      <c r="B537" s="643" t="s">
        <v>248</v>
      </c>
      <c r="C537" s="643"/>
      <c r="D537" s="643"/>
      <c r="E537" s="643"/>
      <c r="F537" s="643"/>
      <c r="G537" s="103"/>
      <c r="H537" s="103"/>
      <c r="I537" s="103"/>
      <c r="J537" s="103"/>
      <c r="K537" s="103"/>
      <c r="L537" s="103"/>
      <c r="M537" s="103"/>
      <c r="N537" s="703"/>
      <c r="O537" s="1037"/>
    </row>
    <row r="538" spans="1:61" ht="24.6" hidden="1" customHeight="1">
      <c r="A538" s="1038" t="s">
        <v>124</v>
      </c>
      <c r="B538" s="62" t="s">
        <v>744</v>
      </c>
      <c r="C538" s="62"/>
      <c r="D538" s="62"/>
      <c r="E538" s="62"/>
      <c r="F538" s="62"/>
      <c r="G538" s="102">
        <f>G542+G544</f>
        <v>0</v>
      </c>
      <c r="H538" s="102">
        <f t="shared" ref="H538:K538" si="206">H542+H544</f>
        <v>0</v>
      </c>
      <c r="I538" s="102">
        <f t="shared" si="206"/>
        <v>0</v>
      </c>
      <c r="J538" s="102">
        <f t="shared" si="206"/>
        <v>0</v>
      </c>
      <c r="K538" s="102">
        <f t="shared" si="206"/>
        <v>0</v>
      </c>
      <c r="L538" s="102">
        <f t="shared" ref="L538:M538" si="207">L542+L544</f>
        <v>0</v>
      </c>
      <c r="M538" s="102">
        <f t="shared" si="207"/>
        <v>0</v>
      </c>
      <c r="N538" s="703"/>
      <c r="O538" s="709"/>
    </row>
    <row r="539" spans="1:61" ht="24.6" hidden="1" customHeight="1">
      <c r="A539" s="1038"/>
      <c r="B539" s="62" t="s">
        <v>446</v>
      </c>
      <c r="C539" s="62"/>
      <c r="D539" s="62"/>
      <c r="E539" s="62"/>
      <c r="F539" s="62"/>
      <c r="G539" s="102">
        <f>J539</f>
        <v>0</v>
      </c>
      <c r="H539" s="102"/>
      <c r="I539" s="102"/>
      <c r="J539" s="102">
        <f>J540+J541</f>
        <v>0</v>
      </c>
      <c r="K539" s="102"/>
      <c r="L539" s="102"/>
      <c r="M539" s="102"/>
      <c r="N539" s="703"/>
      <c r="O539" s="709"/>
    </row>
    <row r="540" spans="1:61" ht="24.6" hidden="1" customHeight="1">
      <c r="A540" s="1038"/>
      <c r="B540" s="62" t="s">
        <v>249</v>
      </c>
      <c r="C540" s="62"/>
      <c r="D540" s="62"/>
      <c r="E540" s="62"/>
      <c r="F540" s="62"/>
      <c r="G540" s="102">
        <f t="shared" ref="G540:G541" si="208">J540</f>
        <v>0</v>
      </c>
      <c r="H540" s="102"/>
      <c r="I540" s="102"/>
      <c r="J540" s="102">
        <f>J546</f>
        <v>0</v>
      </c>
      <c r="K540" s="102"/>
      <c r="L540" s="102"/>
      <c r="M540" s="102"/>
      <c r="N540" s="703"/>
      <c r="O540" s="709"/>
    </row>
    <row r="541" spans="1:61" ht="24.6" hidden="1" customHeight="1">
      <c r="A541" s="1038"/>
      <c r="B541" s="62" t="s">
        <v>502</v>
      </c>
      <c r="C541" s="62"/>
      <c r="D541" s="62"/>
      <c r="E541" s="62"/>
      <c r="F541" s="62"/>
      <c r="G541" s="102">
        <f t="shared" si="208"/>
        <v>0</v>
      </c>
      <c r="H541" s="102">
        <f t="shared" ref="H541:K541" si="209">H543+H551+H547</f>
        <v>0</v>
      </c>
      <c r="I541" s="102">
        <f t="shared" si="209"/>
        <v>0</v>
      </c>
      <c r="J541" s="102">
        <f>J547</f>
        <v>0</v>
      </c>
      <c r="K541" s="102">
        <f t="shared" si="209"/>
        <v>0</v>
      </c>
      <c r="L541" s="102">
        <f t="shared" ref="L541:M541" si="210">L543+L551+L547</f>
        <v>0</v>
      </c>
      <c r="M541" s="102">
        <f t="shared" si="210"/>
        <v>0</v>
      </c>
      <c r="N541" s="703"/>
      <c r="O541" s="709"/>
    </row>
    <row r="542" spans="1:61" ht="22.9" hidden="1" customHeight="1">
      <c r="A542" s="1039" t="s">
        <v>944</v>
      </c>
      <c r="B542" s="643" t="s">
        <v>89</v>
      </c>
      <c r="C542" s="643">
        <v>176</v>
      </c>
      <c r="D542" s="643" t="s">
        <v>15</v>
      </c>
      <c r="E542" s="643">
        <v>6100404</v>
      </c>
      <c r="F542" s="643">
        <v>243</v>
      </c>
      <c r="G542" s="103"/>
      <c r="H542" s="103"/>
      <c r="I542" s="103"/>
      <c r="J542" s="103"/>
      <c r="K542" s="103"/>
      <c r="L542" s="103"/>
      <c r="M542" s="103"/>
      <c r="N542" s="703"/>
      <c r="O542" s="1037" t="s">
        <v>111</v>
      </c>
    </row>
    <row r="543" spans="1:61" ht="24.6" hidden="1" customHeight="1">
      <c r="A543" s="1039"/>
      <c r="B543" s="643" t="s">
        <v>248</v>
      </c>
      <c r="C543" s="643"/>
      <c r="D543" s="643"/>
      <c r="E543" s="643"/>
      <c r="F543" s="643"/>
      <c r="G543" s="103">
        <f>J543</f>
        <v>0</v>
      </c>
      <c r="H543" s="103"/>
      <c r="I543" s="103"/>
      <c r="J543" s="103"/>
      <c r="K543" s="103"/>
      <c r="L543" s="103"/>
      <c r="M543" s="103"/>
      <c r="N543" s="703"/>
      <c r="O543" s="1037"/>
    </row>
    <row r="544" spans="1:61" ht="24.6" hidden="1" customHeight="1">
      <c r="A544" s="1028" t="s">
        <v>945</v>
      </c>
      <c r="B544" s="643" t="s">
        <v>744</v>
      </c>
      <c r="C544" s="643">
        <v>176</v>
      </c>
      <c r="D544" s="643" t="s">
        <v>15</v>
      </c>
      <c r="E544" s="643">
        <v>6100404</v>
      </c>
      <c r="F544" s="643">
        <v>243</v>
      </c>
      <c r="G544" s="103">
        <f>J544</f>
        <v>0</v>
      </c>
      <c r="H544" s="103"/>
      <c r="I544" s="103"/>
      <c r="J544" s="103"/>
      <c r="K544" s="103"/>
      <c r="L544" s="298"/>
      <c r="M544" s="123"/>
      <c r="N544" s="703"/>
      <c r="O544" s="1037" t="s">
        <v>795</v>
      </c>
    </row>
    <row r="545" spans="1:61" ht="24.6" hidden="1" customHeight="1">
      <c r="A545" s="1036"/>
      <c r="B545" s="643" t="s">
        <v>446</v>
      </c>
      <c r="C545" s="643"/>
      <c r="D545" s="643"/>
      <c r="E545" s="643"/>
      <c r="F545" s="643"/>
      <c r="G545" s="103">
        <f>J545</f>
        <v>0</v>
      </c>
      <c r="H545" s="103"/>
      <c r="I545" s="103"/>
      <c r="J545" s="103">
        <f>J546+J547</f>
        <v>0</v>
      </c>
      <c r="K545" s="103"/>
      <c r="L545" s="298"/>
      <c r="M545" s="123"/>
      <c r="N545" s="703"/>
      <c r="O545" s="1037"/>
    </row>
    <row r="546" spans="1:61" ht="24.6" hidden="1" customHeight="1">
      <c r="A546" s="1036"/>
      <c r="B546" s="643" t="s">
        <v>249</v>
      </c>
      <c r="C546" s="643"/>
      <c r="D546" s="643"/>
      <c r="E546" s="643"/>
      <c r="F546" s="643"/>
      <c r="G546" s="103">
        <f>J546</f>
        <v>0</v>
      </c>
      <c r="H546" s="103"/>
      <c r="I546" s="103"/>
      <c r="J546" s="103"/>
      <c r="K546" s="103"/>
      <c r="L546" s="298"/>
      <c r="M546" s="123"/>
      <c r="N546" s="703"/>
      <c r="O546" s="1037"/>
    </row>
    <row r="547" spans="1:61" ht="23.45" hidden="1" customHeight="1">
      <c r="A547" s="1029"/>
      <c r="B547" s="643" t="s">
        <v>502</v>
      </c>
      <c r="C547" s="643"/>
      <c r="D547" s="643"/>
      <c r="E547" s="643"/>
      <c r="F547" s="643"/>
      <c r="G547" s="103">
        <f>J547</f>
        <v>0</v>
      </c>
      <c r="H547" s="103"/>
      <c r="I547" s="103"/>
      <c r="J547" s="103"/>
      <c r="K547" s="103"/>
      <c r="L547" s="103"/>
      <c r="M547" s="103"/>
      <c r="N547" s="703"/>
      <c r="O547" s="1037"/>
    </row>
    <row r="548" spans="1:61" ht="24.6" hidden="1" customHeight="1">
      <c r="A548" s="642" t="s">
        <v>182</v>
      </c>
      <c r="B548" s="643" t="s">
        <v>89</v>
      </c>
      <c r="C548" s="643">
        <v>176</v>
      </c>
      <c r="D548" s="643" t="s">
        <v>15</v>
      </c>
      <c r="E548" s="643">
        <v>6100404</v>
      </c>
      <c r="F548" s="643">
        <v>243</v>
      </c>
      <c r="G548" s="103"/>
      <c r="H548" s="103"/>
      <c r="I548" s="103"/>
      <c r="J548" s="103"/>
      <c r="K548" s="103"/>
      <c r="L548" s="103"/>
      <c r="M548" s="103"/>
      <c r="N548" s="703"/>
      <c r="O548" s="703" t="s">
        <v>35</v>
      </c>
    </row>
    <row r="549" spans="1:61" ht="24.6" hidden="1" customHeight="1">
      <c r="A549" s="642"/>
      <c r="B549" s="643" t="s">
        <v>248</v>
      </c>
      <c r="C549" s="643"/>
      <c r="D549" s="643"/>
      <c r="E549" s="643"/>
      <c r="F549" s="643"/>
      <c r="G549" s="103"/>
      <c r="H549" s="103"/>
      <c r="I549" s="103"/>
      <c r="J549" s="103"/>
      <c r="K549" s="103"/>
      <c r="L549" s="103"/>
      <c r="M549" s="103"/>
      <c r="N549" s="703"/>
      <c r="O549" s="703"/>
    </row>
    <row r="550" spans="1:61" ht="0.6" hidden="1" customHeight="1">
      <c r="A550" s="642" t="s">
        <v>185</v>
      </c>
      <c r="B550" s="643" t="s">
        <v>89</v>
      </c>
      <c r="C550" s="643">
        <v>176</v>
      </c>
      <c r="D550" s="643" t="s">
        <v>15</v>
      </c>
      <c r="E550" s="643">
        <v>6100404</v>
      </c>
      <c r="F550" s="643">
        <v>243</v>
      </c>
      <c r="G550" s="103">
        <v>0</v>
      </c>
      <c r="H550" s="103"/>
      <c r="I550" s="103"/>
      <c r="J550" s="103"/>
      <c r="K550" s="103"/>
      <c r="L550" s="103"/>
      <c r="M550" s="103"/>
      <c r="N550" s="703"/>
      <c r="O550" s="1037" t="s">
        <v>231</v>
      </c>
    </row>
    <row r="551" spans="1:61" s="45" customFormat="1" ht="24.6" hidden="1" customHeight="1">
      <c r="A551" s="642"/>
      <c r="B551" s="643" t="s">
        <v>248</v>
      </c>
      <c r="C551" s="643"/>
      <c r="D551" s="643"/>
      <c r="E551" s="643"/>
      <c r="F551" s="643"/>
      <c r="G551" s="103"/>
      <c r="H551" s="103"/>
      <c r="I551" s="103"/>
      <c r="J551" s="103"/>
      <c r="K551" s="103"/>
      <c r="L551" s="103"/>
      <c r="M551" s="103"/>
      <c r="N551" s="703"/>
      <c r="O551" s="1037"/>
      <c r="AJ551" s="113"/>
      <c r="AK551" s="113"/>
      <c r="AL551" s="113"/>
      <c r="AM551" s="113"/>
      <c r="AN551" s="113"/>
      <c r="AO551" s="113"/>
      <c r="AP551" s="113"/>
      <c r="AQ551" s="113"/>
      <c r="AR551" s="113"/>
      <c r="AS551" s="113"/>
      <c r="AT551" s="113"/>
      <c r="AU551" s="113"/>
      <c r="AV551" s="113"/>
      <c r="AW551" s="113"/>
      <c r="AX551" s="113"/>
      <c r="AY551" s="113"/>
      <c r="AZ551" s="113"/>
      <c r="BA551" s="113"/>
      <c r="BB551" s="113"/>
      <c r="BC551" s="113"/>
      <c r="BD551" s="113"/>
      <c r="BE551" s="113"/>
      <c r="BF551" s="113"/>
      <c r="BG551" s="113"/>
      <c r="BH551" s="113"/>
      <c r="BI551" s="113"/>
    </row>
    <row r="552" spans="1:61" s="45" customFormat="1" ht="24.6" hidden="1" customHeight="1">
      <c r="A552" s="642" t="s">
        <v>183</v>
      </c>
      <c r="B552" s="643" t="s">
        <v>89</v>
      </c>
      <c r="C552" s="643">
        <v>176</v>
      </c>
      <c r="D552" s="643" t="s">
        <v>15</v>
      </c>
      <c r="E552" s="643">
        <v>6100404</v>
      </c>
      <c r="F552" s="643">
        <v>243</v>
      </c>
      <c r="G552" s="103">
        <v>0</v>
      </c>
      <c r="H552" s="103"/>
      <c r="I552" s="103"/>
      <c r="J552" s="103"/>
      <c r="K552" s="103"/>
      <c r="L552" s="103"/>
      <c r="M552" s="103"/>
      <c r="N552" s="703"/>
      <c r="O552" s="703" t="s">
        <v>31</v>
      </c>
      <c r="AJ552" s="113"/>
      <c r="AK552" s="113"/>
      <c r="AL552" s="113"/>
      <c r="AM552" s="113"/>
      <c r="AN552" s="113"/>
      <c r="AO552" s="113"/>
      <c r="AP552" s="113"/>
      <c r="AQ552" s="113"/>
      <c r="AR552" s="113"/>
      <c r="AS552" s="113"/>
      <c r="AT552" s="113"/>
      <c r="AU552" s="113"/>
      <c r="AV552" s="113"/>
      <c r="AW552" s="113"/>
      <c r="AX552" s="113"/>
      <c r="AY552" s="113"/>
      <c r="AZ552" s="113"/>
      <c r="BA552" s="113"/>
      <c r="BB552" s="113"/>
      <c r="BC552" s="113"/>
      <c r="BD552" s="113"/>
      <c r="BE552" s="113"/>
      <c r="BF552" s="113"/>
      <c r="BG552" s="113"/>
      <c r="BH552" s="113"/>
      <c r="BI552" s="113"/>
    </row>
    <row r="553" spans="1:61" ht="24.6" hidden="1" customHeight="1">
      <c r="A553" s="642"/>
      <c r="B553" s="643" t="s">
        <v>248</v>
      </c>
      <c r="C553" s="643"/>
      <c r="D553" s="643"/>
      <c r="E553" s="643"/>
      <c r="F553" s="643"/>
      <c r="G553" s="103"/>
      <c r="H553" s="103"/>
      <c r="I553" s="103"/>
      <c r="J553" s="103"/>
      <c r="K553" s="103"/>
      <c r="L553" s="103"/>
      <c r="M553" s="103"/>
      <c r="N553" s="703"/>
      <c r="O553" s="703"/>
      <c r="V553" s="44">
        <v>34.700000000000003</v>
      </c>
    </row>
    <row r="554" spans="1:61" ht="24.95" hidden="1" customHeight="1">
      <c r="A554" s="1038" t="s">
        <v>122</v>
      </c>
      <c r="B554" s="62" t="s">
        <v>744</v>
      </c>
      <c r="C554" s="62"/>
      <c r="D554" s="62"/>
      <c r="E554" s="62"/>
      <c r="F554" s="62"/>
      <c r="G554" s="137">
        <f>G558+G566+G570</f>
        <v>4.8000000000000001E-2</v>
      </c>
      <c r="H554" s="137">
        <f t="shared" ref="H554:K554" si="211">H558+H566+H570</f>
        <v>0</v>
      </c>
      <c r="I554" s="137">
        <f t="shared" si="211"/>
        <v>0</v>
      </c>
      <c r="J554" s="137">
        <f t="shared" si="211"/>
        <v>0</v>
      </c>
      <c r="K554" s="137">
        <f t="shared" si="211"/>
        <v>4.8000000000000001E-2</v>
      </c>
      <c r="L554" s="137">
        <f t="shared" ref="L554:M554" si="212">L558+L560+L564+L566+L570</f>
        <v>0</v>
      </c>
      <c r="M554" s="137">
        <f t="shared" si="212"/>
        <v>0</v>
      </c>
      <c r="N554" s="703"/>
      <c r="O554" s="709"/>
    </row>
    <row r="555" spans="1:61" ht="24.95" hidden="1" customHeight="1">
      <c r="A555" s="1038"/>
      <c r="B555" s="62" t="s">
        <v>446</v>
      </c>
      <c r="C555" s="62"/>
      <c r="D555" s="62"/>
      <c r="E555" s="62"/>
      <c r="F555" s="62"/>
      <c r="G555" s="102">
        <f>K555</f>
        <v>0</v>
      </c>
      <c r="H555" s="102"/>
      <c r="I555" s="102"/>
      <c r="J555" s="102"/>
      <c r="K555" s="102">
        <f>K556+K557</f>
        <v>0</v>
      </c>
      <c r="L555" s="137"/>
      <c r="M555" s="137"/>
      <c r="N555" s="703"/>
      <c r="O555" s="709"/>
    </row>
    <row r="556" spans="1:61" ht="24.95" hidden="1" customHeight="1">
      <c r="A556" s="1038"/>
      <c r="B556" s="62" t="s">
        <v>249</v>
      </c>
      <c r="C556" s="62"/>
      <c r="D556" s="62"/>
      <c r="E556" s="62"/>
      <c r="F556" s="62"/>
      <c r="G556" s="102">
        <f>K556</f>
        <v>0</v>
      </c>
      <c r="H556" s="102"/>
      <c r="I556" s="102"/>
      <c r="J556" s="102"/>
      <c r="K556" s="102">
        <f>K568</f>
        <v>0</v>
      </c>
      <c r="L556" s="137"/>
      <c r="M556" s="137"/>
      <c r="N556" s="703"/>
      <c r="O556" s="709"/>
    </row>
    <row r="557" spans="1:61" ht="21.75" hidden="1" customHeight="1">
      <c r="A557" s="1038"/>
      <c r="B557" s="62" t="s">
        <v>502</v>
      </c>
      <c r="C557" s="62"/>
      <c r="D557" s="62"/>
      <c r="E557" s="62"/>
      <c r="F557" s="62"/>
      <c r="G557" s="102">
        <f>G559+G561+G565+G569+G571</f>
        <v>0</v>
      </c>
      <c r="H557" s="102">
        <f t="shared" ref="H557:J557" si="213">H559+H561+H565+H569+H571</f>
        <v>0</v>
      </c>
      <c r="I557" s="102">
        <f t="shared" si="213"/>
        <v>0</v>
      </c>
      <c r="J557" s="102">
        <f t="shared" si="213"/>
        <v>0</v>
      </c>
      <c r="K557" s="102">
        <f>K569</f>
        <v>0</v>
      </c>
      <c r="L557" s="102">
        <f t="shared" ref="L557:M557" si="214">L559+L561+L565+L569+L571</f>
        <v>0</v>
      </c>
      <c r="M557" s="102">
        <f t="shared" si="214"/>
        <v>0</v>
      </c>
      <c r="N557" s="703"/>
      <c r="O557" s="709"/>
      <c r="V557" s="44">
        <v>37</v>
      </c>
    </row>
    <row r="558" spans="1:61" ht="23.45" hidden="1" customHeight="1">
      <c r="A558" s="1039" t="s">
        <v>121</v>
      </c>
      <c r="B558" s="643" t="s">
        <v>89</v>
      </c>
      <c r="C558" s="643">
        <v>176</v>
      </c>
      <c r="D558" s="643" t="s">
        <v>15</v>
      </c>
      <c r="E558" s="643">
        <v>6100404</v>
      </c>
      <c r="F558" s="643">
        <v>243</v>
      </c>
      <c r="G558" s="103">
        <v>4.8000000000000001E-2</v>
      </c>
      <c r="H558" s="103"/>
      <c r="I558" s="103"/>
      <c r="J558" s="103"/>
      <c r="K558" s="103">
        <v>4.8000000000000001E-2</v>
      </c>
      <c r="L558" s="103"/>
      <c r="M558" s="103"/>
      <c r="N558" s="703"/>
      <c r="O558" s="1037" t="s">
        <v>452</v>
      </c>
    </row>
    <row r="559" spans="1:61" ht="24.6" hidden="1" customHeight="1">
      <c r="A559" s="1039"/>
      <c r="B559" s="643" t="s">
        <v>248</v>
      </c>
      <c r="C559" s="643"/>
      <c r="D559" s="643"/>
      <c r="E559" s="643"/>
      <c r="F559" s="643"/>
      <c r="G559" s="103"/>
      <c r="H559" s="103"/>
      <c r="I559" s="103"/>
      <c r="J559" s="103"/>
      <c r="K559" s="103"/>
      <c r="L559" s="103"/>
      <c r="M559" s="103"/>
      <c r="N559" s="703"/>
      <c r="O559" s="1037"/>
    </row>
    <row r="560" spans="1:61" ht="24.6" hidden="1" customHeight="1">
      <c r="A560" s="1039" t="s">
        <v>177</v>
      </c>
      <c r="B560" s="643" t="s">
        <v>89</v>
      </c>
      <c r="C560" s="643">
        <v>176</v>
      </c>
      <c r="D560" s="643" t="s">
        <v>15</v>
      </c>
      <c r="E560" s="643">
        <v>6100404</v>
      </c>
      <c r="F560" s="643">
        <v>243</v>
      </c>
      <c r="G560" s="103"/>
      <c r="H560" s="103"/>
      <c r="I560" s="103"/>
      <c r="J560" s="103"/>
      <c r="K560" s="103"/>
      <c r="L560" s="103"/>
      <c r="M560" s="103"/>
      <c r="N560" s="703"/>
      <c r="O560" s="1037" t="s">
        <v>512</v>
      </c>
    </row>
    <row r="561" spans="1:61" ht="24" hidden="1" customHeight="1">
      <c r="A561" s="1039"/>
      <c r="B561" s="643" t="s">
        <v>248</v>
      </c>
      <c r="C561" s="643"/>
      <c r="D561" s="643"/>
      <c r="E561" s="643"/>
      <c r="F561" s="643"/>
      <c r="G561" s="103">
        <f>H561+I561+J561</f>
        <v>0</v>
      </c>
      <c r="H561" s="103"/>
      <c r="I561" s="103"/>
      <c r="J561" s="103"/>
      <c r="K561" s="103"/>
      <c r="L561" s="103"/>
      <c r="M561" s="103"/>
      <c r="N561" s="703"/>
      <c r="O561" s="1037"/>
    </row>
    <row r="562" spans="1:61" ht="0.6" hidden="1" customHeight="1">
      <c r="A562" s="642" t="s">
        <v>178</v>
      </c>
      <c r="B562" s="643" t="s">
        <v>89</v>
      </c>
      <c r="C562" s="643">
        <v>176</v>
      </c>
      <c r="D562" s="643" t="s">
        <v>15</v>
      </c>
      <c r="E562" s="643">
        <v>6100404</v>
      </c>
      <c r="F562" s="643">
        <v>243</v>
      </c>
      <c r="G562" s="103"/>
      <c r="H562" s="103"/>
      <c r="I562" s="103"/>
      <c r="J562" s="103"/>
      <c r="K562" s="103"/>
      <c r="L562" s="103"/>
      <c r="M562" s="103"/>
      <c r="N562" s="703"/>
      <c r="O562" s="703" t="s">
        <v>225</v>
      </c>
    </row>
    <row r="563" spans="1:61" ht="24.6" hidden="1" customHeight="1">
      <c r="A563" s="1028" t="s">
        <v>179</v>
      </c>
      <c r="B563" s="643" t="s">
        <v>248</v>
      </c>
      <c r="C563" s="643"/>
      <c r="D563" s="643"/>
      <c r="E563" s="643"/>
      <c r="F563" s="643"/>
      <c r="G563" s="103"/>
      <c r="H563" s="103"/>
      <c r="I563" s="103"/>
      <c r="J563" s="103"/>
      <c r="K563" s="103"/>
      <c r="L563" s="103"/>
      <c r="M563" s="103"/>
      <c r="N563" s="703"/>
      <c r="O563" s="703"/>
    </row>
    <row r="564" spans="1:61" ht="24.95" hidden="1" customHeight="1">
      <c r="A564" s="1036"/>
      <c r="B564" s="643" t="s">
        <v>89</v>
      </c>
      <c r="C564" s="643">
        <v>176</v>
      </c>
      <c r="D564" s="643" t="s">
        <v>15</v>
      </c>
      <c r="E564" s="643">
        <v>6100404</v>
      </c>
      <c r="F564" s="643">
        <v>243</v>
      </c>
      <c r="G564" s="103"/>
      <c r="H564" s="103"/>
      <c r="I564" s="103"/>
      <c r="J564" s="103"/>
      <c r="K564" s="103"/>
      <c r="L564" s="103"/>
      <c r="M564" s="103"/>
      <c r="N564" s="703"/>
      <c r="O564" s="1037" t="s">
        <v>513</v>
      </c>
    </row>
    <row r="565" spans="1:61" s="45" customFormat="1" ht="24.6" hidden="1" customHeight="1">
      <c r="A565" s="1029"/>
      <c r="B565" s="643" t="s">
        <v>248</v>
      </c>
      <c r="C565" s="643"/>
      <c r="D565" s="643"/>
      <c r="E565" s="643"/>
      <c r="F565" s="643"/>
      <c r="G565" s="103">
        <f>J565+K565</f>
        <v>0</v>
      </c>
      <c r="H565" s="103"/>
      <c r="I565" s="103"/>
      <c r="J565" s="103"/>
      <c r="K565" s="103"/>
      <c r="L565" s="103"/>
      <c r="M565" s="103"/>
      <c r="N565" s="703"/>
      <c r="O565" s="1037"/>
      <c r="AJ565" s="113"/>
      <c r="AK565" s="113"/>
      <c r="AL565" s="113"/>
      <c r="AM565" s="113"/>
      <c r="AN565" s="113"/>
      <c r="AO565" s="113"/>
      <c r="AP565" s="113"/>
      <c r="AQ565" s="113"/>
      <c r="AR565" s="113"/>
      <c r="AS565" s="113"/>
      <c r="AT565" s="113"/>
      <c r="AU565" s="113"/>
      <c r="AV565" s="113"/>
      <c r="AW565" s="113"/>
      <c r="AX565" s="113"/>
      <c r="AY565" s="113"/>
      <c r="AZ565" s="113"/>
      <c r="BA565" s="113"/>
      <c r="BB565" s="113"/>
      <c r="BC565" s="113"/>
      <c r="BD565" s="113"/>
      <c r="BE565" s="113"/>
      <c r="BF565" s="113"/>
      <c r="BG565" s="113"/>
      <c r="BH565" s="113"/>
      <c r="BI565" s="113"/>
    </row>
    <row r="566" spans="1:61" s="45" customFormat="1" ht="24.6" hidden="1" customHeight="1">
      <c r="A566" s="1028" t="s">
        <v>314</v>
      </c>
      <c r="B566" s="643" t="s">
        <v>744</v>
      </c>
      <c r="C566" s="643"/>
      <c r="D566" s="643"/>
      <c r="E566" s="643"/>
      <c r="F566" s="643"/>
      <c r="G566" s="103">
        <f>K566</f>
        <v>0</v>
      </c>
      <c r="H566" s="103"/>
      <c r="I566" s="103"/>
      <c r="J566" s="103"/>
      <c r="K566" s="103"/>
      <c r="L566" s="103"/>
      <c r="M566" s="103"/>
      <c r="N566" s="703"/>
      <c r="O566" s="1037" t="s">
        <v>828</v>
      </c>
      <c r="AJ566" s="113"/>
      <c r="AK566" s="113"/>
      <c r="AL566" s="113"/>
      <c r="AM566" s="113"/>
      <c r="AN566" s="113"/>
      <c r="AO566" s="113"/>
      <c r="AP566" s="113"/>
      <c r="AQ566" s="113"/>
      <c r="AR566" s="113"/>
      <c r="AS566" s="113"/>
      <c r="AT566" s="113"/>
      <c r="AU566" s="113"/>
      <c r="AV566" s="113"/>
      <c r="AW566" s="113"/>
      <c r="AX566" s="113"/>
      <c r="AY566" s="113"/>
      <c r="AZ566" s="113"/>
      <c r="BA566" s="113"/>
      <c r="BB566" s="113"/>
      <c r="BC566" s="113"/>
      <c r="BD566" s="113"/>
      <c r="BE566" s="113"/>
      <c r="BF566" s="113"/>
      <c r="BG566" s="113"/>
      <c r="BH566" s="113"/>
      <c r="BI566" s="113"/>
    </row>
    <row r="567" spans="1:61" s="45" customFormat="1" ht="24.6" hidden="1" customHeight="1">
      <c r="A567" s="1036"/>
      <c r="B567" s="643" t="s">
        <v>446</v>
      </c>
      <c r="C567" s="643"/>
      <c r="D567" s="643"/>
      <c r="E567" s="643"/>
      <c r="F567" s="643"/>
      <c r="G567" s="103">
        <f>K567</f>
        <v>0</v>
      </c>
      <c r="H567" s="103"/>
      <c r="I567" s="103"/>
      <c r="J567" s="103"/>
      <c r="K567" s="103">
        <f>K568+K569</f>
        <v>0</v>
      </c>
      <c r="L567" s="103"/>
      <c r="M567" s="103"/>
      <c r="N567" s="703"/>
      <c r="O567" s="1037"/>
      <c r="AJ567" s="113"/>
      <c r="AK567" s="113"/>
      <c r="AL567" s="113"/>
      <c r="AM567" s="113"/>
      <c r="AN567" s="113"/>
      <c r="AO567" s="113"/>
      <c r="AP567" s="113"/>
      <c r="AQ567" s="113"/>
      <c r="AR567" s="113"/>
      <c r="AS567" s="113"/>
      <c r="AT567" s="113"/>
      <c r="AU567" s="113"/>
      <c r="AV567" s="113"/>
      <c r="AW567" s="113"/>
      <c r="AX567" s="113"/>
      <c r="AY567" s="113"/>
      <c r="AZ567" s="113"/>
      <c r="BA567" s="113"/>
      <c r="BB567" s="113"/>
      <c r="BC567" s="113"/>
      <c r="BD567" s="113"/>
      <c r="BE567" s="113"/>
      <c r="BF567" s="113"/>
      <c r="BG567" s="113"/>
      <c r="BH567" s="113"/>
      <c r="BI567" s="113"/>
    </row>
    <row r="568" spans="1:61" s="45" customFormat="1" ht="24.6" hidden="1" customHeight="1">
      <c r="A568" s="1036"/>
      <c r="B568" s="643" t="s">
        <v>249</v>
      </c>
      <c r="C568" s="643"/>
      <c r="D568" s="643"/>
      <c r="E568" s="643"/>
      <c r="F568" s="643"/>
      <c r="G568" s="103">
        <f t="shared" ref="G568:G569" si="215">K568</f>
        <v>0</v>
      </c>
      <c r="H568" s="103"/>
      <c r="I568" s="103"/>
      <c r="J568" s="103"/>
      <c r="K568" s="103"/>
      <c r="L568" s="103"/>
      <c r="M568" s="103"/>
      <c r="N568" s="703"/>
      <c r="O568" s="1037"/>
      <c r="AJ568" s="113"/>
      <c r="AK568" s="113"/>
      <c r="AL568" s="113"/>
      <c r="AM568" s="113"/>
      <c r="AN568" s="113"/>
      <c r="AO568" s="113"/>
      <c r="AP568" s="113"/>
      <c r="AQ568" s="113"/>
      <c r="AR568" s="113"/>
      <c r="AS568" s="113"/>
      <c r="AT568" s="113"/>
      <c r="AU568" s="113"/>
      <c r="AV568" s="113"/>
      <c r="AW568" s="113"/>
      <c r="AX568" s="113"/>
      <c r="AY568" s="113"/>
      <c r="AZ568" s="113"/>
      <c r="BA568" s="113"/>
      <c r="BB568" s="113"/>
      <c r="BC568" s="113"/>
      <c r="BD568" s="113"/>
      <c r="BE568" s="113"/>
      <c r="BF568" s="113"/>
      <c r="BG568" s="113"/>
      <c r="BH568" s="113"/>
      <c r="BI568" s="113"/>
    </row>
    <row r="569" spans="1:61" s="45" customFormat="1" ht="24.6" hidden="1" customHeight="1">
      <c r="A569" s="1029"/>
      <c r="B569" s="643" t="s">
        <v>502</v>
      </c>
      <c r="C569" s="643"/>
      <c r="D569" s="643"/>
      <c r="E569" s="643"/>
      <c r="F569" s="643"/>
      <c r="G569" s="103">
        <f t="shared" si="215"/>
        <v>0</v>
      </c>
      <c r="H569" s="103"/>
      <c r="I569" s="103"/>
      <c r="J569" s="103"/>
      <c r="K569" s="103"/>
      <c r="L569" s="103"/>
      <c r="M569" s="103"/>
      <c r="N569" s="703"/>
      <c r="O569" s="1037"/>
      <c r="AJ569" s="113"/>
      <c r="AK569" s="113"/>
      <c r="AL569" s="113"/>
      <c r="AM569" s="113"/>
      <c r="AN569" s="113"/>
      <c r="AO569" s="113"/>
      <c r="AP569" s="113"/>
      <c r="AQ569" s="113"/>
      <c r="AR569" s="113"/>
      <c r="AS569" s="113"/>
      <c r="AT569" s="113"/>
      <c r="AU569" s="113"/>
      <c r="AV569" s="113"/>
      <c r="AW569" s="113"/>
      <c r="AX569" s="113"/>
      <c r="AY569" s="113"/>
      <c r="AZ569" s="113"/>
      <c r="BA569" s="113"/>
      <c r="BB569" s="113"/>
      <c r="BC569" s="113"/>
      <c r="BD569" s="113"/>
      <c r="BE569" s="113"/>
      <c r="BF569" s="113"/>
      <c r="BG569" s="113"/>
      <c r="BH569" s="113"/>
      <c r="BI569" s="113"/>
    </row>
    <row r="570" spans="1:61" s="45" customFormat="1" ht="24.95" hidden="1" customHeight="1">
      <c r="A570" s="1039" t="s">
        <v>111</v>
      </c>
      <c r="B570" s="643" t="s">
        <v>89</v>
      </c>
      <c r="C570" s="643">
        <v>176</v>
      </c>
      <c r="D570" s="643" t="s">
        <v>15</v>
      </c>
      <c r="E570" s="643">
        <v>6100404</v>
      </c>
      <c r="F570" s="643">
        <v>243</v>
      </c>
      <c r="G570" s="103">
        <v>0</v>
      </c>
      <c r="H570" s="103"/>
      <c r="I570" s="103"/>
      <c r="J570" s="103"/>
      <c r="K570" s="103"/>
      <c r="L570" s="103"/>
      <c r="M570" s="103"/>
      <c r="N570" s="703"/>
      <c r="O570" s="1037" t="s">
        <v>315</v>
      </c>
      <c r="AJ570" s="113"/>
      <c r="AK570" s="113"/>
      <c r="AL570" s="113"/>
      <c r="AM570" s="113"/>
      <c r="AN570" s="113"/>
      <c r="AO570" s="113"/>
      <c r="AP570" s="113"/>
      <c r="AQ570" s="113"/>
      <c r="AR570" s="113"/>
      <c r="AS570" s="113"/>
      <c r="AT570" s="113"/>
      <c r="AU570" s="113"/>
      <c r="AV570" s="113"/>
      <c r="AW570" s="113"/>
      <c r="AX570" s="113"/>
      <c r="AY570" s="113"/>
      <c r="AZ570" s="113"/>
      <c r="BA570" s="113"/>
      <c r="BB570" s="113"/>
      <c r="BC570" s="113"/>
      <c r="BD570" s="113"/>
      <c r="BE570" s="113"/>
      <c r="BF570" s="113"/>
      <c r="BG570" s="113"/>
      <c r="BH570" s="113"/>
      <c r="BI570" s="113"/>
    </row>
    <row r="571" spans="1:61" ht="24.95" hidden="1" customHeight="1">
      <c r="A571" s="1039"/>
      <c r="B571" s="643" t="s">
        <v>248</v>
      </c>
      <c r="C571" s="643"/>
      <c r="D571" s="643"/>
      <c r="E571" s="643"/>
      <c r="F571" s="643"/>
      <c r="G571" s="103">
        <f>J571</f>
        <v>0</v>
      </c>
      <c r="H571" s="103"/>
      <c r="I571" s="103"/>
      <c r="J571" s="103"/>
      <c r="K571" s="103"/>
      <c r="L571" s="103"/>
      <c r="M571" s="103"/>
      <c r="N571" s="703"/>
      <c r="O571" s="1037"/>
    </row>
    <row r="572" spans="1:61" ht="24.95" hidden="1" customHeight="1">
      <c r="A572" s="1038" t="s">
        <v>101</v>
      </c>
      <c r="B572" s="62" t="s">
        <v>89</v>
      </c>
      <c r="C572" s="62"/>
      <c r="D572" s="62"/>
      <c r="E572" s="62"/>
      <c r="F572" s="62"/>
      <c r="G572" s="102">
        <f>G574</f>
        <v>0</v>
      </c>
      <c r="H572" s="102">
        <f t="shared" ref="H572:J572" si="216">H574</f>
        <v>0</v>
      </c>
      <c r="I572" s="102">
        <f t="shared" si="216"/>
        <v>0</v>
      </c>
      <c r="J572" s="102">
        <f t="shared" si="216"/>
        <v>0</v>
      </c>
      <c r="K572" s="102"/>
      <c r="L572" s="102">
        <f t="shared" ref="K572:M573" si="217">L576</f>
        <v>0</v>
      </c>
      <c r="M572" s="102">
        <f t="shared" si="217"/>
        <v>0</v>
      </c>
      <c r="N572" s="703"/>
      <c r="O572" s="709"/>
    </row>
    <row r="573" spans="1:61" ht="24.95" hidden="1" customHeight="1">
      <c r="A573" s="1038"/>
      <c r="B573" s="62" t="s">
        <v>248</v>
      </c>
      <c r="C573" s="62"/>
      <c r="D573" s="62"/>
      <c r="E573" s="62"/>
      <c r="F573" s="62"/>
      <c r="G573" s="102"/>
      <c r="H573" s="102">
        <f t="shared" ref="H573:I573" si="218">H575+H577</f>
        <v>0</v>
      </c>
      <c r="I573" s="102">
        <f t="shared" si="218"/>
        <v>0</v>
      </c>
      <c r="J573" s="102"/>
      <c r="K573" s="102">
        <f t="shared" si="217"/>
        <v>0</v>
      </c>
      <c r="L573" s="102">
        <f t="shared" si="217"/>
        <v>0</v>
      </c>
      <c r="M573" s="102">
        <f t="shared" si="217"/>
        <v>0</v>
      </c>
      <c r="N573" s="703"/>
      <c r="O573" s="709"/>
    </row>
    <row r="574" spans="1:61" ht="24.95" hidden="1" customHeight="1">
      <c r="A574" s="1028" t="s">
        <v>485</v>
      </c>
      <c r="B574" s="643" t="s">
        <v>89</v>
      </c>
      <c r="C574" s="62"/>
      <c r="D574" s="62"/>
      <c r="E574" s="62"/>
      <c r="F574" s="62"/>
      <c r="G574" s="103">
        <f>J574</f>
        <v>0</v>
      </c>
      <c r="H574" s="103"/>
      <c r="I574" s="103"/>
      <c r="J574" s="103"/>
      <c r="K574" s="102"/>
      <c r="L574" s="102"/>
      <c r="M574" s="102"/>
      <c r="N574" s="703"/>
      <c r="O574" s="1037" t="s">
        <v>517</v>
      </c>
    </row>
    <row r="575" spans="1:61" ht="24.95" hidden="1" customHeight="1">
      <c r="A575" s="987"/>
      <c r="B575" s="643" t="s">
        <v>248</v>
      </c>
      <c r="C575" s="62"/>
      <c r="D575" s="62"/>
      <c r="E575" s="62"/>
      <c r="F575" s="62"/>
      <c r="G575" s="103">
        <f>J575</f>
        <v>0</v>
      </c>
      <c r="H575" s="103"/>
      <c r="I575" s="103"/>
      <c r="J575" s="103"/>
      <c r="K575" s="102"/>
      <c r="L575" s="102"/>
      <c r="M575" s="102"/>
      <c r="N575" s="703"/>
      <c r="O575" s="1037"/>
    </row>
    <row r="576" spans="1:61" ht="24.95" hidden="1" customHeight="1">
      <c r="A576" s="1028" t="s">
        <v>109</v>
      </c>
      <c r="B576" s="643" t="s">
        <v>89</v>
      </c>
      <c r="C576" s="643">
        <v>176</v>
      </c>
      <c r="D576" s="643" t="s">
        <v>15</v>
      </c>
      <c r="E576" s="643">
        <v>6100404</v>
      </c>
      <c r="F576" s="643">
        <v>243</v>
      </c>
      <c r="G576" s="103"/>
      <c r="H576" s="103"/>
      <c r="I576" s="103"/>
      <c r="J576" s="103"/>
      <c r="K576" s="103"/>
      <c r="L576" s="103"/>
      <c r="M576" s="103"/>
      <c r="N576" s="703"/>
      <c r="O576" s="1037" t="s">
        <v>315</v>
      </c>
    </row>
    <row r="577" spans="1:61" ht="24.95" hidden="1" customHeight="1">
      <c r="A577" s="1029"/>
      <c r="B577" s="643" t="s">
        <v>248</v>
      </c>
      <c r="C577" s="643"/>
      <c r="D577" s="643"/>
      <c r="E577" s="643"/>
      <c r="F577" s="643"/>
      <c r="G577" s="103">
        <f>J577</f>
        <v>0</v>
      </c>
      <c r="H577" s="103"/>
      <c r="I577" s="103"/>
      <c r="J577" s="103"/>
      <c r="K577" s="103"/>
      <c r="L577" s="103"/>
      <c r="M577" s="103"/>
      <c r="N577" s="703"/>
      <c r="O577" s="1037"/>
    </row>
    <row r="578" spans="1:61" ht="24.95" hidden="1" customHeight="1">
      <c r="A578" s="1038" t="s">
        <v>155</v>
      </c>
      <c r="B578" s="62" t="s">
        <v>744</v>
      </c>
      <c r="C578" s="643"/>
      <c r="D578" s="643"/>
      <c r="E578" s="643"/>
      <c r="F578" s="643"/>
      <c r="G578" s="102">
        <f>G580+G582</f>
        <v>0</v>
      </c>
      <c r="H578" s="102">
        <f t="shared" ref="H578:I578" si="219">H580+H582</f>
        <v>0</v>
      </c>
      <c r="I578" s="102">
        <f t="shared" si="219"/>
        <v>0</v>
      </c>
      <c r="J578" s="102"/>
      <c r="K578" s="102"/>
      <c r="L578" s="102">
        <f t="shared" ref="L578:M578" si="220">L580+L582</f>
        <v>0</v>
      </c>
      <c r="M578" s="102">
        <f t="shared" si="220"/>
        <v>0</v>
      </c>
      <c r="N578" s="703"/>
      <c r="O578" s="703"/>
    </row>
    <row r="579" spans="1:61" s="45" customFormat="1" ht="24.95" hidden="1" customHeight="1">
      <c r="A579" s="1038"/>
      <c r="B579" s="62" t="s">
        <v>248</v>
      </c>
      <c r="C579" s="643"/>
      <c r="D579" s="643"/>
      <c r="E579" s="643"/>
      <c r="F579" s="643"/>
      <c r="G579" s="102">
        <f>G581+G583</f>
        <v>0</v>
      </c>
      <c r="H579" s="102">
        <f t="shared" ref="H579:K579" si="221">H581+H583</f>
        <v>0</v>
      </c>
      <c r="I579" s="102">
        <f t="shared" si="221"/>
        <v>0</v>
      </c>
      <c r="J579" s="102">
        <f t="shared" si="221"/>
        <v>0</v>
      </c>
      <c r="K579" s="102">
        <f t="shared" si="221"/>
        <v>0</v>
      </c>
      <c r="L579" s="102">
        <f t="shared" ref="L579:M579" si="222">L581+L583</f>
        <v>0</v>
      </c>
      <c r="M579" s="102">
        <f t="shared" si="222"/>
        <v>0</v>
      </c>
      <c r="N579" s="703"/>
      <c r="O579" s="703"/>
      <c r="AJ579" s="113"/>
      <c r="AK579" s="113"/>
      <c r="AL579" s="113"/>
      <c r="AM579" s="113"/>
      <c r="AN579" s="113"/>
      <c r="AO579" s="113"/>
      <c r="AP579" s="113"/>
      <c r="AQ579" s="113"/>
      <c r="AR579" s="113"/>
      <c r="AS579" s="113"/>
      <c r="AT579" s="113"/>
      <c r="AU579" s="113"/>
      <c r="AV579" s="113"/>
      <c r="AW579" s="113"/>
      <c r="AX579" s="113"/>
      <c r="AY579" s="113"/>
      <c r="AZ579" s="113"/>
      <c r="BA579" s="113"/>
      <c r="BB579" s="113"/>
      <c r="BC579" s="113"/>
      <c r="BD579" s="113"/>
      <c r="BE579" s="113"/>
      <c r="BF579" s="113"/>
      <c r="BG579" s="113"/>
      <c r="BH579" s="113"/>
      <c r="BI579" s="113"/>
    </row>
    <row r="580" spans="1:61" s="45" customFormat="1" ht="24.95" hidden="1" customHeight="1">
      <c r="A580" s="1028" t="s">
        <v>109</v>
      </c>
      <c r="B580" s="643" t="s">
        <v>744</v>
      </c>
      <c r="C580" s="643"/>
      <c r="D580" s="643"/>
      <c r="E580" s="643"/>
      <c r="F580" s="643"/>
      <c r="G580" s="103"/>
      <c r="H580" s="103"/>
      <c r="I580" s="103"/>
      <c r="J580" s="103"/>
      <c r="K580" s="103"/>
      <c r="L580" s="102"/>
      <c r="M580" s="103">
        <v>0</v>
      </c>
      <c r="N580" s="703"/>
      <c r="O580" s="1037" t="s">
        <v>754</v>
      </c>
      <c r="AJ580" s="113"/>
      <c r="AK580" s="113"/>
      <c r="AL580" s="113"/>
      <c r="AM580" s="113"/>
      <c r="AN580" s="113"/>
      <c r="AO580" s="113"/>
      <c r="AP580" s="113"/>
      <c r="AQ580" s="113"/>
      <c r="AR580" s="113"/>
      <c r="AS580" s="113"/>
      <c r="AT580" s="113"/>
      <c r="AU580" s="113"/>
      <c r="AV580" s="113"/>
      <c r="AW580" s="113"/>
      <c r="AX580" s="113"/>
      <c r="AY580" s="113"/>
      <c r="AZ580" s="113"/>
      <c r="BA580" s="113"/>
      <c r="BB580" s="113"/>
      <c r="BC580" s="113"/>
      <c r="BD580" s="113"/>
      <c r="BE580" s="113"/>
      <c r="BF580" s="113"/>
      <c r="BG580" s="113"/>
      <c r="BH580" s="113"/>
      <c r="BI580" s="113"/>
    </row>
    <row r="581" spans="1:61" s="45" customFormat="1" ht="24.95" hidden="1" customHeight="1">
      <c r="A581" s="1029"/>
      <c r="B581" s="643" t="s">
        <v>248</v>
      </c>
      <c r="C581" s="643"/>
      <c r="D581" s="643"/>
      <c r="E581" s="643"/>
      <c r="F581" s="643"/>
      <c r="G581" s="103"/>
      <c r="H581" s="103"/>
      <c r="I581" s="103"/>
      <c r="J581" s="103"/>
      <c r="K581" s="103"/>
      <c r="L581" s="103"/>
      <c r="M581" s="103"/>
      <c r="N581" s="703"/>
      <c r="O581" s="1037"/>
      <c r="AJ581" s="113"/>
      <c r="AK581" s="113"/>
      <c r="AL581" s="113"/>
      <c r="AM581" s="113"/>
      <c r="AN581" s="113"/>
      <c r="AO581" s="113"/>
      <c r="AP581" s="113"/>
      <c r="AQ581" s="113"/>
      <c r="AR581" s="113"/>
      <c r="AS581" s="113"/>
      <c r="AT581" s="113"/>
      <c r="AU581" s="113"/>
      <c r="AV581" s="113"/>
      <c r="AW581" s="113"/>
      <c r="AX581" s="113"/>
      <c r="AY581" s="113"/>
      <c r="AZ581" s="113"/>
      <c r="BA581" s="113"/>
      <c r="BB581" s="113"/>
      <c r="BC581" s="113"/>
      <c r="BD581" s="113"/>
      <c r="BE581" s="113"/>
      <c r="BF581" s="113"/>
      <c r="BG581" s="113"/>
      <c r="BH581" s="113"/>
      <c r="BI581" s="113"/>
    </row>
    <row r="582" spans="1:61" s="45" customFormat="1" ht="24.95" hidden="1" customHeight="1">
      <c r="A582" s="1039" t="s">
        <v>254</v>
      </c>
      <c r="B582" s="643" t="s">
        <v>89</v>
      </c>
      <c r="C582" s="643"/>
      <c r="D582" s="643"/>
      <c r="E582" s="643"/>
      <c r="F582" s="643"/>
      <c r="G582" s="103"/>
      <c r="H582" s="103"/>
      <c r="I582" s="103"/>
      <c r="J582" s="103"/>
      <c r="K582" s="103"/>
      <c r="L582" s="103"/>
      <c r="M582" s="103"/>
      <c r="N582" s="703"/>
      <c r="O582" s="1037" t="s">
        <v>455</v>
      </c>
      <c r="AJ582" s="113"/>
      <c r="AK582" s="113"/>
      <c r="AL582" s="113"/>
      <c r="AM582" s="113"/>
      <c r="AN582" s="113"/>
      <c r="AO582" s="113"/>
      <c r="AP582" s="113"/>
      <c r="AQ582" s="113"/>
      <c r="AR582" s="113"/>
      <c r="AS582" s="113"/>
      <c r="AT582" s="113"/>
      <c r="AU582" s="113"/>
      <c r="AV582" s="113"/>
      <c r="AW582" s="113"/>
      <c r="AX582" s="113"/>
      <c r="AY582" s="113"/>
      <c r="AZ582" s="113"/>
      <c r="BA582" s="113"/>
      <c r="BB582" s="113"/>
      <c r="BC582" s="113"/>
      <c r="BD582" s="113"/>
      <c r="BE582" s="113"/>
      <c r="BF582" s="113"/>
      <c r="BG582" s="113"/>
      <c r="BH582" s="113"/>
      <c r="BI582" s="113"/>
    </row>
    <row r="583" spans="1:61" ht="24.95" hidden="1" customHeight="1">
      <c r="A583" s="1039"/>
      <c r="B583" s="643" t="s">
        <v>248</v>
      </c>
      <c r="C583" s="643"/>
      <c r="D583" s="643"/>
      <c r="E583" s="643"/>
      <c r="F583" s="643"/>
      <c r="G583" s="103">
        <f>H583+I583+J583+K583</f>
        <v>0</v>
      </c>
      <c r="H583" s="103"/>
      <c r="I583" s="103"/>
      <c r="J583" s="103"/>
      <c r="K583" s="103"/>
      <c r="L583" s="103"/>
      <c r="M583" s="103"/>
      <c r="N583" s="703"/>
      <c r="O583" s="1037"/>
    </row>
    <row r="584" spans="1:61" ht="24.95" hidden="1" customHeight="1">
      <c r="A584" s="1038" t="s">
        <v>125</v>
      </c>
      <c r="B584" s="62" t="s">
        <v>89</v>
      </c>
      <c r="C584" s="62"/>
      <c r="D584" s="62"/>
      <c r="E584" s="62"/>
      <c r="F584" s="62"/>
      <c r="G584" s="102">
        <f t="shared" ref="G584:L585" si="223">G588</f>
        <v>0</v>
      </c>
      <c r="H584" s="102"/>
      <c r="I584" s="102"/>
      <c r="J584" s="102"/>
      <c r="K584" s="102"/>
      <c r="L584" s="102">
        <f t="shared" si="223"/>
        <v>0</v>
      </c>
      <c r="M584" s="102">
        <f>M586</f>
        <v>0</v>
      </c>
      <c r="N584" s="703"/>
      <c r="O584" s="709"/>
    </row>
    <row r="585" spans="1:61" s="45" customFormat="1" ht="24.95" hidden="1" customHeight="1">
      <c r="A585" s="1038"/>
      <c r="B585" s="62" t="s">
        <v>248</v>
      </c>
      <c r="C585" s="62"/>
      <c r="D585" s="62"/>
      <c r="E585" s="62"/>
      <c r="F585" s="62"/>
      <c r="G585" s="102">
        <f t="shared" si="223"/>
        <v>0</v>
      </c>
      <c r="H585" s="102">
        <f t="shared" si="223"/>
        <v>0</v>
      </c>
      <c r="I585" s="102">
        <f t="shared" si="223"/>
        <v>0</v>
      </c>
      <c r="J585" s="102">
        <f t="shared" si="223"/>
        <v>0</v>
      </c>
      <c r="K585" s="102">
        <f t="shared" si="223"/>
        <v>0</v>
      </c>
      <c r="L585" s="102">
        <f t="shared" si="223"/>
        <v>0</v>
      </c>
      <c r="M585" s="102">
        <f>M587</f>
        <v>0</v>
      </c>
      <c r="N585" s="703"/>
      <c r="O585" s="709"/>
      <c r="AJ585" s="113"/>
      <c r="AK585" s="113"/>
      <c r="AL585" s="113"/>
      <c r="AM585" s="113"/>
      <c r="AN585" s="113"/>
      <c r="AO585" s="113"/>
      <c r="AP585" s="113"/>
      <c r="AQ585" s="113"/>
      <c r="AR585" s="113"/>
      <c r="AS585" s="113"/>
      <c r="AT585" s="113"/>
      <c r="AU585" s="113"/>
      <c r="AV585" s="113"/>
      <c r="AW585" s="113"/>
      <c r="AX585" s="113"/>
      <c r="AY585" s="113"/>
      <c r="AZ585" s="113"/>
      <c r="BA585" s="113"/>
      <c r="BB585" s="113"/>
      <c r="BC585" s="113"/>
      <c r="BD585" s="113"/>
      <c r="BE585" s="113"/>
      <c r="BF585" s="113"/>
      <c r="BG585" s="113"/>
      <c r="BH585" s="113"/>
      <c r="BI585" s="113"/>
    </row>
    <row r="586" spans="1:61" s="45" customFormat="1" ht="24.6" hidden="1" customHeight="1">
      <c r="A586" s="1028" t="s">
        <v>342</v>
      </c>
      <c r="B586" s="643" t="s">
        <v>89</v>
      </c>
      <c r="C586" s="62"/>
      <c r="D586" s="62"/>
      <c r="E586" s="62"/>
      <c r="F586" s="62"/>
      <c r="G586" s="102"/>
      <c r="H586" s="102"/>
      <c r="I586" s="102"/>
      <c r="J586" s="102"/>
      <c r="K586" s="102"/>
      <c r="L586" s="102"/>
      <c r="M586" s="103"/>
      <c r="N586" s="703"/>
      <c r="O586" s="1037" t="s">
        <v>296</v>
      </c>
      <c r="AJ586" s="113"/>
      <c r="AK586" s="113"/>
      <c r="AL586" s="113"/>
      <c r="AM586" s="113"/>
      <c r="AN586" s="113"/>
      <c r="AO586" s="113"/>
      <c r="AP586" s="113"/>
      <c r="AQ586" s="113"/>
      <c r="AR586" s="113"/>
      <c r="AS586" s="113"/>
      <c r="AT586" s="113"/>
      <c r="AU586" s="113"/>
      <c r="AV586" s="113"/>
      <c r="AW586" s="113"/>
      <c r="AX586" s="113"/>
      <c r="AY586" s="113"/>
      <c r="AZ586" s="113"/>
      <c r="BA586" s="113"/>
      <c r="BB586" s="113"/>
      <c r="BC586" s="113"/>
      <c r="BD586" s="113"/>
      <c r="BE586" s="113"/>
      <c r="BF586" s="113"/>
      <c r="BG586" s="113"/>
      <c r="BH586" s="113"/>
      <c r="BI586" s="113"/>
    </row>
    <row r="587" spans="1:61" s="45" customFormat="1" ht="24.6" hidden="1" customHeight="1">
      <c r="A587" s="1029"/>
      <c r="B587" s="643" t="s">
        <v>248</v>
      </c>
      <c r="C587" s="62"/>
      <c r="D587" s="62"/>
      <c r="E587" s="62"/>
      <c r="F587" s="62"/>
      <c r="G587" s="102"/>
      <c r="H587" s="102"/>
      <c r="I587" s="102"/>
      <c r="J587" s="102"/>
      <c r="K587" s="102"/>
      <c r="L587" s="102"/>
      <c r="M587" s="103"/>
      <c r="N587" s="703"/>
      <c r="O587" s="1037"/>
      <c r="AJ587" s="113"/>
      <c r="AK587" s="113"/>
      <c r="AL587" s="113"/>
      <c r="AM587" s="113"/>
      <c r="AN587" s="113"/>
      <c r="AO587" s="113"/>
      <c r="AP587" s="113"/>
      <c r="AQ587" s="113"/>
      <c r="AR587" s="113"/>
      <c r="AS587" s="113"/>
      <c r="AT587" s="113"/>
      <c r="AU587" s="113"/>
      <c r="AV587" s="113"/>
      <c r="AW587" s="113"/>
      <c r="AX587" s="113"/>
      <c r="AY587" s="113"/>
      <c r="AZ587" s="113"/>
      <c r="BA587" s="113"/>
      <c r="BB587" s="113"/>
      <c r="BC587" s="113"/>
      <c r="BD587" s="113"/>
      <c r="BE587" s="113"/>
      <c r="BF587" s="113"/>
      <c r="BG587" s="113"/>
      <c r="BH587" s="113"/>
      <c r="BI587" s="113"/>
    </row>
    <row r="588" spans="1:61" s="45" customFormat="1" ht="23.45" hidden="1" customHeight="1">
      <c r="A588" s="1039" t="s">
        <v>109</v>
      </c>
      <c r="B588" s="643" t="s">
        <v>89</v>
      </c>
      <c r="C588" s="643">
        <v>176</v>
      </c>
      <c r="D588" s="643" t="s">
        <v>15</v>
      </c>
      <c r="E588" s="643">
        <v>6100404</v>
      </c>
      <c r="F588" s="643">
        <v>243</v>
      </c>
      <c r="G588" s="103"/>
      <c r="H588" s="103"/>
      <c r="I588" s="103"/>
      <c r="J588" s="103"/>
      <c r="K588" s="103"/>
      <c r="L588" s="103"/>
      <c r="M588" s="103"/>
      <c r="N588" s="703"/>
      <c r="O588" s="1037" t="s">
        <v>294</v>
      </c>
      <c r="AJ588" s="113"/>
      <c r="AK588" s="113"/>
      <c r="AL588" s="113"/>
      <c r="AM588" s="113"/>
      <c r="AN588" s="113"/>
      <c r="AO588" s="113"/>
      <c r="AP588" s="113"/>
      <c r="AQ588" s="113"/>
      <c r="AR588" s="113"/>
      <c r="AS588" s="113"/>
      <c r="AT588" s="113"/>
      <c r="AU588" s="113"/>
      <c r="AV588" s="113"/>
      <c r="AW588" s="113"/>
      <c r="AX588" s="113"/>
      <c r="AY588" s="113"/>
      <c r="AZ588" s="113"/>
      <c r="BA588" s="113"/>
      <c r="BB588" s="113"/>
      <c r="BC588" s="113"/>
      <c r="BD588" s="113"/>
      <c r="BE588" s="113"/>
      <c r="BF588" s="113"/>
      <c r="BG588" s="113"/>
      <c r="BH588" s="113"/>
      <c r="BI588" s="113"/>
    </row>
    <row r="589" spans="1:61" ht="24.6" hidden="1" customHeight="1">
      <c r="A589" s="1039"/>
      <c r="B589" s="643" t="s">
        <v>248</v>
      </c>
      <c r="C589" s="643"/>
      <c r="D589" s="643"/>
      <c r="E589" s="643"/>
      <c r="F589" s="643"/>
      <c r="G589" s="103">
        <f>J589+K589</f>
        <v>0</v>
      </c>
      <c r="H589" s="103"/>
      <c r="I589" s="103"/>
      <c r="J589" s="103"/>
      <c r="K589" s="103"/>
      <c r="L589" s="103">
        <v>0</v>
      </c>
      <c r="M589" s="103"/>
      <c r="N589" s="703"/>
      <c r="O589" s="1037"/>
    </row>
    <row r="590" spans="1:61" ht="24.6" hidden="1" customHeight="1">
      <c r="A590" s="1038" t="s">
        <v>127</v>
      </c>
      <c r="B590" s="62" t="s">
        <v>744</v>
      </c>
      <c r="C590" s="62"/>
      <c r="D590" s="62"/>
      <c r="E590" s="62"/>
      <c r="F590" s="62"/>
      <c r="G590" s="102">
        <f t="shared" ref="G590:M591" si="224">G592+G598</f>
        <v>0</v>
      </c>
      <c r="H590" s="102"/>
      <c r="I590" s="102"/>
      <c r="J590" s="102"/>
      <c r="K590" s="102">
        <f>K598</f>
        <v>0</v>
      </c>
      <c r="L590" s="102">
        <f t="shared" si="224"/>
        <v>0</v>
      </c>
      <c r="M590" s="102">
        <f t="shared" si="224"/>
        <v>0</v>
      </c>
      <c r="N590" s="703"/>
      <c r="O590" s="709"/>
    </row>
    <row r="591" spans="1:61" ht="22.15" hidden="1" customHeight="1">
      <c r="A591" s="1038"/>
      <c r="B591" s="62" t="s">
        <v>248</v>
      </c>
      <c r="C591" s="62"/>
      <c r="D591" s="62"/>
      <c r="E591" s="62"/>
      <c r="F591" s="62"/>
      <c r="G591" s="102">
        <f t="shared" si="224"/>
        <v>0</v>
      </c>
      <c r="H591" s="102">
        <f t="shared" si="224"/>
        <v>0</v>
      </c>
      <c r="I591" s="102">
        <f t="shared" si="224"/>
        <v>0</v>
      </c>
      <c r="J591" s="102">
        <f t="shared" si="224"/>
        <v>0</v>
      </c>
      <c r="K591" s="102">
        <f t="shared" si="224"/>
        <v>0</v>
      </c>
      <c r="L591" s="102">
        <f t="shared" si="224"/>
        <v>0</v>
      </c>
      <c r="M591" s="102">
        <f t="shared" si="224"/>
        <v>0</v>
      </c>
      <c r="N591" s="703"/>
      <c r="O591" s="709"/>
    </row>
    <row r="592" spans="1:61" ht="27" hidden="1" customHeight="1">
      <c r="A592" s="1039" t="s">
        <v>126</v>
      </c>
      <c r="B592" s="643" t="s">
        <v>89</v>
      </c>
      <c r="C592" s="643">
        <v>176</v>
      </c>
      <c r="D592" s="643" t="s">
        <v>15</v>
      </c>
      <c r="E592" s="643">
        <v>6100404</v>
      </c>
      <c r="F592" s="643">
        <v>243</v>
      </c>
      <c r="G592" s="103">
        <v>0</v>
      </c>
      <c r="H592" s="103"/>
      <c r="I592" s="103"/>
      <c r="J592" s="103"/>
      <c r="K592" s="103"/>
      <c r="L592" s="103"/>
      <c r="M592" s="103"/>
      <c r="N592" s="703"/>
      <c r="O592" s="1037" t="s">
        <v>38</v>
      </c>
    </row>
    <row r="593" spans="1:61" ht="27.75" hidden="1" customHeight="1">
      <c r="A593" s="1039"/>
      <c r="B593" s="643" t="s">
        <v>248</v>
      </c>
      <c r="C593" s="643"/>
      <c r="D593" s="643"/>
      <c r="E593" s="643"/>
      <c r="F593" s="643"/>
      <c r="G593" s="103"/>
      <c r="H593" s="103"/>
      <c r="I593" s="103"/>
      <c r="J593" s="103"/>
      <c r="K593" s="103"/>
      <c r="L593" s="103"/>
      <c r="M593" s="103"/>
      <c r="N593" s="703"/>
      <c r="O593" s="1037"/>
      <c r="V593" s="44">
        <v>123.1</v>
      </c>
    </row>
    <row r="594" spans="1:61" ht="23.25" hidden="1" customHeight="1">
      <c r="A594" s="642" t="s">
        <v>180</v>
      </c>
      <c r="B594" s="643" t="s">
        <v>89</v>
      </c>
      <c r="C594" s="643">
        <v>176</v>
      </c>
      <c r="D594" s="643" t="s">
        <v>15</v>
      </c>
      <c r="E594" s="643">
        <v>6100404</v>
      </c>
      <c r="F594" s="643">
        <v>243</v>
      </c>
      <c r="G594" s="103">
        <v>0</v>
      </c>
      <c r="H594" s="103"/>
      <c r="I594" s="103"/>
      <c r="J594" s="103"/>
      <c r="K594" s="103"/>
      <c r="L594" s="103"/>
      <c r="M594" s="103"/>
      <c r="N594" s="703"/>
      <c r="O594" s="703"/>
    </row>
    <row r="595" spans="1:61" ht="23.25" hidden="1" customHeight="1">
      <c r="A595" s="642"/>
      <c r="B595" s="643" t="s">
        <v>248</v>
      </c>
      <c r="C595" s="643"/>
      <c r="D595" s="643"/>
      <c r="E595" s="643"/>
      <c r="F595" s="643"/>
      <c r="G595" s="103"/>
      <c r="H595" s="103"/>
      <c r="I595" s="103"/>
      <c r="J595" s="103"/>
      <c r="K595" s="103"/>
      <c r="L595" s="103"/>
      <c r="M595" s="103"/>
      <c r="N595" s="703"/>
      <c r="O595" s="703"/>
    </row>
    <row r="596" spans="1:61" ht="24" hidden="1" customHeight="1">
      <c r="A596" s="642" t="s">
        <v>181</v>
      </c>
      <c r="B596" s="643" t="s">
        <v>89</v>
      </c>
      <c r="C596" s="643">
        <v>176</v>
      </c>
      <c r="D596" s="643" t="s">
        <v>15</v>
      </c>
      <c r="E596" s="643">
        <v>6100404</v>
      </c>
      <c r="F596" s="643">
        <v>243</v>
      </c>
      <c r="G596" s="103"/>
      <c r="H596" s="103"/>
      <c r="I596" s="103"/>
      <c r="J596" s="103"/>
      <c r="K596" s="103"/>
      <c r="L596" s="103"/>
      <c r="M596" s="103"/>
      <c r="N596" s="703"/>
      <c r="O596" s="703" t="s">
        <v>93</v>
      </c>
    </row>
    <row r="597" spans="1:61" s="45" customFormat="1" ht="24.95" hidden="1" customHeight="1">
      <c r="A597" s="642"/>
      <c r="B597" s="643" t="s">
        <v>248</v>
      </c>
      <c r="C597" s="643"/>
      <c r="D597" s="643"/>
      <c r="E597" s="643"/>
      <c r="F597" s="643"/>
      <c r="G597" s="103"/>
      <c r="H597" s="103"/>
      <c r="I597" s="103"/>
      <c r="J597" s="103"/>
      <c r="K597" s="103"/>
      <c r="L597" s="103"/>
      <c r="M597" s="103"/>
      <c r="N597" s="703"/>
      <c r="O597" s="703"/>
      <c r="AJ597" s="113"/>
      <c r="AK597" s="113"/>
      <c r="AL597" s="113"/>
      <c r="AM597" s="113"/>
      <c r="AN597" s="113"/>
      <c r="AO597" s="113"/>
      <c r="AP597" s="113"/>
      <c r="AQ597" s="113"/>
      <c r="AR597" s="113"/>
      <c r="AS597" s="113"/>
      <c r="AT597" s="113"/>
      <c r="AU597" s="113"/>
      <c r="AV597" s="113"/>
      <c r="AW597" s="113"/>
      <c r="AX597" s="113"/>
      <c r="AY597" s="113"/>
      <c r="AZ597" s="113"/>
      <c r="BA597" s="113"/>
      <c r="BB597" s="113"/>
      <c r="BC597" s="113"/>
      <c r="BD597" s="113"/>
      <c r="BE597" s="113"/>
      <c r="BF597" s="113"/>
      <c r="BG597" s="113"/>
      <c r="BH597" s="113"/>
      <c r="BI597" s="113"/>
    </row>
    <row r="598" spans="1:61" s="45" customFormat="1" ht="23.45" hidden="1" customHeight="1">
      <c r="A598" s="1039" t="s">
        <v>109</v>
      </c>
      <c r="B598" s="643" t="s">
        <v>744</v>
      </c>
      <c r="C598" s="643">
        <v>176</v>
      </c>
      <c r="D598" s="643" t="s">
        <v>15</v>
      </c>
      <c r="E598" s="643">
        <v>6100404</v>
      </c>
      <c r="F598" s="643">
        <v>243</v>
      </c>
      <c r="G598" s="103">
        <f>K598</f>
        <v>0</v>
      </c>
      <c r="H598" s="103"/>
      <c r="I598" s="103"/>
      <c r="J598" s="103"/>
      <c r="K598" s="103"/>
      <c r="L598" s="103"/>
      <c r="M598" s="103"/>
      <c r="N598" s="703"/>
      <c r="O598" s="1037" t="s">
        <v>754</v>
      </c>
      <c r="AJ598" s="113"/>
      <c r="AK598" s="113"/>
      <c r="AL598" s="113"/>
      <c r="AM598" s="113"/>
      <c r="AN598" s="113"/>
      <c r="AO598" s="113"/>
      <c r="AP598" s="113"/>
      <c r="AQ598" s="113"/>
      <c r="AR598" s="113"/>
      <c r="AS598" s="113"/>
      <c r="AT598" s="113"/>
      <c r="AU598" s="113"/>
      <c r="AV598" s="113"/>
      <c r="AW598" s="113"/>
      <c r="AX598" s="113"/>
      <c r="AY598" s="113"/>
      <c r="AZ598" s="113"/>
      <c r="BA598" s="113"/>
      <c r="BB598" s="113"/>
      <c r="BC598" s="113"/>
      <c r="BD598" s="113"/>
      <c r="BE598" s="113"/>
      <c r="BF598" s="113"/>
      <c r="BG598" s="113"/>
      <c r="BH598" s="113"/>
      <c r="BI598" s="113"/>
    </row>
    <row r="599" spans="1:61" ht="24.6" hidden="1" customHeight="1">
      <c r="A599" s="1039"/>
      <c r="B599" s="643" t="s">
        <v>248</v>
      </c>
      <c r="C599" s="643"/>
      <c r="D599" s="643"/>
      <c r="E599" s="643"/>
      <c r="F599" s="643"/>
      <c r="G599" s="103">
        <f>K599</f>
        <v>0</v>
      </c>
      <c r="H599" s="103"/>
      <c r="I599" s="103"/>
      <c r="J599" s="103"/>
      <c r="K599" s="103"/>
      <c r="L599" s="103"/>
      <c r="M599" s="103"/>
      <c r="N599" s="703"/>
      <c r="O599" s="1037"/>
    </row>
    <row r="600" spans="1:61" ht="24.6" hidden="1" customHeight="1">
      <c r="A600" s="1038" t="s">
        <v>129</v>
      </c>
      <c r="B600" s="62" t="s">
        <v>89</v>
      </c>
      <c r="C600" s="62"/>
      <c r="D600" s="62"/>
      <c r="E600" s="62"/>
      <c r="F600" s="62"/>
      <c r="G600" s="102">
        <f t="shared" ref="G600:L601" si="225">G602+G604</f>
        <v>0</v>
      </c>
      <c r="H600" s="102">
        <f t="shared" si="225"/>
        <v>0</v>
      </c>
      <c r="I600" s="102">
        <f t="shared" si="225"/>
        <v>0</v>
      </c>
      <c r="J600" s="102">
        <f t="shared" si="225"/>
        <v>0</v>
      </c>
      <c r="K600" s="102">
        <f t="shared" si="225"/>
        <v>0</v>
      </c>
      <c r="L600" s="102">
        <f t="shared" si="225"/>
        <v>0</v>
      </c>
      <c r="M600" s="102"/>
      <c r="N600" s="703"/>
      <c r="O600" s="709"/>
    </row>
    <row r="601" spans="1:61" ht="24.6" hidden="1" customHeight="1">
      <c r="A601" s="1038"/>
      <c r="B601" s="62" t="s">
        <v>248</v>
      </c>
      <c r="C601" s="62"/>
      <c r="D601" s="62"/>
      <c r="E601" s="62"/>
      <c r="F601" s="62"/>
      <c r="G601" s="102">
        <f t="shared" si="225"/>
        <v>0</v>
      </c>
      <c r="H601" s="102">
        <f t="shared" si="225"/>
        <v>0</v>
      </c>
      <c r="I601" s="102">
        <f t="shared" si="225"/>
        <v>0</v>
      </c>
      <c r="J601" s="102">
        <f t="shared" si="225"/>
        <v>0</v>
      </c>
      <c r="K601" s="102">
        <f t="shared" si="225"/>
        <v>0</v>
      </c>
      <c r="L601" s="102">
        <f t="shared" si="225"/>
        <v>0</v>
      </c>
      <c r="M601" s="102"/>
      <c r="N601" s="703"/>
      <c r="O601" s="709"/>
    </row>
    <row r="602" spans="1:61" ht="22.15" hidden="1" customHeight="1">
      <c r="A602" s="1039" t="s">
        <v>128</v>
      </c>
      <c r="B602" s="643" t="s">
        <v>89</v>
      </c>
      <c r="C602" s="643">
        <v>176</v>
      </c>
      <c r="D602" s="643" t="s">
        <v>15</v>
      </c>
      <c r="E602" s="643">
        <v>6100404</v>
      </c>
      <c r="F602" s="643">
        <v>243</v>
      </c>
      <c r="G602" s="103"/>
      <c r="H602" s="103"/>
      <c r="I602" s="103"/>
      <c r="J602" s="103"/>
      <c r="K602" s="103"/>
      <c r="L602" s="103"/>
      <c r="M602" s="103"/>
      <c r="N602" s="703"/>
      <c r="O602" s="1037" t="s">
        <v>330</v>
      </c>
    </row>
    <row r="603" spans="1:61" s="45" customFormat="1" ht="23.45" hidden="1" customHeight="1">
      <c r="A603" s="1039"/>
      <c r="B603" s="643" t="s">
        <v>248</v>
      </c>
      <c r="C603" s="643"/>
      <c r="D603" s="643"/>
      <c r="E603" s="643"/>
      <c r="F603" s="643"/>
      <c r="G603" s="103">
        <f>K603</f>
        <v>0</v>
      </c>
      <c r="H603" s="103"/>
      <c r="I603" s="103"/>
      <c r="J603" s="103"/>
      <c r="K603" s="103"/>
      <c r="L603" s="103"/>
      <c r="M603" s="103"/>
      <c r="N603" s="703"/>
      <c r="O603" s="1037"/>
      <c r="AJ603" s="113"/>
      <c r="AK603" s="113"/>
      <c r="AL603" s="113"/>
      <c r="AM603" s="113"/>
      <c r="AN603" s="113"/>
      <c r="AO603" s="113"/>
      <c r="AP603" s="113"/>
      <c r="AQ603" s="113"/>
      <c r="AR603" s="113"/>
      <c r="AS603" s="113"/>
      <c r="AT603" s="113"/>
      <c r="AU603" s="113"/>
      <c r="AV603" s="113"/>
      <c r="AW603" s="113"/>
      <c r="AX603" s="113"/>
      <c r="AY603" s="113"/>
      <c r="AZ603" s="113"/>
      <c r="BA603" s="113"/>
      <c r="BB603" s="113"/>
      <c r="BC603" s="113"/>
      <c r="BD603" s="113"/>
      <c r="BE603" s="113"/>
      <c r="BF603" s="113"/>
      <c r="BG603" s="113"/>
      <c r="BH603" s="113"/>
      <c r="BI603" s="113"/>
    </row>
    <row r="604" spans="1:61" s="45" customFormat="1" ht="24" hidden="1" customHeight="1">
      <c r="A604" s="1039" t="s">
        <v>109</v>
      </c>
      <c r="B604" s="643" t="s">
        <v>89</v>
      </c>
      <c r="C604" s="643">
        <v>176</v>
      </c>
      <c r="D604" s="643" t="s">
        <v>15</v>
      </c>
      <c r="E604" s="643">
        <v>6100404</v>
      </c>
      <c r="F604" s="643">
        <v>243</v>
      </c>
      <c r="G604" s="103"/>
      <c r="H604" s="103"/>
      <c r="I604" s="103"/>
      <c r="J604" s="103"/>
      <c r="K604" s="103"/>
      <c r="L604" s="103"/>
      <c r="M604" s="103"/>
      <c r="N604" s="703"/>
      <c r="O604" s="1037" t="s">
        <v>294</v>
      </c>
      <c r="AJ604" s="113"/>
      <c r="AK604" s="113"/>
      <c r="AL604" s="113"/>
      <c r="AM604" s="113"/>
      <c r="AN604" s="113"/>
      <c r="AO604" s="113"/>
      <c r="AP604" s="113"/>
      <c r="AQ604" s="113"/>
      <c r="AR604" s="113"/>
      <c r="AS604" s="113"/>
      <c r="AT604" s="113"/>
      <c r="AU604" s="113"/>
      <c r="AV604" s="113"/>
      <c r="AW604" s="113"/>
      <c r="AX604" s="113"/>
      <c r="AY604" s="113"/>
      <c r="AZ604" s="113"/>
      <c r="BA604" s="113"/>
      <c r="BB604" s="113"/>
      <c r="BC604" s="113"/>
      <c r="BD604" s="113"/>
      <c r="BE604" s="113"/>
      <c r="BF604" s="113"/>
      <c r="BG604" s="113"/>
      <c r="BH604" s="113"/>
      <c r="BI604" s="113"/>
    </row>
    <row r="605" spans="1:61" ht="24.6" hidden="1" customHeight="1">
      <c r="A605" s="1039"/>
      <c r="B605" s="643" t="s">
        <v>248</v>
      </c>
      <c r="C605" s="643"/>
      <c r="D605" s="643"/>
      <c r="E605" s="643"/>
      <c r="F605" s="643"/>
      <c r="G605" s="103"/>
      <c r="H605" s="103"/>
      <c r="I605" s="103"/>
      <c r="J605" s="103"/>
      <c r="K605" s="103"/>
      <c r="L605" s="103"/>
      <c r="M605" s="103"/>
      <c r="N605" s="703"/>
      <c r="O605" s="1037"/>
    </row>
    <row r="606" spans="1:61" ht="24.6" customHeight="1">
      <c r="A606" s="1038" t="s">
        <v>102</v>
      </c>
      <c r="B606" s="62" t="s">
        <v>744</v>
      </c>
      <c r="C606" s="62"/>
      <c r="D606" s="62"/>
      <c r="E606" s="62"/>
      <c r="F606" s="62"/>
      <c r="G606" s="102">
        <f>K606</f>
        <v>1</v>
      </c>
      <c r="H606" s="102"/>
      <c r="I606" s="102"/>
      <c r="J606" s="102"/>
      <c r="K606" s="102">
        <f>K612+K616</f>
        <v>1</v>
      </c>
      <c r="L606" s="102"/>
      <c r="M606" s="102"/>
      <c r="N606" s="703"/>
      <c r="O606" s="709"/>
    </row>
    <row r="607" spans="1:61" ht="24.6" customHeight="1">
      <c r="A607" s="1038"/>
      <c r="B607" s="62" t="s">
        <v>446</v>
      </c>
      <c r="C607" s="62"/>
      <c r="D607" s="62"/>
      <c r="E607" s="62"/>
      <c r="F607" s="62"/>
      <c r="G607" s="102">
        <f>K607</f>
        <v>38344.5</v>
      </c>
      <c r="H607" s="102"/>
      <c r="I607" s="102"/>
      <c r="J607" s="102"/>
      <c r="K607" s="102">
        <f>K608+K609</f>
        <v>38344.5</v>
      </c>
      <c r="L607" s="102">
        <f>L608+L609</f>
        <v>0</v>
      </c>
      <c r="M607" s="102"/>
      <c r="N607" s="703"/>
      <c r="O607" s="709"/>
    </row>
    <row r="608" spans="1:61" ht="24.6" customHeight="1">
      <c r="A608" s="1038"/>
      <c r="B608" s="62" t="s">
        <v>249</v>
      </c>
      <c r="C608" s="62"/>
      <c r="D608" s="62"/>
      <c r="E608" s="62"/>
      <c r="F608" s="62"/>
      <c r="G608" s="102">
        <f t="shared" ref="G608:G617" si="226">K608</f>
        <v>38344.5</v>
      </c>
      <c r="H608" s="102"/>
      <c r="I608" s="102"/>
      <c r="J608" s="102"/>
      <c r="K608" s="102">
        <f>K614+K617</f>
        <v>38344.5</v>
      </c>
      <c r="L608" s="102">
        <f>L614+L617</f>
        <v>0</v>
      </c>
      <c r="M608" s="102"/>
      <c r="N608" s="703"/>
      <c r="O608" s="709"/>
    </row>
    <row r="609" spans="1:61" ht="23.45" customHeight="1">
      <c r="A609" s="1038"/>
      <c r="B609" s="62" t="s">
        <v>502</v>
      </c>
      <c r="C609" s="62"/>
      <c r="D609" s="62"/>
      <c r="E609" s="62"/>
      <c r="F609" s="62"/>
      <c r="G609" s="102">
        <f t="shared" si="226"/>
        <v>0</v>
      </c>
      <c r="H609" s="102">
        <f>H611+H617</f>
        <v>0</v>
      </c>
      <c r="I609" s="102">
        <f>I611+I617</f>
        <v>0</v>
      </c>
      <c r="J609" s="102">
        <f>J611+J617</f>
        <v>0</v>
      </c>
      <c r="K609" s="102">
        <f>K615</f>
        <v>0</v>
      </c>
      <c r="L609" s="102">
        <f>L615</f>
        <v>0</v>
      </c>
      <c r="M609" s="102"/>
      <c r="N609" s="703"/>
      <c r="O609" s="709"/>
    </row>
    <row r="610" spans="1:61" ht="24.6" hidden="1" customHeight="1">
      <c r="A610" s="1039" t="s">
        <v>130</v>
      </c>
      <c r="B610" s="643" t="s">
        <v>89</v>
      </c>
      <c r="C610" s="643">
        <v>176</v>
      </c>
      <c r="D610" s="643" t="s">
        <v>15</v>
      </c>
      <c r="E610" s="643">
        <v>6100404</v>
      </c>
      <c r="F610" s="643">
        <v>243</v>
      </c>
      <c r="G610" s="102">
        <f t="shared" si="226"/>
        <v>0</v>
      </c>
      <c r="H610" s="103"/>
      <c r="I610" s="103"/>
      <c r="J610" s="103"/>
      <c r="K610" s="103"/>
      <c r="L610" s="103"/>
      <c r="M610" s="103"/>
      <c r="N610" s="703"/>
      <c r="O610" s="1037" t="s">
        <v>213</v>
      </c>
    </row>
    <row r="611" spans="1:61" ht="24.6" hidden="1" customHeight="1">
      <c r="A611" s="1039"/>
      <c r="B611" s="643" t="s">
        <v>248</v>
      </c>
      <c r="C611" s="643"/>
      <c r="D611" s="643"/>
      <c r="E611" s="643"/>
      <c r="F611" s="643"/>
      <c r="G611" s="102">
        <f t="shared" si="226"/>
        <v>0</v>
      </c>
      <c r="H611" s="103"/>
      <c r="I611" s="103"/>
      <c r="J611" s="103"/>
      <c r="K611" s="103"/>
      <c r="L611" s="103"/>
      <c r="M611" s="103"/>
      <c r="N611" s="703"/>
      <c r="O611" s="1037"/>
    </row>
    <row r="612" spans="1:61" ht="24.6" customHeight="1">
      <c r="A612" s="1039" t="s">
        <v>567</v>
      </c>
      <c r="B612" s="643" t="s">
        <v>744</v>
      </c>
      <c r="C612" s="643">
        <v>176</v>
      </c>
      <c r="D612" s="643" t="s">
        <v>15</v>
      </c>
      <c r="E612" s="643">
        <v>6100404</v>
      </c>
      <c r="F612" s="643">
        <v>243</v>
      </c>
      <c r="G612" s="103">
        <f t="shared" si="226"/>
        <v>1</v>
      </c>
      <c r="H612" s="103"/>
      <c r="I612" s="103"/>
      <c r="J612" s="103"/>
      <c r="K612" s="103">
        <v>1</v>
      </c>
      <c r="L612" s="103"/>
      <c r="M612" s="103"/>
      <c r="N612" s="703"/>
      <c r="O612" s="1037" t="s">
        <v>946</v>
      </c>
    </row>
    <row r="613" spans="1:61" ht="24.6" customHeight="1">
      <c r="A613" s="1039"/>
      <c r="B613" s="643" t="s">
        <v>446</v>
      </c>
      <c r="C613" s="643"/>
      <c r="D613" s="643"/>
      <c r="E613" s="643"/>
      <c r="F613" s="643"/>
      <c r="G613" s="103">
        <f t="shared" si="226"/>
        <v>38344.5</v>
      </c>
      <c r="H613" s="103"/>
      <c r="I613" s="103"/>
      <c r="J613" s="103"/>
      <c r="K613" s="103">
        <f>K614+K615</f>
        <v>38344.5</v>
      </c>
      <c r="L613" s="103">
        <f>L614+L615</f>
        <v>0</v>
      </c>
      <c r="M613" s="103"/>
      <c r="N613" s="703"/>
      <c r="O613" s="1037"/>
    </row>
    <row r="614" spans="1:61" ht="24.6" customHeight="1">
      <c r="A614" s="1039"/>
      <c r="B614" s="643" t="s">
        <v>249</v>
      </c>
      <c r="C614" s="643"/>
      <c r="D614" s="643"/>
      <c r="E614" s="643"/>
      <c r="F614" s="643"/>
      <c r="G614" s="103">
        <f t="shared" si="226"/>
        <v>38344.5</v>
      </c>
      <c r="H614" s="103"/>
      <c r="I614" s="103"/>
      <c r="J614" s="103"/>
      <c r="K614" s="103">
        <v>38344.5</v>
      </c>
      <c r="L614" s="103"/>
      <c r="M614" s="103"/>
      <c r="N614" s="703"/>
      <c r="O614" s="1037"/>
    </row>
    <row r="615" spans="1:61" s="45" customFormat="1" ht="24.6" customHeight="1">
      <c r="A615" s="1039"/>
      <c r="B615" s="643" t="s">
        <v>502</v>
      </c>
      <c r="C615" s="643"/>
      <c r="D615" s="643"/>
      <c r="E615" s="643"/>
      <c r="F615" s="643"/>
      <c r="G615" s="103">
        <f t="shared" si="226"/>
        <v>0</v>
      </c>
      <c r="H615" s="103"/>
      <c r="I615" s="103"/>
      <c r="J615" s="103"/>
      <c r="K615" s="103"/>
      <c r="L615" s="103"/>
      <c r="M615" s="103"/>
      <c r="N615" s="703"/>
      <c r="O615" s="1037"/>
      <c r="AJ615" s="113"/>
      <c r="AK615" s="113"/>
      <c r="AL615" s="113"/>
      <c r="AM615" s="113"/>
      <c r="AN615" s="113"/>
      <c r="AO615" s="113"/>
      <c r="AP615" s="113"/>
      <c r="AQ615" s="113"/>
      <c r="AR615" s="113"/>
      <c r="AS615" s="113"/>
      <c r="AT615" s="113"/>
      <c r="AU615" s="113"/>
      <c r="AV615" s="113"/>
      <c r="AW615" s="113"/>
      <c r="AX615" s="113"/>
      <c r="AY615" s="113"/>
      <c r="AZ615" s="113"/>
      <c r="BA615" s="113"/>
      <c r="BB615" s="113"/>
      <c r="BC615" s="113"/>
      <c r="BD615" s="113"/>
      <c r="BE615" s="113"/>
      <c r="BF615" s="113"/>
      <c r="BG615" s="113"/>
      <c r="BH615" s="113"/>
      <c r="BI615" s="113"/>
    </row>
    <row r="616" spans="1:61" s="45" customFormat="1" ht="24.95" hidden="1" customHeight="1">
      <c r="A616" s="1039" t="s">
        <v>109</v>
      </c>
      <c r="B616" s="643" t="s">
        <v>744</v>
      </c>
      <c r="C616" s="643">
        <v>176</v>
      </c>
      <c r="D616" s="643" t="s">
        <v>15</v>
      </c>
      <c r="E616" s="643">
        <v>6100404</v>
      </c>
      <c r="F616" s="643">
        <v>243</v>
      </c>
      <c r="G616" s="103">
        <f t="shared" si="226"/>
        <v>0</v>
      </c>
      <c r="H616" s="103"/>
      <c r="I616" s="103"/>
      <c r="J616" s="103"/>
      <c r="K616" s="103"/>
      <c r="L616" s="103"/>
      <c r="M616" s="103"/>
      <c r="N616" s="703"/>
      <c r="O616" s="1037" t="s">
        <v>754</v>
      </c>
      <c r="AJ616" s="113"/>
      <c r="AK616" s="113"/>
      <c r="AL616" s="113"/>
      <c r="AM616" s="113"/>
      <c r="AN616" s="113"/>
      <c r="AO616" s="113"/>
      <c r="AP616" s="113"/>
      <c r="AQ616" s="113"/>
      <c r="AR616" s="113"/>
      <c r="AS616" s="113"/>
      <c r="AT616" s="113"/>
      <c r="AU616" s="113"/>
      <c r="AV616" s="113"/>
      <c r="AW616" s="113"/>
      <c r="AX616" s="113"/>
      <c r="AY616" s="113"/>
      <c r="AZ616" s="113"/>
      <c r="BA616" s="113"/>
      <c r="BB616" s="113"/>
      <c r="BC616" s="113"/>
      <c r="BD616" s="113"/>
      <c r="BE616" s="113"/>
      <c r="BF616" s="113"/>
      <c r="BG616" s="113"/>
      <c r="BH616" s="113"/>
      <c r="BI616" s="113"/>
    </row>
    <row r="617" spans="1:61" s="45" customFormat="1" ht="24.95" hidden="1" customHeight="1">
      <c r="A617" s="1039"/>
      <c r="B617" s="643" t="s">
        <v>248</v>
      </c>
      <c r="C617" s="643"/>
      <c r="D617" s="643"/>
      <c r="E617" s="643"/>
      <c r="F617" s="643"/>
      <c r="G617" s="103">
        <f t="shared" si="226"/>
        <v>0</v>
      </c>
      <c r="H617" s="103"/>
      <c r="I617" s="103"/>
      <c r="J617" s="103"/>
      <c r="K617" s="103"/>
      <c r="L617" s="103"/>
      <c r="M617" s="103"/>
      <c r="N617" s="703"/>
      <c r="O617" s="1037"/>
      <c r="AJ617" s="113"/>
      <c r="AK617" s="113"/>
      <c r="AL617" s="113"/>
      <c r="AM617" s="113"/>
      <c r="AN617" s="113"/>
      <c r="AO617" s="113"/>
      <c r="AP617" s="113"/>
      <c r="AQ617" s="113"/>
      <c r="AR617" s="113"/>
      <c r="AS617" s="113"/>
      <c r="AT617" s="113"/>
      <c r="AU617" s="113"/>
      <c r="AV617" s="113"/>
      <c r="AW617" s="113"/>
      <c r="AX617" s="113"/>
      <c r="AY617" s="113"/>
      <c r="AZ617" s="113"/>
      <c r="BA617" s="113"/>
      <c r="BB617" s="113"/>
      <c r="BC617" s="113"/>
      <c r="BD617" s="113"/>
      <c r="BE617" s="113"/>
      <c r="BF617" s="113"/>
      <c r="BG617" s="113"/>
      <c r="BH617" s="113"/>
      <c r="BI617" s="113"/>
    </row>
    <row r="618" spans="1:61" s="45" customFormat="1" ht="24.95" hidden="1" customHeight="1">
      <c r="A618" s="985" t="s">
        <v>132</v>
      </c>
      <c r="B618" s="62" t="s">
        <v>744</v>
      </c>
      <c r="C618" s="62"/>
      <c r="D618" s="62"/>
      <c r="E618" s="62"/>
      <c r="F618" s="62"/>
      <c r="G618" s="102">
        <f>G622+G626</f>
        <v>0</v>
      </c>
      <c r="H618" s="102">
        <f t="shared" ref="H618:J618" si="227">H622+H626</f>
        <v>0</v>
      </c>
      <c r="I618" s="102">
        <f t="shared" si="227"/>
        <v>0</v>
      </c>
      <c r="J618" s="102">
        <f t="shared" si="227"/>
        <v>0</v>
      </c>
      <c r="K618" s="102">
        <f>K622</f>
        <v>0</v>
      </c>
      <c r="L618" s="102">
        <f t="shared" ref="L618:M618" si="228">L622+L626</f>
        <v>0</v>
      </c>
      <c r="M618" s="102">
        <f t="shared" si="228"/>
        <v>0</v>
      </c>
      <c r="N618" s="703"/>
      <c r="O618" s="709"/>
      <c r="AJ618" s="113"/>
      <c r="AK618" s="113"/>
      <c r="AL618" s="113"/>
      <c r="AM618" s="113"/>
      <c r="AN618" s="113"/>
      <c r="AO618" s="113"/>
      <c r="AP618" s="113"/>
      <c r="AQ618" s="113"/>
      <c r="AR618" s="113"/>
      <c r="AS618" s="113"/>
      <c r="AT618" s="113"/>
      <c r="AU618" s="113"/>
      <c r="AV618" s="113"/>
      <c r="AW618" s="113"/>
      <c r="AX618" s="113"/>
      <c r="AY618" s="113"/>
      <c r="AZ618" s="113"/>
      <c r="BA618" s="113"/>
      <c r="BB618" s="113"/>
      <c r="BC618" s="113"/>
      <c r="BD618" s="113"/>
      <c r="BE618" s="113"/>
      <c r="BF618" s="113"/>
      <c r="BG618" s="113"/>
      <c r="BH618" s="113"/>
      <c r="BI618" s="113"/>
    </row>
    <row r="619" spans="1:61" ht="24.95" hidden="1" customHeight="1">
      <c r="A619" s="986"/>
      <c r="B619" s="62" t="s">
        <v>237</v>
      </c>
      <c r="C619" s="62"/>
      <c r="D619" s="62"/>
      <c r="E619" s="62"/>
      <c r="F619" s="62"/>
      <c r="G619" s="102">
        <f t="shared" ref="G619:M619" si="229">G620+G621</f>
        <v>0</v>
      </c>
      <c r="H619" s="102">
        <f t="shared" si="229"/>
        <v>0</v>
      </c>
      <c r="I619" s="102">
        <f t="shared" si="229"/>
        <v>0</v>
      </c>
      <c r="J619" s="102">
        <f t="shared" si="229"/>
        <v>0</v>
      </c>
      <c r="K619" s="102">
        <f t="shared" si="229"/>
        <v>0</v>
      </c>
      <c r="L619" s="102">
        <f t="shared" si="229"/>
        <v>0</v>
      </c>
      <c r="M619" s="102">
        <f t="shared" si="229"/>
        <v>0</v>
      </c>
      <c r="N619" s="703"/>
      <c r="O619" s="709"/>
    </row>
    <row r="620" spans="1:61" ht="23.45" hidden="1" customHeight="1">
      <c r="A620" s="986"/>
      <c r="B620" s="62" t="s">
        <v>249</v>
      </c>
      <c r="C620" s="62"/>
      <c r="D620" s="62"/>
      <c r="E620" s="62"/>
      <c r="F620" s="62"/>
      <c r="G620" s="102">
        <f>K620</f>
        <v>0</v>
      </c>
      <c r="H620" s="102">
        <f t="shared" ref="H620:J620" si="230">H625+H627</f>
        <v>0</v>
      </c>
      <c r="I620" s="102">
        <f t="shared" si="230"/>
        <v>0</v>
      </c>
      <c r="J620" s="102">
        <f t="shared" si="230"/>
        <v>0</v>
      </c>
      <c r="K620" s="102">
        <f>K624+K627</f>
        <v>0</v>
      </c>
      <c r="L620" s="102">
        <f>L624+L627</f>
        <v>0</v>
      </c>
      <c r="M620" s="102">
        <f t="shared" ref="M620" si="231">M625+M627</f>
        <v>0</v>
      </c>
      <c r="N620" s="703"/>
      <c r="O620" s="709"/>
    </row>
    <row r="621" spans="1:61" ht="24.6" hidden="1" customHeight="1">
      <c r="A621" s="649"/>
      <c r="B621" s="62" t="s">
        <v>502</v>
      </c>
      <c r="C621" s="62"/>
      <c r="D621" s="62"/>
      <c r="E621" s="62"/>
      <c r="F621" s="62"/>
      <c r="G621" s="102">
        <f>K621</f>
        <v>0</v>
      </c>
      <c r="H621" s="102"/>
      <c r="I621" s="102"/>
      <c r="J621" s="102"/>
      <c r="K621" s="102">
        <f>K625</f>
        <v>0</v>
      </c>
      <c r="L621" s="102">
        <f>L625</f>
        <v>0</v>
      </c>
      <c r="M621" s="102"/>
      <c r="N621" s="703"/>
      <c r="O621" s="709"/>
    </row>
    <row r="622" spans="1:61" ht="22.5" hidden="1" customHeight="1">
      <c r="A622" s="1028" t="s">
        <v>316</v>
      </c>
      <c r="B622" s="643" t="s">
        <v>744</v>
      </c>
      <c r="C622" s="62"/>
      <c r="D622" s="62"/>
      <c r="E622" s="62"/>
      <c r="F622" s="62"/>
      <c r="G622" s="103">
        <f>K622</f>
        <v>0</v>
      </c>
      <c r="H622" s="103"/>
      <c r="I622" s="103"/>
      <c r="J622" s="103"/>
      <c r="K622" s="103"/>
      <c r="L622" s="103"/>
      <c r="M622" s="114"/>
      <c r="N622" s="703"/>
      <c r="O622" s="1037" t="s">
        <v>873</v>
      </c>
    </row>
    <row r="623" spans="1:61" ht="28.5" hidden="1" customHeight="1">
      <c r="A623" s="1036"/>
      <c r="B623" s="643" t="s">
        <v>446</v>
      </c>
      <c r="C623" s="62"/>
      <c r="D623" s="62"/>
      <c r="E623" s="62"/>
      <c r="F623" s="62"/>
      <c r="G623" s="103">
        <f t="shared" ref="G623:G625" si="232">K623</f>
        <v>0</v>
      </c>
      <c r="H623" s="103"/>
      <c r="I623" s="103"/>
      <c r="J623" s="103"/>
      <c r="K623" s="103">
        <f>K624+K625</f>
        <v>0</v>
      </c>
      <c r="L623" s="103">
        <f>L624+L625</f>
        <v>0</v>
      </c>
      <c r="M623" s="114"/>
      <c r="N623" s="703"/>
      <c r="O623" s="1037"/>
    </row>
    <row r="624" spans="1:61" ht="28.5" hidden="1" customHeight="1">
      <c r="A624" s="1036"/>
      <c r="B624" s="643" t="s">
        <v>249</v>
      </c>
      <c r="C624" s="62"/>
      <c r="D624" s="62"/>
      <c r="E624" s="62"/>
      <c r="F624" s="62"/>
      <c r="G624" s="103">
        <f t="shared" si="232"/>
        <v>0</v>
      </c>
      <c r="H624" s="103"/>
      <c r="I624" s="103"/>
      <c r="J624" s="103"/>
      <c r="K624" s="103"/>
      <c r="L624" s="103"/>
      <c r="M624" s="114"/>
      <c r="N624" s="703"/>
      <c r="O624" s="1037"/>
    </row>
    <row r="625" spans="1:61" ht="24.6" hidden="1" customHeight="1">
      <c r="A625" s="1029"/>
      <c r="B625" s="643" t="s">
        <v>502</v>
      </c>
      <c r="C625" s="62"/>
      <c r="D625" s="62"/>
      <c r="E625" s="62"/>
      <c r="F625" s="62"/>
      <c r="G625" s="103">
        <f t="shared" si="232"/>
        <v>0</v>
      </c>
      <c r="H625" s="103"/>
      <c r="I625" s="103"/>
      <c r="J625" s="103"/>
      <c r="K625" s="103"/>
      <c r="L625" s="103"/>
      <c r="M625" s="103"/>
      <c r="N625" s="703"/>
      <c r="O625" s="1037"/>
    </row>
    <row r="626" spans="1:61" ht="24.6" hidden="1" customHeight="1">
      <c r="A626" s="1039" t="s">
        <v>131</v>
      </c>
      <c r="B626" s="754" t="s">
        <v>744</v>
      </c>
      <c r="C626" s="643">
        <v>176</v>
      </c>
      <c r="D626" s="643" t="s">
        <v>15</v>
      </c>
      <c r="E626" s="643">
        <v>6100404</v>
      </c>
      <c r="F626" s="643">
        <v>243</v>
      </c>
      <c r="G626" s="103">
        <f>J626</f>
        <v>0</v>
      </c>
      <c r="H626" s="103"/>
      <c r="I626" s="103"/>
      <c r="J626" s="103"/>
      <c r="K626" s="103"/>
      <c r="L626" s="103"/>
      <c r="M626" s="103"/>
      <c r="N626" s="703"/>
      <c r="O626" s="1037" t="s">
        <v>755</v>
      </c>
    </row>
    <row r="627" spans="1:61" ht="23.45" hidden="1" customHeight="1">
      <c r="A627" s="1039"/>
      <c r="B627" s="643" t="s">
        <v>248</v>
      </c>
      <c r="C627" s="643"/>
      <c r="D627" s="643"/>
      <c r="E627" s="643"/>
      <c r="F627" s="643"/>
      <c r="G627" s="103">
        <f>J627+K627</f>
        <v>0</v>
      </c>
      <c r="H627" s="103"/>
      <c r="I627" s="103"/>
      <c r="J627" s="103"/>
      <c r="K627" s="103"/>
      <c r="L627" s="103"/>
      <c r="M627" s="103"/>
      <c r="N627" s="703"/>
      <c r="O627" s="1037"/>
    </row>
    <row r="628" spans="1:61" ht="24.6" hidden="1" customHeight="1">
      <c r="A628" s="1039" t="s">
        <v>175</v>
      </c>
      <c r="B628" s="643" t="s">
        <v>89</v>
      </c>
      <c r="C628" s="643">
        <v>176</v>
      </c>
      <c r="D628" s="643" t="s">
        <v>15</v>
      </c>
      <c r="E628" s="643">
        <v>6100404</v>
      </c>
      <c r="F628" s="643">
        <v>243</v>
      </c>
      <c r="G628" s="103">
        <v>0</v>
      </c>
      <c r="H628" s="103"/>
      <c r="I628" s="103"/>
      <c r="J628" s="103"/>
      <c r="K628" s="103"/>
      <c r="L628" s="103"/>
      <c r="M628" s="103"/>
      <c r="N628" s="703"/>
      <c r="O628" s="1037" t="s">
        <v>213</v>
      </c>
    </row>
    <row r="629" spans="1:61" ht="24" hidden="1" customHeight="1">
      <c r="A629" s="1039"/>
      <c r="B629" s="643" t="s">
        <v>248</v>
      </c>
      <c r="C629" s="643"/>
      <c r="D629" s="643"/>
      <c r="E629" s="643"/>
      <c r="F629" s="643"/>
      <c r="G629" s="103"/>
      <c r="H629" s="103"/>
      <c r="I629" s="103"/>
      <c r="J629" s="103"/>
      <c r="K629" s="103"/>
      <c r="L629" s="103"/>
      <c r="M629" s="103"/>
      <c r="N629" s="703"/>
      <c r="O629" s="1037"/>
    </row>
    <row r="630" spans="1:61" ht="24.6" hidden="1" customHeight="1">
      <c r="A630" s="1039" t="s">
        <v>109</v>
      </c>
      <c r="B630" s="643" t="s">
        <v>89</v>
      </c>
      <c r="C630" s="643"/>
      <c r="D630" s="643"/>
      <c r="E630" s="643"/>
      <c r="F630" s="643"/>
      <c r="G630" s="103"/>
      <c r="H630" s="103"/>
      <c r="I630" s="103"/>
      <c r="J630" s="103"/>
      <c r="K630" s="103"/>
      <c r="L630" s="103"/>
      <c r="M630" s="103"/>
      <c r="N630" s="703"/>
      <c r="O630" s="1037" t="s">
        <v>31</v>
      </c>
    </row>
    <row r="631" spans="1:61" s="45" customFormat="1" ht="24.6" hidden="1" customHeight="1">
      <c r="A631" s="1039"/>
      <c r="B631" s="643" t="s">
        <v>237</v>
      </c>
      <c r="C631" s="643">
        <v>176</v>
      </c>
      <c r="D631" s="643" t="s">
        <v>15</v>
      </c>
      <c r="E631" s="643">
        <v>6100404</v>
      </c>
      <c r="F631" s="643">
        <v>243</v>
      </c>
      <c r="G631" s="103">
        <f t="shared" ref="G631:L631" si="233">G632+G633</f>
        <v>0</v>
      </c>
      <c r="H631" s="103"/>
      <c r="I631" s="103"/>
      <c r="J631" s="103"/>
      <c r="K631" s="103"/>
      <c r="L631" s="103">
        <f t="shared" si="233"/>
        <v>0</v>
      </c>
      <c r="M631" s="103"/>
      <c r="N631" s="703"/>
      <c r="O631" s="1037"/>
      <c r="AJ631" s="113"/>
      <c r="AK631" s="113"/>
      <c r="AL631" s="113"/>
      <c r="AM631" s="113"/>
      <c r="AN631" s="113"/>
      <c r="AO631" s="113"/>
      <c r="AP631" s="113"/>
      <c r="AQ631" s="113"/>
      <c r="AR631" s="113"/>
      <c r="AS631" s="113"/>
      <c r="AT631" s="113"/>
      <c r="AU631" s="113"/>
      <c r="AV631" s="113"/>
      <c r="AW631" s="113"/>
      <c r="AX631" s="113"/>
      <c r="AY631" s="113"/>
      <c r="AZ631" s="113"/>
      <c r="BA631" s="113"/>
      <c r="BB631" s="113"/>
      <c r="BC631" s="113"/>
      <c r="BD631" s="113"/>
      <c r="BE631" s="113"/>
      <c r="BF631" s="113"/>
      <c r="BG631" s="113"/>
      <c r="BH631" s="113"/>
      <c r="BI631" s="113"/>
    </row>
    <row r="632" spans="1:61" s="45" customFormat="1" ht="24.6" hidden="1" customHeight="1">
      <c r="A632" s="1039"/>
      <c r="B632" s="643" t="s">
        <v>249</v>
      </c>
      <c r="C632" s="643"/>
      <c r="D632" s="643"/>
      <c r="E632" s="643"/>
      <c r="F632" s="643"/>
      <c r="G632" s="103"/>
      <c r="H632" s="103"/>
      <c r="I632" s="103"/>
      <c r="J632" s="103"/>
      <c r="K632" s="103"/>
      <c r="L632" s="103"/>
      <c r="M632" s="103"/>
      <c r="N632" s="703"/>
      <c r="O632" s="703"/>
      <c r="AJ632" s="113"/>
      <c r="AK632" s="113"/>
      <c r="AL632" s="113"/>
      <c r="AM632" s="113"/>
      <c r="AN632" s="113"/>
      <c r="AO632" s="113"/>
      <c r="AP632" s="113"/>
      <c r="AQ632" s="113"/>
      <c r="AR632" s="113"/>
      <c r="AS632" s="113"/>
      <c r="AT632" s="113"/>
      <c r="AU632" s="113"/>
      <c r="AV632" s="113"/>
      <c r="AW632" s="113"/>
      <c r="AX632" s="113"/>
      <c r="AY632" s="113"/>
      <c r="AZ632" s="113"/>
      <c r="BA632" s="113"/>
      <c r="BB632" s="113"/>
      <c r="BC632" s="113"/>
      <c r="BD632" s="113"/>
      <c r="BE632" s="113"/>
      <c r="BF632" s="113"/>
      <c r="BG632" s="113"/>
      <c r="BH632" s="113"/>
      <c r="BI632" s="113"/>
    </row>
    <row r="633" spans="1:61" ht="24.6" hidden="1" customHeight="1">
      <c r="A633" s="1039"/>
      <c r="B633" s="643" t="s">
        <v>250</v>
      </c>
      <c r="C633" s="643"/>
      <c r="D633" s="643"/>
      <c r="E633" s="643"/>
      <c r="F633" s="643"/>
      <c r="G633" s="103"/>
      <c r="H633" s="103"/>
      <c r="I633" s="103"/>
      <c r="J633" s="103"/>
      <c r="K633" s="103"/>
      <c r="L633" s="103"/>
      <c r="M633" s="103"/>
      <c r="N633" s="703"/>
      <c r="O633" s="703"/>
    </row>
    <row r="634" spans="1:61" ht="24.95" customHeight="1">
      <c r="A634" s="1038" t="s">
        <v>133</v>
      </c>
      <c r="B634" s="62" t="s">
        <v>744</v>
      </c>
      <c r="C634" s="62"/>
      <c r="D634" s="62"/>
      <c r="E634" s="62"/>
      <c r="F634" s="62"/>
      <c r="G634" s="102">
        <f>G638+G642</f>
        <v>0</v>
      </c>
      <c r="H634" s="102">
        <f t="shared" ref="H634:J634" si="234">H638+H642</f>
        <v>0</v>
      </c>
      <c r="I634" s="102">
        <f t="shared" si="234"/>
        <v>0</v>
      </c>
      <c r="J634" s="102">
        <f t="shared" si="234"/>
        <v>0</v>
      </c>
      <c r="K634" s="102">
        <f>K638</f>
        <v>0</v>
      </c>
      <c r="L634" s="102">
        <f t="shared" ref="L634:M634" si="235">L638+L642</f>
        <v>1</v>
      </c>
      <c r="M634" s="102">
        <f t="shared" si="235"/>
        <v>0</v>
      </c>
      <c r="N634" s="703"/>
      <c r="O634" s="709"/>
    </row>
    <row r="635" spans="1:61" ht="24.95" customHeight="1">
      <c r="A635" s="1038"/>
      <c r="B635" s="62" t="s">
        <v>446</v>
      </c>
      <c r="C635" s="62"/>
      <c r="D635" s="62"/>
      <c r="E635" s="62"/>
      <c r="F635" s="62"/>
      <c r="G635" s="102">
        <f>K635</f>
        <v>0</v>
      </c>
      <c r="H635" s="102"/>
      <c r="I635" s="102"/>
      <c r="J635" s="102"/>
      <c r="K635" s="102">
        <f>K636+K637</f>
        <v>0</v>
      </c>
      <c r="L635" s="102">
        <f>L636+L637</f>
        <v>24000</v>
      </c>
      <c r="M635" s="102"/>
      <c r="N635" s="703"/>
      <c r="O635" s="709"/>
    </row>
    <row r="636" spans="1:61" ht="24.95" customHeight="1">
      <c r="A636" s="1038"/>
      <c r="B636" s="62" t="s">
        <v>249</v>
      </c>
      <c r="C636" s="62"/>
      <c r="D636" s="62"/>
      <c r="E636" s="62"/>
      <c r="F636" s="62"/>
      <c r="G636" s="102">
        <f>G640+G643</f>
        <v>0</v>
      </c>
      <c r="H636" s="102">
        <f t="shared" ref="H636:L636" si="236">H640+H643</f>
        <v>0</v>
      </c>
      <c r="I636" s="102">
        <f t="shared" si="236"/>
        <v>0</v>
      </c>
      <c r="J636" s="102">
        <f t="shared" si="236"/>
        <v>0</v>
      </c>
      <c r="K636" s="102">
        <f t="shared" si="236"/>
        <v>0</v>
      </c>
      <c r="L636" s="102">
        <f t="shared" si="236"/>
        <v>24000</v>
      </c>
      <c r="M636" s="102"/>
      <c r="N636" s="703"/>
      <c r="O636" s="709"/>
    </row>
    <row r="637" spans="1:61" ht="26.45" customHeight="1">
      <c r="A637" s="1038"/>
      <c r="B637" s="62" t="s">
        <v>502</v>
      </c>
      <c r="C637" s="62"/>
      <c r="D637" s="62"/>
      <c r="E637" s="62"/>
      <c r="F637" s="62"/>
      <c r="G637" s="102">
        <f t="shared" ref="G637" si="237">K637</f>
        <v>0</v>
      </c>
      <c r="H637" s="102">
        <f t="shared" ref="H637:K637" si="238">H641+H643</f>
        <v>0</v>
      </c>
      <c r="I637" s="102">
        <f t="shared" si="238"/>
        <v>0</v>
      </c>
      <c r="J637" s="102">
        <f t="shared" si="238"/>
        <v>0</v>
      </c>
      <c r="K637" s="102">
        <f t="shared" si="238"/>
        <v>0</v>
      </c>
      <c r="L637" s="102">
        <f>L641</f>
        <v>0</v>
      </c>
      <c r="M637" s="102">
        <f t="shared" ref="M637" si="239">M641+M643</f>
        <v>0</v>
      </c>
      <c r="N637" s="703"/>
      <c r="O637" s="709"/>
    </row>
    <row r="638" spans="1:61" ht="20.25" customHeight="1">
      <c r="A638" s="1052" t="s">
        <v>948</v>
      </c>
      <c r="B638" s="643" t="s">
        <v>744</v>
      </c>
      <c r="C638" s="643">
        <v>176</v>
      </c>
      <c r="D638" s="643" t="s">
        <v>15</v>
      </c>
      <c r="E638" s="643">
        <v>6100404</v>
      </c>
      <c r="F638" s="643">
        <v>243</v>
      </c>
      <c r="G638" s="103">
        <f>K638</f>
        <v>0</v>
      </c>
      <c r="H638" s="103"/>
      <c r="I638" s="103"/>
      <c r="J638" s="103"/>
      <c r="K638" s="103"/>
      <c r="L638" s="103">
        <v>1</v>
      </c>
      <c r="M638" s="103"/>
      <c r="N638" s="703"/>
      <c r="O638" s="1037" t="s">
        <v>949</v>
      </c>
    </row>
    <row r="639" spans="1:61" ht="20.25" customHeight="1">
      <c r="A639" s="1053"/>
      <c r="B639" s="643" t="s">
        <v>446</v>
      </c>
      <c r="C639" s="643"/>
      <c r="D639" s="643"/>
      <c r="E639" s="643"/>
      <c r="F639" s="643"/>
      <c r="G639" s="103">
        <f>K639</f>
        <v>0</v>
      </c>
      <c r="H639" s="103"/>
      <c r="I639" s="103"/>
      <c r="J639" s="103"/>
      <c r="K639" s="103">
        <f>K640+K641</f>
        <v>0</v>
      </c>
      <c r="L639" s="103">
        <f>L640+L641</f>
        <v>24000</v>
      </c>
      <c r="M639" s="103"/>
      <c r="N639" s="703"/>
      <c r="O639" s="1037"/>
    </row>
    <row r="640" spans="1:61" ht="20.25" customHeight="1">
      <c r="A640" s="1053"/>
      <c r="B640" s="643" t="s">
        <v>249</v>
      </c>
      <c r="C640" s="643"/>
      <c r="D640" s="643"/>
      <c r="E640" s="643"/>
      <c r="F640" s="643"/>
      <c r="G640" s="103">
        <f t="shared" ref="G640:G641" si="240">K640</f>
        <v>0</v>
      </c>
      <c r="H640" s="103"/>
      <c r="I640" s="103"/>
      <c r="J640" s="103"/>
      <c r="K640" s="103"/>
      <c r="L640" s="103">
        <v>24000</v>
      </c>
      <c r="M640" s="103"/>
      <c r="N640" s="703"/>
      <c r="O640" s="1037"/>
    </row>
    <row r="641" spans="1:61" s="45" customFormat="1" ht="21.75" customHeight="1">
      <c r="A641" s="1054"/>
      <c r="B641" s="643" t="s">
        <v>502</v>
      </c>
      <c r="C641" s="643"/>
      <c r="D641" s="643"/>
      <c r="E641" s="643"/>
      <c r="F641" s="643"/>
      <c r="G641" s="103">
        <f t="shared" si="240"/>
        <v>0</v>
      </c>
      <c r="H641" s="103"/>
      <c r="I641" s="103"/>
      <c r="J641" s="103"/>
      <c r="K641" s="103"/>
      <c r="L641" s="103">
        <f>15000-15000</f>
        <v>0</v>
      </c>
      <c r="M641" s="103"/>
      <c r="N641" s="703"/>
      <c r="O641" s="1037"/>
      <c r="AJ641" s="113"/>
      <c r="AK641" s="113"/>
      <c r="AL641" s="113"/>
      <c r="AM641" s="113"/>
      <c r="AN641" s="113"/>
      <c r="AO641" s="113"/>
      <c r="AP641" s="113"/>
      <c r="AQ641" s="113"/>
      <c r="AR641" s="113"/>
      <c r="AS641" s="113"/>
      <c r="AT641" s="113"/>
      <c r="AU641" s="113"/>
      <c r="AV641" s="113"/>
      <c r="AW641" s="113"/>
      <c r="AX641" s="113"/>
      <c r="AY641" s="113"/>
      <c r="AZ641" s="113"/>
      <c r="BA641" s="113"/>
      <c r="BB641" s="113"/>
      <c r="BC641" s="113"/>
      <c r="BD641" s="113"/>
      <c r="BE641" s="113"/>
      <c r="BF641" s="113"/>
      <c r="BG641" s="113"/>
      <c r="BH641" s="113"/>
      <c r="BI641" s="113"/>
    </row>
    <row r="642" spans="1:61" s="45" customFormat="1" ht="22.9" hidden="1" customHeight="1">
      <c r="A642" s="1028" t="s">
        <v>109</v>
      </c>
      <c r="B642" s="643" t="s">
        <v>89</v>
      </c>
      <c r="C642" s="643">
        <v>176</v>
      </c>
      <c r="D642" s="643" t="s">
        <v>15</v>
      </c>
      <c r="E642" s="643">
        <v>6100404</v>
      </c>
      <c r="F642" s="643">
        <v>243</v>
      </c>
      <c r="G642" s="103"/>
      <c r="H642" s="103"/>
      <c r="I642" s="103"/>
      <c r="J642" s="103"/>
      <c r="K642" s="103"/>
      <c r="L642" s="103"/>
      <c r="M642" s="103"/>
      <c r="N642" s="703"/>
      <c r="O642" s="1037" t="s">
        <v>294</v>
      </c>
      <c r="AJ642" s="113"/>
      <c r="AK642" s="113"/>
      <c r="AL642" s="113"/>
      <c r="AM642" s="113"/>
      <c r="AN642" s="113"/>
      <c r="AO642" s="113"/>
      <c r="AP642" s="113"/>
      <c r="AQ642" s="113"/>
      <c r="AR642" s="113"/>
      <c r="AS642" s="113"/>
      <c r="AT642" s="113"/>
      <c r="AU642" s="113"/>
      <c r="AV642" s="113"/>
      <c r="AW642" s="113"/>
      <c r="AX642" s="113"/>
      <c r="AY642" s="113"/>
      <c r="AZ642" s="113"/>
      <c r="BA642" s="113"/>
      <c r="BB642" s="113"/>
      <c r="BC642" s="113"/>
      <c r="BD642" s="113"/>
      <c r="BE642" s="113"/>
      <c r="BF642" s="113"/>
      <c r="BG642" s="113"/>
      <c r="BH642" s="113"/>
      <c r="BI642" s="113"/>
    </row>
    <row r="643" spans="1:61" ht="24.6" hidden="1" customHeight="1">
      <c r="A643" s="1029"/>
      <c r="B643" s="643" t="s">
        <v>248</v>
      </c>
      <c r="C643" s="643"/>
      <c r="D643" s="643"/>
      <c r="E643" s="643"/>
      <c r="F643" s="643"/>
      <c r="G643" s="103">
        <f>J643</f>
        <v>0</v>
      </c>
      <c r="H643" s="103"/>
      <c r="I643" s="103"/>
      <c r="J643" s="103"/>
      <c r="K643" s="103"/>
      <c r="L643" s="103"/>
      <c r="M643" s="103"/>
      <c r="N643" s="703"/>
      <c r="O643" s="1037"/>
    </row>
    <row r="644" spans="1:61" ht="24.6" customHeight="1">
      <c r="A644" s="1038" t="s">
        <v>103</v>
      </c>
      <c r="B644" s="62" t="s">
        <v>744</v>
      </c>
      <c r="C644" s="62"/>
      <c r="D644" s="62"/>
      <c r="E644" s="62"/>
      <c r="F644" s="62"/>
      <c r="G644" s="102">
        <f>G648+G652+G657+G661</f>
        <v>1</v>
      </c>
      <c r="H644" s="102">
        <f t="shared" ref="H644:M644" si="241">H648+H652+H657+H661</f>
        <v>0</v>
      </c>
      <c r="I644" s="102">
        <f t="shared" si="241"/>
        <v>0</v>
      </c>
      <c r="J644" s="102">
        <f t="shared" si="241"/>
        <v>0</v>
      </c>
      <c r="K644" s="102">
        <f t="shared" si="241"/>
        <v>1</v>
      </c>
      <c r="L644" s="102">
        <f t="shared" si="241"/>
        <v>1</v>
      </c>
      <c r="M644" s="102">
        <f t="shared" si="241"/>
        <v>0</v>
      </c>
      <c r="N644" s="703"/>
      <c r="O644" s="709"/>
    </row>
    <row r="645" spans="1:61" ht="24.6" customHeight="1">
      <c r="A645" s="1038"/>
      <c r="B645" s="62" t="s">
        <v>446</v>
      </c>
      <c r="C645" s="62"/>
      <c r="D645" s="62"/>
      <c r="E645" s="62"/>
      <c r="F645" s="62"/>
      <c r="G645" s="102">
        <f>G646+G647</f>
        <v>33956.400000000001</v>
      </c>
      <c r="H645" s="102">
        <f t="shared" ref="H645:L645" si="242">H646+H647</f>
        <v>0</v>
      </c>
      <c r="I645" s="102">
        <f t="shared" si="242"/>
        <v>0</v>
      </c>
      <c r="J645" s="102">
        <f t="shared" si="242"/>
        <v>0</v>
      </c>
      <c r="K645" s="102">
        <f t="shared" si="242"/>
        <v>33956.400000000001</v>
      </c>
      <c r="L645" s="102">
        <f t="shared" si="242"/>
        <v>110000</v>
      </c>
      <c r="M645" s="102">
        <f t="shared" ref="M645" si="243">M646+M647</f>
        <v>90000</v>
      </c>
      <c r="N645" s="703"/>
      <c r="O645" s="709"/>
    </row>
    <row r="646" spans="1:61" ht="24" customHeight="1">
      <c r="A646" s="1038"/>
      <c r="B646" s="62" t="s">
        <v>249</v>
      </c>
      <c r="C646" s="62"/>
      <c r="D646" s="62"/>
      <c r="E646" s="62"/>
      <c r="F646" s="62"/>
      <c r="G646" s="102">
        <f>G649+G654+G659+G662</f>
        <v>23264</v>
      </c>
      <c r="H646" s="102">
        <f t="shared" ref="H646:M646" si="244">H649+H654+H659+H662</f>
        <v>0</v>
      </c>
      <c r="I646" s="102">
        <f t="shared" si="244"/>
        <v>0</v>
      </c>
      <c r="J646" s="102">
        <f t="shared" si="244"/>
        <v>0</v>
      </c>
      <c r="K646" s="102">
        <f t="shared" si="244"/>
        <v>23264</v>
      </c>
      <c r="L646" s="102">
        <f t="shared" si="244"/>
        <v>45000</v>
      </c>
      <c r="M646" s="102">
        <f t="shared" si="244"/>
        <v>90000</v>
      </c>
      <c r="N646" s="703"/>
      <c r="O646" s="709"/>
    </row>
    <row r="647" spans="1:61" ht="24.6" customHeight="1">
      <c r="A647" s="1038"/>
      <c r="B647" s="62" t="s">
        <v>502</v>
      </c>
      <c r="C647" s="62"/>
      <c r="D647" s="62"/>
      <c r="E647" s="62"/>
      <c r="F647" s="62"/>
      <c r="G647" s="102">
        <f>K647</f>
        <v>10692.4</v>
      </c>
      <c r="H647" s="102">
        <f t="shared" ref="H647:J647" si="245">H656+H660</f>
        <v>0</v>
      </c>
      <c r="I647" s="102">
        <f t="shared" si="245"/>
        <v>0</v>
      </c>
      <c r="J647" s="102">
        <f t="shared" si="245"/>
        <v>0</v>
      </c>
      <c r="K647" s="102">
        <f>K655+K660</f>
        <v>10692.4</v>
      </c>
      <c r="L647" s="102">
        <f>L655</f>
        <v>65000</v>
      </c>
      <c r="M647" s="102">
        <f>M655</f>
        <v>0</v>
      </c>
      <c r="N647" s="703"/>
      <c r="O647" s="709"/>
    </row>
    <row r="648" spans="1:61" ht="24.6" hidden="1" customHeight="1">
      <c r="A648" s="1028" t="s">
        <v>784</v>
      </c>
      <c r="B648" s="643" t="s">
        <v>89</v>
      </c>
      <c r="C648" s="643">
        <v>176</v>
      </c>
      <c r="D648" s="643" t="s">
        <v>15</v>
      </c>
      <c r="E648" s="643">
        <v>6100404</v>
      </c>
      <c r="F648" s="643">
        <v>243</v>
      </c>
      <c r="G648" s="103">
        <f>K648</f>
        <v>0</v>
      </c>
      <c r="H648" s="103"/>
      <c r="I648" s="103"/>
      <c r="J648" s="103"/>
      <c r="K648" s="103"/>
      <c r="L648" s="103"/>
      <c r="M648" s="103"/>
      <c r="N648" s="703"/>
      <c r="O648" s="1030" t="s">
        <v>793</v>
      </c>
    </row>
    <row r="649" spans="1:61" ht="24.6" hidden="1" customHeight="1">
      <c r="A649" s="1029"/>
      <c r="B649" s="643" t="s">
        <v>248</v>
      </c>
      <c r="C649" s="643"/>
      <c r="D649" s="643"/>
      <c r="E649" s="643"/>
      <c r="F649" s="643"/>
      <c r="G649" s="103">
        <f>K649</f>
        <v>0</v>
      </c>
      <c r="H649" s="103"/>
      <c r="I649" s="103"/>
      <c r="J649" s="103"/>
      <c r="K649" s="103"/>
      <c r="L649" s="103">
        <f>14004-14004</f>
        <v>0</v>
      </c>
      <c r="M649" s="103"/>
      <c r="N649" s="703"/>
      <c r="O649" s="1031"/>
    </row>
    <row r="650" spans="1:61" ht="15" hidden="1" customHeight="1">
      <c r="A650" s="1039" t="s">
        <v>174</v>
      </c>
      <c r="B650" s="643" t="s">
        <v>89</v>
      </c>
      <c r="C650" s="643">
        <v>176</v>
      </c>
      <c r="D650" s="643" t="s">
        <v>15</v>
      </c>
      <c r="E650" s="643">
        <v>6100404</v>
      </c>
      <c r="F650" s="643">
        <v>243</v>
      </c>
      <c r="G650" s="103">
        <v>0</v>
      </c>
      <c r="H650" s="103"/>
      <c r="I650" s="103"/>
      <c r="J650" s="103"/>
      <c r="K650" s="103"/>
      <c r="L650" s="103"/>
      <c r="M650" s="103"/>
      <c r="N650" s="703"/>
      <c r="O650" s="1037" t="s">
        <v>211</v>
      </c>
    </row>
    <row r="651" spans="1:61" ht="20.45" hidden="1" customHeight="1">
      <c r="A651" s="1039"/>
      <c r="B651" s="643" t="s">
        <v>248</v>
      </c>
      <c r="C651" s="643"/>
      <c r="D651" s="643"/>
      <c r="E651" s="643"/>
      <c r="F651" s="643"/>
      <c r="G651" s="103"/>
      <c r="H651" s="103"/>
      <c r="I651" s="103"/>
      <c r="J651" s="103"/>
      <c r="K651" s="103"/>
      <c r="L651" s="103"/>
      <c r="M651" s="103"/>
      <c r="N651" s="703"/>
      <c r="O651" s="1037"/>
    </row>
    <row r="652" spans="1:61" ht="22.9" customHeight="1">
      <c r="A652" s="1028" t="s">
        <v>173</v>
      </c>
      <c r="B652" s="643" t="s">
        <v>744</v>
      </c>
      <c r="C652" s="643">
        <v>176</v>
      </c>
      <c r="D652" s="643" t="s">
        <v>15</v>
      </c>
      <c r="E652" s="643">
        <v>6100404</v>
      </c>
      <c r="F652" s="643">
        <v>243</v>
      </c>
      <c r="G652" s="103"/>
      <c r="H652" s="103"/>
      <c r="I652" s="103"/>
      <c r="J652" s="103"/>
      <c r="K652" s="103"/>
      <c r="L652" s="103">
        <v>1</v>
      </c>
      <c r="M652" s="103"/>
      <c r="N652" s="703"/>
      <c r="O652" s="1037" t="s">
        <v>994</v>
      </c>
    </row>
    <row r="653" spans="1:61" ht="22.9" customHeight="1">
      <c r="A653" s="1036"/>
      <c r="B653" s="643" t="s">
        <v>446</v>
      </c>
      <c r="C653" s="643"/>
      <c r="D653" s="643"/>
      <c r="E653" s="643"/>
      <c r="F653" s="643"/>
      <c r="G653" s="103">
        <f>K653</f>
        <v>0</v>
      </c>
      <c r="H653" s="103">
        <f t="shared" ref="H653:J653" si="246">H654</f>
        <v>0</v>
      </c>
      <c r="I653" s="103">
        <f t="shared" si="246"/>
        <v>0</v>
      </c>
      <c r="J653" s="103">
        <f t="shared" si="246"/>
        <v>0</v>
      </c>
      <c r="K653" s="103">
        <f>K654+K655</f>
        <v>0</v>
      </c>
      <c r="L653" s="103">
        <f>L654+L655</f>
        <v>110000</v>
      </c>
      <c r="M653" s="103">
        <f>M654+M655</f>
        <v>90000</v>
      </c>
      <c r="N653" s="703"/>
      <c r="O653" s="1037"/>
    </row>
    <row r="654" spans="1:61" ht="22.9" customHeight="1">
      <c r="A654" s="1036"/>
      <c r="B654" s="643" t="s">
        <v>249</v>
      </c>
      <c r="C654" s="643"/>
      <c r="D654" s="643"/>
      <c r="E654" s="643"/>
      <c r="F654" s="643"/>
      <c r="G654" s="103">
        <f>K654</f>
        <v>0</v>
      </c>
      <c r="H654" s="103"/>
      <c r="I654" s="103"/>
      <c r="J654" s="103"/>
      <c r="K654" s="103">
        <v>0</v>
      </c>
      <c r="L654" s="103">
        <v>45000</v>
      </c>
      <c r="M654" s="103">
        <v>90000</v>
      </c>
      <c r="N654" s="703"/>
      <c r="O654" s="1037"/>
    </row>
    <row r="655" spans="1:61" ht="32.25" customHeight="1">
      <c r="A655" s="1036"/>
      <c r="B655" s="643" t="s">
        <v>502</v>
      </c>
      <c r="C655" s="643"/>
      <c r="D655" s="643"/>
      <c r="E655" s="643"/>
      <c r="F655" s="643"/>
      <c r="G655" s="103">
        <f>J655+K655</f>
        <v>0</v>
      </c>
      <c r="H655" s="103"/>
      <c r="I655" s="103"/>
      <c r="J655" s="103"/>
      <c r="K655" s="103">
        <v>0</v>
      </c>
      <c r="L655" s="103">
        <v>65000</v>
      </c>
      <c r="M655" s="103"/>
      <c r="N655" s="703"/>
      <c r="O655" s="1037"/>
    </row>
    <row r="656" spans="1:61" ht="29.45" hidden="1" customHeight="1">
      <c r="A656" s="1029"/>
      <c r="B656" s="643" t="s">
        <v>790</v>
      </c>
      <c r="C656" s="643"/>
      <c r="D656" s="643"/>
      <c r="E656" s="643"/>
      <c r="F656" s="643"/>
      <c r="G656" s="103">
        <f>J656</f>
        <v>0</v>
      </c>
      <c r="H656" s="103"/>
      <c r="I656" s="103"/>
      <c r="J656" s="103"/>
      <c r="K656" s="103"/>
      <c r="L656" s="103"/>
      <c r="M656" s="103"/>
      <c r="N656" s="703"/>
      <c r="O656" s="1037"/>
    </row>
    <row r="657" spans="1:61" ht="23.45" customHeight="1">
      <c r="A657" s="1028" t="s">
        <v>184</v>
      </c>
      <c r="B657" s="643" t="s">
        <v>89</v>
      </c>
      <c r="C657" s="643">
        <v>176</v>
      </c>
      <c r="D657" s="643" t="s">
        <v>15</v>
      </c>
      <c r="E657" s="643">
        <v>6100404</v>
      </c>
      <c r="F657" s="643">
        <v>243</v>
      </c>
      <c r="G657" s="103">
        <f>K657</f>
        <v>1</v>
      </c>
      <c r="H657" s="103"/>
      <c r="I657" s="103"/>
      <c r="J657" s="103"/>
      <c r="K657" s="103">
        <v>1</v>
      </c>
      <c r="L657" s="103"/>
      <c r="M657" s="103"/>
      <c r="N657" s="703"/>
      <c r="O657" s="1037" t="s">
        <v>874</v>
      </c>
    </row>
    <row r="658" spans="1:61" ht="23.45" customHeight="1">
      <c r="A658" s="1036"/>
      <c r="B658" s="643" t="s">
        <v>446</v>
      </c>
      <c r="C658" s="643"/>
      <c r="D658" s="643"/>
      <c r="E658" s="643"/>
      <c r="F658" s="643"/>
      <c r="G658" s="103">
        <f t="shared" ref="G658:G660" si="247">K658</f>
        <v>33956.400000000001</v>
      </c>
      <c r="H658" s="103"/>
      <c r="I658" s="103"/>
      <c r="J658" s="103">
        <f>J659+J660</f>
        <v>0</v>
      </c>
      <c r="K658" s="103">
        <f>K659+K660</f>
        <v>33956.400000000001</v>
      </c>
      <c r="L658" s="103"/>
      <c r="M658" s="103"/>
      <c r="N658" s="703"/>
      <c r="O658" s="1037"/>
    </row>
    <row r="659" spans="1:61" ht="21" customHeight="1">
      <c r="A659" s="1036"/>
      <c r="B659" s="643" t="s">
        <v>333</v>
      </c>
      <c r="C659" s="643"/>
      <c r="D659" s="643"/>
      <c r="E659" s="643"/>
      <c r="F659" s="643"/>
      <c r="G659" s="103">
        <f t="shared" si="247"/>
        <v>23264</v>
      </c>
      <c r="H659" s="103"/>
      <c r="I659" s="103"/>
      <c r="J659" s="103"/>
      <c r="K659" s="103">
        <v>23264</v>
      </c>
      <c r="L659" s="103"/>
      <c r="N659" s="703"/>
      <c r="O659" s="1037"/>
    </row>
    <row r="660" spans="1:61" s="45" customFormat="1" ht="22.9" customHeight="1">
      <c r="A660" s="1029"/>
      <c r="B660" s="643" t="s">
        <v>790</v>
      </c>
      <c r="C660" s="643"/>
      <c r="D660" s="643"/>
      <c r="E660" s="643"/>
      <c r="F660" s="643"/>
      <c r="G660" s="103">
        <f t="shared" si="247"/>
        <v>10692.4</v>
      </c>
      <c r="H660" s="103"/>
      <c r="I660" s="103"/>
      <c r="J660" s="103"/>
      <c r="K660" s="103">
        <v>10692.4</v>
      </c>
      <c r="L660" s="103"/>
      <c r="M660" s="103"/>
      <c r="N660" s="703"/>
      <c r="O660" s="1037"/>
      <c r="AJ660" s="113"/>
      <c r="AK660" s="113"/>
      <c r="AL660" s="113"/>
      <c r="AM660" s="113"/>
      <c r="AN660" s="113"/>
      <c r="AO660" s="113"/>
      <c r="AP660" s="113"/>
      <c r="AQ660" s="113"/>
      <c r="AR660" s="113"/>
      <c r="AS660" s="113"/>
      <c r="AT660" s="113"/>
      <c r="AU660" s="113"/>
      <c r="AV660" s="113"/>
      <c r="AW660" s="113"/>
      <c r="AX660" s="113"/>
      <c r="AY660" s="113"/>
      <c r="AZ660" s="113"/>
      <c r="BA660" s="113"/>
      <c r="BB660" s="113"/>
      <c r="BC660" s="113"/>
      <c r="BD660" s="113"/>
      <c r="BE660" s="113"/>
      <c r="BF660" s="113"/>
      <c r="BG660" s="113"/>
      <c r="BH660" s="113"/>
      <c r="BI660" s="113"/>
    </row>
    <row r="661" spans="1:61" s="45" customFormat="1" ht="21" hidden="1" customHeight="1">
      <c r="A661" s="1039" t="s">
        <v>109</v>
      </c>
      <c r="B661" s="643" t="s">
        <v>744</v>
      </c>
      <c r="C661" s="643">
        <v>176</v>
      </c>
      <c r="D661" s="643" t="s">
        <v>15</v>
      </c>
      <c r="E661" s="643">
        <v>6100404</v>
      </c>
      <c r="F661" s="643">
        <v>243</v>
      </c>
      <c r="G661" s="103"/>
      <c r="H661" s="103"/>
      <c r="I661" s="103"/>
      <c r="J661" s="103"/>
      <c r="K661" s="103"/>
      <c r="L661" s="103"/>
      <c r="M661" s="103"/>
      <c r="N661" s="703"/>
      <c r="O661" s="1037" t="s">
        <v>754</v>
      </c>
      <c r="AJ661" s="113"/>
      <c r="AK661" s="113"/>
      <c r="AL661" s="113"/>
      <c r="AM661" s="113"/>
      <c r="AN661" s="113"/>
      <c r="AO661" s="113"/>
      <c r="AP661" s="113"/>
      <c r="AQ661" s="113"/>
      <c r="AR661" s="113"/>
      <c r="AS661" s="113"/>
      <c r="AT661" s="113"/>
      <c r="AU661" s="113"/>
      <c r="AV661" s="113"/>
      <c r="AW661" s="113"/>
      <c r="AX661" s="113"/>
      <c r="AY661" s="113"/>
      <c r="AZ661" s="113"/>
      <c r="BA661" s="113"/>
      <c r="BB661" s="113"/>
      <c r="BC661" s="113"/>
      <c r="BD661" s="113"/>
      <c r="BE661" s="113"/>
      <c r="BF661" s="113"/>
      <c r="BG661" s="113"/>
      <c r="BH661" s="113"/>
      <c r="BI661" s="113"/>
    </row>
    <row r="662" spans="1:61" ht="24.6" hidden="1" customHeight="1">
      <c r="A662" s="1039"/>
      <c r="B662" s="643" t="s">
        <v>248</v>
      </c>
      <c r="C662" s="643"/>
      <c r="D662" s="643"/>
      <c r="E662" s="643"/>
      <c r="F662" s="643"/>
      <c r="G662" s="103">
        <f>K662</f>
        <v>0</v>
      </c>
      <c r="H662" s="103"/>
      <c r="I662" s="103"/>
      <c r="J662" s="103"/>
      <c r="K662" s="103"/>
      <c r="L662" s="103"/>
      <c r="M662" s="103"/>
      <c r="N662" s="703"/>
      <c r="O662" s="1037"/>
    </row>
    <row r="663" spans="1:61" ht="24.6" hidden="1" customHeight="1">
      <c r="A663" s="1038" t="s">
        <v>104</v>
      </c>
      <c r="B663" s="62" t="s">
        <v>89</v>
      </c>
      <c r="C663" s="62"/>
      <c r="D663" s="62"/>
      <c r="E663" s="62"/>
      <c r="F663" s="62"/>
      <c r="G663" s="102">
        <f t="shared" ref="G663:M664" si="248">G665+G667</f>
        <v>0</v>
      </c>
      <c r="H663" s="102"/>
      <c r="I663" s="102"/>
      <c r="J663" s="102"/>
      <c r="K663" s="102"/>
      <c r="L663" s="102">
        <f t="shared" si="248"/>
        <v>0</v>
      </c>
      <c r="M663" s="102">
        <f t="shared" si="248"/>
        <v>0</v>
      </c>
      <c r="N663" s="703"/>
      <c r="O663" s="709"/>
    </row>
    <row r="664" spans="1:61" ht="24.95" hidden="1" customHeight="1">
      <c r="A664" s="1038"/>
      <c r="B664" s="62" t="s">
        <v>248</v>
      </c>
      <c r="C664" s="62"/>
      <c r="D664" s="62"/>
      <c r="E664" s="62"/>
      <c r="F664" s="62"/>
      <c r="G664" s="102">
        <f t="shared" si="248"/>
        <v>0</v>
      </c>
      <c r="H664" s="102">
        <f t="shared" si="248"/>
        <v>0</v>
      </c>
      <c r="I664" s="102">
        <f t="shared" si="248"/>
        <v>0</v>
      </c>
      <c r="J664" s="102">
        <f t="shared" si="248"/>
        <v>0</v>
      </c>
      <c r="K664" s="102">
        <f t="shared" si="248"/>
        <v>0</v>
      </c>
      <c r="L664" s="102">
        <f t="shared" si="248"/>
        <v>0</v>
      </c>
      <c r="M664" s="102">
        <f t="shared" si="248"/>
        <v>0</v>
      </c>
      <c r="N664" s="703"/>
      <c r="O664" s="709"/>
    </row>
    <row r="665" spans="1:61" ht="0.6" hidden="1" customHeight="1">
      <c r="A665" s="1039" t="s">
        <v>134</v>
      </c>
      <c r="B665" s="643" t="s">
        <v>89</v>
      </c>
      <c r="C665" s="643">
        <v>176</v>
      </c>
      <c r="D665" s="643" t="s">
        <v>15</v>
      </c>
      <c r="E665" s="643">
        <v>6100404</v>
      </c>
      <c r="F665" s="643">
        <v>243</v>
      </c>
      <c r="G665" s="103">
        <v>0</v>
      </c>
      <c r="H665" s="103"/>
      <c r="I665" s="103"/>
      <c r="J665" s="103"/>
      <c r="K665" s="103"/>
      <c r="L665" s="103"/>
      <c r="M665" s="103"/>
      <c r="N665" s="703"/>
      <c r="O665" s="1037" t="s">
        <v>260</v>
      </c>
    </row>
    <row r="666" spans="1:61" s="45" customFormat="1" ht="24.6" hidden="1" customHeight="1">
      <c r="A666" s="1039"/>
      <c r="B666" s="643" t="s">
        <v>248</v>
      </c>
      <c r="C666" s="643"/>
      <c r="D666" s="643"/>
      <c r="E666" s="643"/>
      <c r="F666" s="643"/>
      <c r="G666" s="103"/>
      <c r="H666" s="103"/>
      <c r="I666" s="103"/>
      <c r="J666" s="103"/>
      <c r="K666" s="103"/>
      <c r="L666" s="103"/>
      <c r="M666" s="103"/>
      <c r="N666" s="703"/>
      <c r="O666" s="1037"/>
      <c r="AJ666" s="113"/>
      <c r="AK666" s="113"/>
      <c r="AL666" s="113"/>
      <c r="AM666" s="113"/>
      <c r="AN666" s="113"/>
      <c r="AO666" s="113"/>
      <c r="AP666" s="113"/>
      <c r="AQ666" s="113"/>
      <c r="AR666" s="113"/>
      <c r="AS666" s="113"/>
      <c r="AT666" s="113"/>
      <c r="AU666" s="113"/>
      <c r="AV666" s="113"/>
      <c r="AW666" s="113"/>
      <c r="AX666" s="113"/>
      <c r="AY666" s="113"/>
      <c r="AZ666" s="113"/>
      <c r="BA666" s="113"/>
      <c r="BB666" s="113"/>
      <c r="BC666" s="113"/>
      <c r="BD666" s="113"/>
      <c r="BE666" s="113"/>
      <c r="BF666" s="113"/>
      <c r="BG666" s="113"/>
      <c r="BH666" s="113"/>
      <c r="BI666" s="113"/>
    </row>
    <row r="667" spans="1:61" s="45" customFormat="1" ht="23.45" hidden="1" customHeight="1">
      <c r="A667" s="1039" t="s">
        <v>109</v>
      </c>
      <c r="B667" s="643" t="s">
        <v>89</v>
      </c>
      <c r="C667" s="643">
        <v>176</v>
      </c>
      <c r="D667" s="643" t="s">
        <v>15</v>
      </c>
      <c r="E667" s="643">
        <v>6100404</v>
      </c>
      <c r="F667" s="643">
        <v>243</v>
      </c>
      <c r="G667" s="103"/>
      <c r="H667" s="103"/>
      <c r="I667" s="103"/>
      <c r="J667" s="103"/>
      <c r="K667" s="103"/>
      <c r="L667" s="103"/>
      <c r="M667" s="103"/>
      <c r="N667" s="703"/>
      <c r="O667" s="1037" t="s">
        <v>294</v>
      </c>
      <c r="AJ667" s="113"/>
      <c r="AK667" s="113"/>
      <c r="AL667" s="113"/>
      <c r="AM667" s="113"/>
      <c r="AN667" s="113"/>
      <c r="AO667" s="113"/>
      <c r="AP667" s="113"/>
      <c r="AQ667" s="113"/>
      <c r="AR667" s="113"/>
      <c r="AS667" s="113"/>
      <c r="AT667" s="113"/>
      <c r="AU667" s="113"/>
      <c r="AV667" s="113"/>
      <c r="AW667" s="113"/>
      <c r="AX667" s="113"/>
      <c r="AY667" s="113"/>
      <c r="AZ667" s="113"/>
      <c r="BA667" s="113"/>
      <c r="BB667" s="113"/>
      <c r="BC667" s="113"/>
      <c r="BD667" s="113"/>
      <c r="BE667" s="113"/>
      <c r="BF667" s="113"/>
      <c r="BG667" s="113"/>
      <c r="BH667" s="113"/>
      <c r="BI667" s="113"/>
    </row>
    <row r="668" spans="1:61" ht="24.6" hidden="1" customHeight="1">
      <c r="A668" s="1039"/>
      <c r="B668" s="643" t="s">
        <v>248</v>
      </c>
      <c r="C668" s="643"/>
      <c r="D668" s="643"/>
      <c r="E668" s="643"/>
      <c r="F668" s="643"/>
      <c r="G668" s="103">
        <f>J668</f>
        <v>0</v>
      </c>
      <c r="H668" s="103"/>
      <c r="I668" s="103"/>
      <c r="J668" s="103"/>
      <c r="K668" s="103"/>
      <c r="L668" s="103"/>
      <c r="M668" s="103"/>
      <c r="N668" s="703"/>
      <c r="O668" s="1037"/>
    </row>
    <row r="669" spans="1:61" ht="24.6" hidden="1" customHeight="1">
      <c r="A669" s="1038" t="s">
        <v>136</v>
      </c>
      <c r="B669" s="62" t="s">
        <v>89</v>
      </c>
      <c r="C669" s="62"/>
      <c r="D669" s="62"/>
      <c r="E669" s="62"/>
      <c r="F669" s="62"/>
      <c r="G669" s="102">
        <f>G675+G679+G681</f>
        <v>0</v>
      </c>
      <c r="H669" s="102"/>
      <c r="I669" s="102"/>
      <c r="J669" s="102"/>
      <c r="K669" s="102"/>
      <c r="L669" s="102">
        <f t="shared" ref="L669:M669" si="249">L675+L679+L681</f>
        <v>0</v>
      </c>
      <c r="M669" s="102">
        <f t="shared" si="249"/>
        <v>0</v>
      </c>
      <c r="N669" s="703"/>
      <c r="O669" s="709"/>
    </row>
    <row r="670" spans="1:61" ht="24.6" hidden="1" customHeight="1">
      <c r="A670" s="1038"/>
      <c r="B670" s="62" t="s">
        <v>248</v>
      </c>
      <c r="C670" s="62"/>
      <c r="D670" s="62"/>
      <c r="E670" s="62"/>
      <c r="F670" s="62"/>
      <c r="G670" s="102">
        <f>G676+G680+G682</f>
        <v>0</v>
      </c>
      <c r="H670" s="102">
        <f t="shared" ref="H670:K670" si="250">H676+H680+H682</f>
        <v>0</v>
      </c>
      <c r="I670" s="102">
        <f t="shared" si="250"/>
        <v>0</v>
      </c>
      <c r="J670" s="102">
        <f t="shared" si="250"/>
        <v>0</v>
      </c>
      <c r="K670" s="102">
        <f t="shared" si="250"/>
        <v>0</v>
      </c>
      <c r="L670" s="102">
        <f t="shared" ref="L670:M670" si="251">L676+L680+L682</f>
        <v>0</v>
      </c>
      <c r="M670" s="102">
        <f t="shared" si="251"/>
        <v>0</v>
      </c>
      <c r="N670" s="703"/>
      <c r="O670" s="709"/>
    </row>
    <row r="671" spans="1:61" ht="0.6" hidden="1" customHeight="1">
      <c r="A671" s="1039" t="s">
        <v>135</v>
      </c>
      <c r="B671" s="643" t="s">
        <v>89</v>
      </c>
      <c r="C671" s="643">
        <v>176</v>
      </c>
      <c r="D671" s="643" t="s">
        <v>15</v>
      </c>
      <c r="E671" s="643">
        <v>6100404</v>
      </c>
      <c r="F671" s="643">
        <v>243</v>
      </c>
      <c r="G671" s="103">
        <v>0</v>
      </c>
      <c r="H671" s="103"/>
      <c r="I671" s="103"/>
      <c r="J671" s="103"/>
      <c r="K671" s="103"/>
      <c r="L671" s="103"/>
      <c r="M671" s="103"/>
      <c r="N671" s="703"/>
      <c r="O671" s="1037" t="s">
        <v>213</v>
      </c>
    </row>
    <row r="672" spans="1:61" ht="22.9" hidden="1" customHeight="1">
      <c r="A672" s="1039"/>
      <c r="B672" s="643" t="s">
        <v>248</v>
      </c>
      <c r="C672" s="643"/>
      <c r="D672" s="643"/>
      <c r="E672" s="643"/>
      <c r="F672" s="643"/>
      <c r="G672" s="103"/>
      <c r="H672" s="103"/>
      <c r="I672" s="103"/>
      <c r="J672" s="103"/>
      <c r="K672" s="103"/>
      <c r="L672" s="103"/>
      <c r="M672" s="103"/>
      <c r="N672" s="703"/>
      <c r="O672" s="1037"/>
    </row>
    <row r="673" spans="1:61" ht="24.6" hidden="1" customHeight="1">
      <c r="A673" s="642" t="s">
        <v>172</v>
      </c>
      <c r="B673" s="643" t="s">
        <v>89</v>
      </c>
      <c r="C673" s="643">
        <v>176</v>
      </c>
      <c r="D673" s="643" t="s">
        <v>15</v>
      </c>
      <c r="E673" s="643">
        <v>6100404</v>
      </c>
      <c r="F673" s="643">
        <v>243</v>
      </c>
      <c r="G673" s="103">
        <v>0</v>
      </c>
      <c r="H673" s="103"/>
      <c r="I673" s="103"/>
      <c r="J673" s="103"/>
      <c r="K673" s="103"/>
      <c r="L673" s="103"/>
      <c r="M673" s="103"/>
      <c r="N673" s="703"/>
      <c r="O673" s="703" t="s">
        <v>39</v>
      </c>
    </row>
    <row r="674" spans="1:61" ht="0.6" hidden="1" customHeight="1">
      <c r="A674" s="642"/>
      <c r="B674" s="643" t="s">
        <v>248</v>
      </c>
      <c r="C674" s="643"/>
      <c r="D674" s="643"/>
      <c r="E674" s="643"/>
      <c r="F674" s="643"/>
      <c r="G674" s="103"/>
      <c r="H674" s="103"/>
      <c r="I674" s="103"/>
      <c r="J674" s="103"/>
      <c r="K674" s="103"/>
      <c r="L674" s="103"/>
      <c r="M674" s="103"/>
      <c r="N674" s="703"/>
      <c r="O674" s="703"/>
    </row>
    <row r="675" spans="1:61" ht="24.6" hidden="1" customHeight="1">
      <c r="A675" s="1039" t="s">
        <v>156</v>
      </c>
      <c r="B675" s="643" t="s">
        <v>89</v>
      </c>
      <c r="C675" s="643">
        <v>176</v>
      </c>
      <c r="D675" s="643" t="s">
        <v>15</v>
      </c>
      <c r="E675" s="643">
        <v>6100404</v>
      </c>
      <c r="F675" s="643">
        <v>243</v>
      </c>
      <c r="G675" s="103">
        <v>0</v>
      </c>
      <c r="H675" s="103"/>
      <c r="I675" s="103"/>
      <c r="J675" s="103"/>
      <c r="K675" s="103"/>
      <c r="L675" s="103"/>
      <c r="M675" s="103"/>
      <c r="N675" s="703"/>
      <c r="O675" s="1037" t="s">
        <v>319</v>
      </c>
    </row>
    <row r="676" spans="1:61" ht="23.45" hidden="1" customHeight="1">
      <c r="A676" s="1039"/>
      <c r="B676" s="643" t="s">
        <v>248</v>
      </c>
      <c r="C676" s="643"/>
      <c r="D676" s="643"/>
      <c r="E676" s="643"/>
      <c r="F676" s="643"/>
      <c r="G676" s="103"/>
      <c r="H676" s="103"/>
      <c r="I676" s="103"/>
      <c r="J676" s="103"/>
      <c r="K676" s="103"/>
      <c r="L676" s="103"/>
      <c r="M676" s="103"/>
      <c r="N676" s="703"/>
      <c r="O676" s="1037"/>
    </row>
    <row r="677" spans="1:61" ht="24.6" hidden="1" customHeight="1">
      <c r="A677" s="644" t="s">
        <v>165</v>
      </c>
      <c r="B677" s="643" t="s">
        <v>89</v>
      </c>
      <c r="C677" s="643">
        <v>176</v>
      </c>
      <c r="D677" s="643" t="s">
        <v>15</v>
      </c>
      <c r="E677" s="643">
        <v>6100404</v>
      </c>
      <c r="F677" s="643">
        <v>243</v>
      </c>
      <c r="G677" s="103">
        <v>0</v>
      </c>
      <c r="H677" s="103"/>
      <c r="I677" s="103"/>
      <c r="J677" s="103"/>
      <c r="K677" s="103"/>
      <c r="L677" s="103"/>
      <c r="M677" s="103"/>
      <c r="N677" s="703"/>
      <c r="O677" s="703"/>
    </row>
    <row r="678" spans="1:61" s="45" customFormat="1" ht="24.6" hidden="1" customHeight="1">
      <c r="A678" s="644"/>
      <c r="B678" s="643" t="s">
        <v>248</v>
      </c>
      <c r="C678" s="643"/>
      <c r="D678" s="643"/>
      <c r="E678" s="643"/>
      <c r="F678" s="643"/>
      <c r="G678" s="103"/>
      <c r="H678" s="103"/>
      <c r="I678" s="103"/>
      <c r="J678" s="103"/>
      <c r="K678" s="103"/>
      <c r="L678" s="103"/>
      <c r="M678" s="103"/>
      <c r="N678" s="703"/>
      <c r="O678" s="703"/>
      <c r="AJ678" s="113"/>
      <c r="AK678" s="113"/>
      <c r="AL678" s="113"/>
      <c r="AM678" s="113"/>
      <c r="AN678" s="113"/>
      <c r="AO678" s="113"/>
      <c r="AP678" s="113"/>
      <c r="AQ678" s="113"/>
      <c r="AR678" s="113"/>
      <c r="AS678" s="113"/>
      <c r="AT678" s="113"/>
      <c r="AU678" s="113"/>
      <c r="AV678" s="113"/>
      <c r="AW678" s="113"/>
      <c r="AX678" s="113"/>
      <c r="AY678" s="113"/>
      <c r="AZ678" s="113"/>
      <c r="BA678" s="113"/>
      <c r="BB678" s="113"/>
      <c r="BC678" s="113"/>
      <c r="BD678" s="113"/>
      <c r="BE678" s="113"/>
      <c r="BF678" s="113"/>
      <c r="BG678" s="113"/>
      <c r="BH678" s="113"/>
      <c r="BI678" s="113"/>
    </row>
    <row r="679" spans="1:61" s="45" customFormat="1" ht="24.6" hidden="1" customHeight="1">
      <c r="A679" s="1028" t="s">
        <v>318</v>
      </c>
      <c r="B679" s="643" t="s">
        <v>89</v>
      </c>
      <c r="C679" s="643"/>
      <c r="D679" s="643"/>
      <c r="E679" s="643"/>
      <c r="F679" s="643"/>
      <c r="G679" s="103"/>
      <c r="H679" s="103"/>
      <c r="I679" s="103"/>
      <c r="J679" s="103"/>
      <c r="K679" s="103"/>
      <c r="L679" s="103"/>
      <c r="M679" s="103"/>
      <c r="N679" s="703"/>
      <c r="O679" s="1037" t="s">
        <v>456</v>
      </c>
      <c r="AJ679" s="113"/>
      <c r="AK679" s="113"/>
      <c r="AL679" s="113"/>
      <c r="AM679" s="113"/>
      <c r="AN679" s="113"/>
      <c r="AO679" s="113"/>
      <c r="AP679" s="113"/>
      <c r="AQ679" s="113"/>
      <c r="AR679" s="113"/>
      <c r="AS679" s="113"/>
      <c r="AT679" s="113"/>
      <c r="AU679" s="113"/>
      <c r="AV679" s="113"/>
      <c r="AW679" s="113"/>
      <c r="AX679" s="113"/>
      <c r="AY679" s="113"/>
      <c r="AZ679" s="113"/>
      <c r="BA679" s="113"/>
      <c r="BB679" s="113"/>
      <c r="BC679" s="113"/>
      <c r="BD679" s="113"/>
      <c r="BE679" s="113"/>
      <c r="BF679" s="113"/>
      <c r="BG679" s="113"/>
      <c r="BH679" s="113"/>
      <c r="BI679" s="113"/>
    </row>
    <row r="680" spans="1:61" s="45" customFormat="1" ht="24.6" hidden="1" customHeight="1">
      <c r="A680" s="1029"/>
      <c r="B680" s="643" t="s">
        <v>248</v>
      </c>
      <c r="C680" s="643"/>
      <c r="D680" s="643"/>
      <c r="E680" s="643"/>
      <c r="F680" s="643"/>
      <c r="G680" s="103"/>
      <c r="H680" s="103"/>
      <c r="I680" s="103"/>
      <c r="J680" s="103"/>
      <c r="K680" s="103"/>
      <c r="L680" s="103"/>
      <c r="M680" s="103"/>
      <c r="N680" s="703"/>
      <c r="O680" s="1037"/>
      <c r="AJ680" s="113"/>
      <c r="AK680" s="113"/>
      <c r="AL680" s="113"/>
      <c r="AM680" s="113"/>
      <c r="AN680" s="113"/>
      <c r="AO680" s="113"/>
      <c r="AP680" s="113"/>
      <c r="AQ680" s="113"/>
      <c r="AR680" s="113"/>
      <c r="AS680" s="113"/>
      <c r="AT680" s="113"/>
      <c r="AU680" s="113"/>
      <c r="AV680" s="113"/>
      <c r="AW680" s="113"/>
      <c r="AX680" s="113"/>
      <c r="AY680" s="113"/>
      <c r="AZ680" s="113"/>
      <c r="BA680" s="113"/>
      <c r="BB680" s="113"/>
      <c r="BC680" s="113"/>
      <c r="BD680" s="113"/>
      <c r="BE680" s="113"/>
      <c r="BF680" s="113"/>
      <c r="BG680" s="113"/>
      <c r="BH680" s="113"/>
      <c r="BI680" s="113"/>
    </row>
    <row r="681" spans="1:61" s="45" customFormat="1" ht="24.95" hidden="1" customHeight="1">
      <c r="A681" s="1039" t="s">
        <v>109</v>
      </c>
      <c r="B681" s="643" t="s">
        <v>89</v>
      </c>
      <c r="C681" s="643">
        <v>176</v>
      </c>
      <c r="D681" s="643" t="s">
        <v>15</v>
      </c>
      <c r="E681" s="643">
        <v>6100404</v>
      </c>
      <c r="F681" s="643">
        <v>243</v>
      </c>
      <c r="G681" s="103"/>
      <c r="H681" s="103"/>
      <c r="I681" s="103"/>
      <c r="J681" s="103"/>
      <c r="K681" s="103"/>
      <c r="L681" s="103"/>
      <c r="M681" s="103"/>
      <c r="N681" s="703"/>
      <c r="O681" s="1037" t="s">
        <v>317</v>
      </c>
      <c r="AJ681" s="113"/>
      <c r="AK681" s="113"/>
      <c r="AL681" s="113"/>
      <c r="AM681" s="113"/>
      <c r="AN681" s="113"/>
      <c r="AO681" s="113"/>
      <c r="AP681" s="113"/>
      <c r="AQ681" s="113"/>
      <c r="AR681" s="113"/>
      <c r="AS681" s="113"/>
      <c r="AT681" s="113"/>
      <c r="AU681" s="113"/>
      <c r="AV681" s="113"/>
      <c r="AW681" s="113"/>
      <c r="AX681" s="113"/>
      <c r="AY681" s="113"/>
      <c r="AZ681" s="113"/>
      <c r="BA681" s="113"/>
      <c r="BB681" s="113"/>
      <c r="BC681" s="113"/>
      <c r="BD681" s="113"/>
      <c r="BE681" s="113"/>
      <c r="BF681" s="113"/>
      <c r="BG681" s="113"/>
      <c r="BH681" s="113"/>
      <c r="BI681" s="113"/>
    </row>
    <row r="682" spans="1:61" ht="24.95" hidden="1" customHeight="1">
      <c r="A682" s="1039"/>
      <c r="B682" s="643" t="s">
        <v>248</v>
      </c>
      <c r="C682" s="643"/>
      <c r="D682" s="643"/>
      <c r="E682" s="643"/>
      <c r="F682" s="643"/>
      <c r="G682" s="103">
        <f>J682</f>
        <v>0</v>
      </c>
      <c r="H682" s="103"/>
      <c r="I682" s="103"/>
      <c r="J682" s="103"/>
      <c r="K682" s="103"/>
      <c r="L682" s="103"/>
      <c r="M682" s="103"/>
      <c r="N682" s="703"/>
      <c r="O682" s="1037"/>
    </row>
    <row r="683" spans="1:61" ht="24.95" hidden="1" customHeight="1">
      <c r="A683" s="1082" t="s">
        <v>105</v>
      </c>
      <c r="B683" s="62" t="s">
        <v>744</v>
      </c>
      <c r="C683" s="62"/>
      <c r="D683" s="62"/>
      <c r="E683" s="62"/>
      <c r="F683" s="62"/>
      <c r="G683" s="102">
        <f>K683</f>
        <v>0</v>
      </c>
      <c r="H683" s="102">
        <f t="shared" ref="H683:M683" si="252">H687+H689</f>
        <v>0</v>
      </c>
      <c r="I683" s="102">
        <f t="shared" si="252"/>
        <v>0</v>
      </c>
      <c r="J683" s="102">
        <f t="shared" si="252"/>
        <v>0</v>
      </c>
      <c r="K683" s="102">
        <f t="shared" si="252"/>
        <v>0</v>
      </c>
      <c r="L683" s="102">
        <f t="shared" si="252"/>
        <v>0</v>
      </c>
      <c r="M683" s="102">
        <f t="shared" si="252"/>
        <v>0</v>
      </c>
      <c r="N683" s="703"/>
      <c r="O683" s="709"/>
    </row>
    <row r="684" spans="1:61" ht="24.95" hidden="1" customHeight="1">
      <c r="A684" s="1082"/>
      <c r="B684" s="62" t="s">
        <v>446</v>
      </c>
      <c r="C684" s="62"/>
      <c r="D684" s="62"/>
      <c r="E684" s="62"/>
      <c r="F684" s="62"/>
      <c r="G684" s="102">
        <f t="shared" ref="G684:G696" si="253">K684</f>
        <v>0</v>
      </c>
      <c r="H684" s="102"/>
      <c r="I684" s="102"/>
      <c r="J684" s="102"/>
      <c r="K684" s="102">
        <f>K685+K686</f>
        <v>0</v>
      </c>
      <c r="L684" s="102">
        <f t="shared" ref="L684:M684" si="254">L685+L686</f>
        <v>0</v>
      </c>
      <c r="M684" s="102">
        <f t="shared" si="254"/>
        <v>0</v>
      </c>
      <c r="N684" s="703"/>
      <c r="O684" s="709"/>
    </row>
    <row r="685" spans="1:61" ht="24.95" hidden="1" customHeight="1">
      <c r="A685" s="1082"/>
      <c r="B685" s="62" t="s">
        <v>249</v>
      </c>
      <c r="C685" s="62"/>
      <c r="D685" s="62"/>
      <c r="E685" s="62"/>
      <c r="F685" s="62"/>
      <c r="G685" s="102">
        <f t="shared" si="253"/>
        <v>0</v>
      </c>
      <c r="H685" s="102"/>
      <c r="I685" s="102"/>
      <c r="J685" s="102"/>
      <c r="K685" s="102">
        <f>K688+K691+K695</f>
        <v>0</v>
      </c>
      <c r="L685" s="102">
        <f t="shared" ref="L685:M685" si="255">L688+L691+L695</f>
        <v>0</v>
      </c>
      <c r="M685" s="102">
        <f t="shared" si="255"/>
        <v>0</v>
      </c>
      <c r="N685" s="703"/>
      <c r="O685" s="709"/>
    </row>
    <row r="686" spans="1:61" ht="24.6" hidden="1" customHeight="1">
      <c r="A686" s="1082"/>
      <c r="B686" s="62" t="s">
        <v>502</v>
      </c>
      <c r="C686" s="62"/>
      <c r="D686" s="62"/>
      <c r="E686" s="62"/>
      <c r="F686" s="62"/>
      <c r="G686" s="102">
        <f t="shared" si="253"/>
        <v>0</v>
      </c>
      <c r="H686" s="102">
        <f t="shared" ref="H686:J686" si="256">H688+H692</f>
        <v>0</v>
      </c>
      <c r="I686" s="102">
        <f t="shared" si="256"/>
        <v>0</v>
      </c>
      <c r="J686" s="102">
        <f t="shared" si="256"/>
        <v>0</v>
      </c>
      <c r="K686" s="102">
        <f>K692+K696</f>
        <v>0</v>
      </c>
      <c r="L686" s="102">
        <f>L692+L696</f>
        <v>0</v>
      </c>
      <c r="M686" s="102">
        <f>M692+M696</f>
        <v>0</v>
      </c>
      <c r="N686" s="703"/>
      <c r="O686" s="709"/>
    </row>
    <row r="687" spans="1:61" ht="21.6" hidden="1" customHeight="1">
      <c r="A687" s="1028" t="s">
        <v>468</v>
      </c>
      <c r="B687" s="62" t="s">
        <v>744</v>
      </c>
      <c r="C687" s="643">
        <v>176</v>
      </c>
      <c r="D687" s="643" t="s">
        <v>15</v>
      </c>
      <c r="E687" s="643">
        <v>6100404</v>
      </c>
      <c r="F687" s="643">
        <v>243</v>
      </c>
      <c r="G687" s="102">
        <f t="shared" si="253"/>
        <v>0</v>
      </c>
      <c r="H687" s="103"/>
      <c r="I687" s="103"/>
      <c r="J687" s="103"/>
      <c r="K687" s="103"/>
      <c r="L687" s="103"/>
      <c r="M687" s="103"/>
      <c r="N687" s="703"/>
      <c r="O687" s="1037" t="s">
        <v>748</v>
      </c>
    </row>
    <row r="688" spans="1:61" ht="24.6" hidden="1" customHeight="1">
      <c r="A688" s="1029"/>
      <c r="B688" s="643" t="s">
        <v>248</v>
      </c>
      <c r="C688" s="643"/>
      <c r="D688" s="643"/>
      <c r="E688" s="643"/>
      <c r="F688" s="643"/>
      <c r="G688" s="102">
        <f t="shared" si="253"/>
        <v>0</v>
      </c>
      <c r="H688" s="103"/>
      <c r="I688" s="103"/>
      <c r="J688" s="103"/>
      <c r="K688" s="103"/>
      <c r="L688" s="103"/>
      <c r="M688" s="103"/>
      <c r="N688" s="703"/>
      <c r="O688" s="1037"/>
    </row>
    <row r="689" spans="1:61" ht="22.5" hidden="1" customHeight="1">
      <c r="A689" s="1081" t="s">
        <v>469</v>
      </c>
      <c r="B689" s="62" t="s">
        <v>744</v>
      </c>
      <c r="C689" s="643">
        <v>176</v>
      </c>
      <c r="D689" s="643" t="s">
        <v>15</v>
      </c>
      <c r="E689" s="643">
        <v>6100404</v>
      </c>
      <c r="F689" s="643">
        <v>243</v>
      </c>
      <c r="G689" s="103">
        <f t="shared" si="253"/>
        <v>0</v>
      </c>
      <c r="H689" s="103"/>
      <c r="I689" s="103"/>
      <c r="J689" s="103"/>
      <c r="K689" s="103"/>
      <c r="L689" s="103"/>
      <c r="M689" s="103"/>
      <c r="N689" s="703"/>
      <c r="O689" s="1037" t="s">
        <v>747</v>
      </c>
    </row>
    <row r="690" spans="1:61" ht="22.5" hidden="1" customHeight="1">
      <c r="A690" s="1081"/>
      <c r="B690" s="643" t="s">
        <v>446</v>
      </c>
      <c r="C690" s="643"/>
      <c r="D690" s="643"/>
      <c r="E690" s="643"/>
      <c r="F690" s="643"/>
      <c r="G690" s="103">
        <f t="shared" si="253"/>
        <v>0</v>
      </c>
      <c r="H690" s="103"/>
      <c r="I690" s="103"/>
      <c r="J690" s="103"/>
      <c r="K690" s="103">
        <f>K691+K692</f>
        <v>0</v>
      </c>
      <c r="L690" s="103"/>
      <c r="M690" s="103"/>
      <c r="N690" s="703"/>
      <c r="O690" s="1037"/>
    </row>
    <row r="691" spans="1:61" ht="22.5" hidden="1" customHeight="1">
      <c r="A691" s="1081"/>
      <c r="B691" s="643" t="s">
        <v>249</v>
      </c>
      <c r="C691" s="643"/>
      <c r="D691" s="643"/>
      <c r="E691" s="643"/>
      <c r="F691" s="643"/>
      <c r="G691" s="103">
        <f t="shared" si="253"/>
        <v>0</v>
      </c>
      <c r="H691" s="103"/>
      <c r="I691" s="103"/>
      <c r="J691" s="103"/>
      <c r="K691" s="103"/>
      <c r="L691" s="103"/>
      <c r="M691" s="103"/>
      <c r="N691" s="703"/>
      <c r="O691" s="1037"/>
    </row>
    <row r="692" spans="1:61" ht="22.9" hidden="1" customHeight="1">
      <c r="A692" s="1081"/>
      <c r="B692" s="643" t="s">
        <v>502</v>
      </c>
      <c r="C692" s="643"/>
      <c r="D692" s="643"/>
      <c r="E692" s="643"/>
      <c r="F692" s="643"/>
      <c r="G692" s="103">
        <f t="shared" si="253"/>
        <v>0</v>
      </c>
      <c r="H692" s="103"/>
      <c r="I692" s="103"/>
      <c r="J692" s="103"/>
      <c r="K692" s="103"/>
      <c r="L692" s="103"/>
      <c r="M692" s="103"/>
      <c r="N692" s="703"/>
      <c r="O692" s="1037"/>
    </row>
    <row r="693" spans="1:61" s="45" customFormat="1" ht="22.5" hidden="1" customHeight="1">
      <c r="A693" s="1081" t="s">
        <v>568</v>
      </c>
      <c r="B693" s="643" t="s">
        <v>744</v>
      </c>
      <c r="C693" s="643">
        <v>176</v>
      </c>
      <c r="D693" s="643" t="s">
        <v>15</v>
      </c>
      <c r="E693" s="643">
        <v>6100404</v>
      </c>
      <c r="F693" s="643">
        <v>243</v>
      </c>
      <c r="G693" s="102">
        <f t="shared" si="253"/>
        <v>0</v>
      </c>
      <c r="H693" s="103"/>
      <c r="I693" s="103"/>
      <c r="J693" s="103"/>
      <c r="K693" s="103"/>
      <c r="L693" s="103"/>
      <c r="M693" s="103"/>
      <c r="N693" s="703"/>
      <c r="O693" s="1037" t="s">
        <v>756</v>
      </c>
      <c r="AJ693" s="113"/>
      <c r="AK693" s="113"/>
      <c r="AL693" s="113"/>
      <c r="AM693" s="113"/>
      <c r="AN693" s="113"/>
      <c r="AO693" s="113"/>
      <c r="AP693" s="113"/>
      <c r="AQ693" s="113"/>
      <c r="AR693" s="113"/>
      <c r="AS693" s="113"/>
      <c r="AT693" s="113"/>
      <c r="AU693" s="113"/>
      <c r="AV693" s="113"/>
      <c r="AW693" s="113"/>
      <c r="AX693" s="113"/>
      <c r="AY693" s="113"/>
      <c r="AZ693" s="113"/>
      <c r="BA693" s="113"/>
      <c r="BB693" s="113"/>
      <c r="BC693" s="113"/>
      <c r="BD693" s="113"/>
      <c r="BE693" s="113"/>
      <c r="BF693" s="113"/>
      <c r="BG693" s="113"/>
      <c r="BH693" s="113"/>
      <c r="BI693" s="113"/>
    </row>
    <row r="694" spans="1:61" s="45" customFormat="1" ht="22.5" hidden="1" customHeight="1">
      <c r="A694" s="1081"/>
      <c r="B694" s="643" t="s">
        <v>446</v>
      </c>
      <c r="C694" s="643"/>
      <c r="D694" s="643"/>
      <c r="E694" s="643"/>
      <c r="F694" s="643"/>
      <c r="G694" s="103">
        <f t="shared" si="253"/>
        <v>0</v>
      </c>
      <c r="H694" s="103"/>
      <c r="I694" s="103"/>
      <c r="J694" s="103"/>
      <c r="K694" s="103">
        <f>K695+K696</f>
        <v>0</v>
      </c>
      <c r="L694" s="103"/>
      <c r="M694" s="103"/>
      <c r="N694" s="703"/>
      <c r="O694" s="1037"/>
      <c r="AJ694" s="113"/>
      <c r="AK694" s="113"/>
      <c r="AL694" s="113"/>
      <c r="AM694" s="113"/>
      <c r="AN694" s="113"/>
      <c r="AO694" s="113"/>
      <c r="AP694" s="113"/>
      <c r="AQ694" s="113"/>
      <c r="AR694" s="113"/>
      <c r="AS694" s="113"/>
      <c r="AT694" s="113"/>
      <c r="AU694" s="113"/>
      <c r="AV694" s="113"/>
      <c r="AW694" s="113"/>
      <c r="AX694" s="113"/>
      <c r="AY694" s="113"/>
      <c r="AZ694" s="113"/>
      <c r="BA694" s="113"/>
      <c r="BB694" s="113"/>
      <c r="BC694" s="113"/>
      <c r="BD694" s="113"/>
      <c r="BE694" s="113"/>
      <c r="BF694" s="113"/>
      <c r="BG694" s="113"/>
      <c r="BH694" s="113"/>
      <c r="BI694" s="113"/>
    </row>
    <row r="695" spans="1:61" s="45" customFormat="1" ht="22.5" hidden="1" customHeight="1">
      <c r="A695" s="1081"/>
      <c r="B695" s="643" t="s">
        <v>249</v>
      </c>
      <c r="C695" s="643"/>
      <c r="D695" s="643"/>
      <c r="E695" s="643"/>
      <c r="F695" s="643"/>
      <c r="G695" s="103">
        <f t="shared" si="253"/>
        <v>0</v>
      </c>
      <c r="H695" s="103"/>
      <c r="I695" s="103"/>
      <c r="J695" s="103"/>
      <c r="K695" s="103"/>
      <c r="L695" s="103"/>
      <c r="M695" s="103"/>
      <c r="N695" s="703"/>
      <c r="O695" s="1037"/>
      <c r="AJ695" s="113"/>
      <c r="AK695" s="113"/>
      <c r="AL695" s="113"/>
      <c r="AM695" s="113"/>
      <c r="AN695" s="113"/>
      <c r="AO695" s="113"/>
      <c r="AP695" s="113"/>
      <c r="AQ695" s="113"/>
      <c r="AR695" s="113"/>
      <c r="AS695" s="113"/>
      <c r="AT695" s="113"/>
      <c r="AU695" s="113"/>
      <c r="AV695" s="113"/>
      <c r="AW695" s="113"/>
      <c r="AX695" s="113"/>
      <c r="AY695" s="113"/>
      <c r="AZ695" s="113"/>
      <c r="BA695" s="113"/>
      <c r="BB695" s="113"/>
      <c r="BC695" s="113"/>
      <c r="BD695" s="113"/>
      <c r="BE695" s="113"/>
      <c r="BF695" s="113"/>
      <c r="BG695" s="113"/>
      <c r="BH695" s="113"/>
      <c r="BI695" s="113"/>
    </row>
    <row r="696" spans="1:61" ht="24.6" hidden="1" customHeight="1">
      <c r="A696" s="1081"/>
      <c r="B696" s="643" t="s">
        <v>502</v>
      </c>
      <c r="C696" s="643"/>
      <c r="D696" s="643"/>
      <c r="E696" s="643"/>
      <c r="F696" s="643"/>
      <c r="G696" s="102">
        <f t="shared" si="253"/>
        <v>0</v>
      </c>
      <c r="H696" s="103"/>
      <c r="I696" s="103"/>
      <c r="J696" s="103"/>
      <c r="K696" s="103"/>
      <c r="L696" s="103"/>
      <c r="M696" s="103"/>
      <c r="N696" s="703"/>
      <c r="O696" s="1037"/>
    </row>
    <row r="697" spans="1:61" ht="27.75" hidden="1" customHeight="1">
      <c r="A697" s="1038" t="s">
        <v>106</v>
      </c>
      <c r="B697" s="62" t="s">
        <v>89</v>
      </c>
      <c r="C697" s="62"/>
      <c r="D697" s="62"/>
      <c r="E697" s="62"/>
      <c r="F697" s="62"/>
      <c r="G697" s="102">
        <f t="shared" ref="G697:L698" si="257">G699+G703</f>
        <v>0</v>
      </c>
      <c r="H697" s="102"/>
      <c r="I697" s="102"/>
      <c r="J697" s="102"/>
      <c r="K697" s="102"/>
      <c r="L697" s="102">
        <f t="shared" si="257"/>
        <v>0</v>
      </c>
      <c r="M697" s="102">
        <f>M701</f>
        <v>5</v>
      </c>
      <c r="N697" s="703"/>
      <c r="O697" s="709"/>
    </row>
    <row r="698" spans="1:61" ht="24" hidden="1" customHeight="1">
      <c r="A698" s="1038"/>
      <c r="B698" s="62" t="s">
        <v>248</v>
      </c>
      <c r="C698" s="62"/>
      <c r="D698" s="62"/>
      <c r="E698" s="62"/>
      <c r="F698" s="62"/>
      <c r="G698" s="102">
        <f t="shared" si="257"/>
        <v>0</v>
      </c>
      <c r="H698" s="102"/>
      <c r="I698" s="102"/>
      <c r="J698" s="102"/>
      <c r="K698" s="102"/>
      <c r="L698" s="102">
        <f t="shared" si="257"/>
        <v>0</v>
      </c>
      <c r="M698" s="102">
        <f>M702</f>
        <v>215000</v>
      </c>
      <c r="N698" s="703"/>
      <c r="O698" s="709"/>
    </row>
    <row r="699" spans="1:61" ht="24" hidden="1" customHeight="1">
      <c r="A699" s="1039" t="s">
        <v>109</v>
      </c>
      <c r="B699" s="643" t="s">
        <v>89</v>
      </c>
      <c r="C699" s="643">
        <v>176</v>
      </c>
      <c r="D699" s="643" t="s">
        <v>15</v>
      </c>
      <c r="E699" s="643">
        <v>6100404</v>
      </c>
      <c r="F699" s="643">
        <v>243</v>
      </c>
      <c r="G699" s="103"/>
      <c r="H699" s="103"/>
      <c r="I699" s="103"/>
      <c r="J699" s="103"/>
      <c r="K699" s="103"/>
      <c r="L699" s="103"/>
      <c r="M699" s="103"/>
      <c r="N699" s="703"/>
      <c r="O699" s="1037" t="s">
        <v>294</v>
      </c>
    </row>
    <row r="700" spans="1:61" ht="24" hidden="1" customHeight="1">
      <c r="A700" s="1039"/>
      <c r="B700" s="643" t="s">
        <v>248</v>
      </c>
      <c r="C700" s="643"/>
      <c r="D700" s="643"/>
      <c r="E700" s="643"/>
      <c r="F700" s="643"/>
      <c r="G700" s="103"/>
      <c r="H700" s="103"/>
      <c r="I700" s="103"/>
      <c r="J700" s="103"/>
      <c r="K700" s="103"/>
      <c r="L700" s="103"/>
      <c r="M700" s="103"/>
      <c r="N700" s="703"/>
      <c r="O700" s="1037"/>
    </row>
    <row r="701" spans="1:61" ht="24" hidden="1" customHeight="1">
      <c r="A701" s="1039" t="s">
        <v>95</v>
      </c>
      <c r="B701" s="643" t="s">
        <v>89</v>
      </c>
      <c r="C701" s="643">
        <v>176</v>
      </c>
      <c r="D701" s="643" t="s">
        <v>15</v>
      </c>
      <c r="E701" s="643">
        <v>6100404</v>
      </c>
      <c r="F701" s="643">
        <v>243</v>
      </c>
      <c r="G701" s="103"/>
      <c r="H701" s="103"/>
      <c r="I701" s="103"/>
      <c r="J701" s="103"/>
      <c r="K701" s="103"/>
      <c r="L701" s="103"/>
      <c r="M701" s="103">
        <v>5</v>
      </c>
      <c r="N701" s="703"/>
      <c r="O701" s="1030" t="s">
        <v>226</v>
      </c>
    </row>
    <row r="702" spans="1:61" s="45" customFormat="1" ht="24" hidden="1" customHeight="1">
      <c r="A702" s="1039"/>
      <c r="B702" s="643" t="s">
        <v>248</v>
      </c>
      <c r="C702" s="643"/>
      <c r="D702" s="643"/>
      <c r="E702" s="643"/>
      <c r="F702" s="643"/>
      <c r="G702" s="103"/>
      <c r="H702" s="103"/>
      <c r="I702" s="103"/>
      <c r="J702" s="103"/>
      <c r="K702" s="103"/>
      <c r="L702" s="103"/>
      <c r="M702" s="103">
        <v>215000</v>
      </c>
      <c r="N702" s="703"/>
      <c r="O702" s="1031"/>
      <c r="AJ702" s="113"/>
      <c r="AK702" s="113"/>
      <c r="AL702" s="113"/>
      <c r="AM702" s="113"/>
      <c r="AN702" s="113"/>
      <c r="AO702" s="113"/>
      <c r="AP702" s="113"/>
      <c r="AQ702" s="113"/>
      <c r="AR702" s="113"/>
      <c r="AS702" s="113"/>
      <c r="AT702" s="113"/>
      <c r="AU702" s="113"/>
      <c r="AV702" s="113"/>
      <c r="AW702" s="113"/>
      <c r="AX702" s="113"/>
      <c r="AY702" s="113"/>
      <c r="AZ702" s="113"/>
      <c r="BA702" s="113"/>
      <c r="BB702" s="113"/>
      <c r="BC702" s="113"/>
      <c r="BD702" s="113"/>
      <c r="BE702" s="113"/>
      <c r="BF702" s="113"/>
      <c r="BG702" s="113"/>
      <c r="BH702" s="113"/>
      <c r="BI702" s="113"/>
    </row>
    <row r="703" spans="1:61" s="45" customFormat="1" ht="24.6" hidden="1" customHeight="1">
      <c r="A703" s="1039" t="s">
        <v>171</v>
      </c>
      <c r="B703" s="643" t="s">
        <v>89</v>
      </c>
      <c r="C703" s="643">
        <v>176</v>
      </c>
      <c r="D703" s="643" t="s">
        <v>15</v>
      </c>
      <c r="E703" s="643">
        <v>6100404</v>
      </c>
      <c r="F703" s="643">
        <v>243</v>
      </c>
      <c r="G703" s="103">
        <v>0</v>
      </c>
      <c r="H703" s="103"/>
      <c r="I703" s="103"/>
      <c r="J703" s="103"/>
      <c r="K703" s="103"/>
      <c r="L703" s="103"/>
      <c r="M703" s="103"/>
      <c r="N703" s="703"/>
      <c r="O703" s="1037" t="s">
        <v>31</v>
      </c>
      <c r="AJ703" s="113"/>
      <c r="AK703" s="113"/>
      <c r="AL703" s="113"/>
      <c r="AM703" s="113"/>
      <c r="AN703" s="113"/>
      <c r="AO703" s="113"/>
      <c r="AP703" s="113"/>
      <c r="AQ703" s="113"/>
      <c r="AR703" s="113"/>
      <c r="AS703" s="113"/>
      <c r="AT703" s="113"/>
      <c r="AU703" s="113"/>
      <c r="AV703" s="113"/>
      <c r="AW703" s="113"/>
      <c r="AX703" s="113"/>
      <c r="AY703" s="113"/>
      <c r="AZ703" s="113"/>
      <c r="BA703" s="113"/>
      <c r="BB703" s="113"/>
      <c r="BC703" s="113"/>
      <c r="BD703" s="113"/>
      <c r="BE703" s="113"/>
      <c r="BF703" s="113"/>
      <c r="BG703" s="113"/>
      <c r="BH703" s="113"/>
      <c r="BI703" s="113"/>
    </row>
    <row r="704" spans="1:61" ht="24.6" hidden="1" customHeight="1">
      <c r="A704" s="1039"/>
      <c r="B704" s="643" t="s">
        <v>248</v>
      </c>
      <c r="C704" s="643"/>
      <c r="D704" s="643"/>
      <c r="E704" s="643"/>
      <c r="F704" s="643"/>
      <c r="G704" s="103"/>
      <c r="H704" s="103"/>
      <c r="I704" s="103"/>
      <c r="J704" s="103"/>
      <c r="K704" s="103"/>
      <c r="L704" s="103"/>
      <c r="M704" s="103"/>
      <c r="N704" s="703"/>
      <c r="O704" s="1037"/>
    </row>
    <row r="705" spans="1:61" ht="24.95" hidden="1" customHeight="1">
      <c r="A705" s="1038" t="s">
        <v>137</v>
      </c>
      <c r="B705" s="62" t="s">
        <v>744</v>
      </c>
      <c r="C705" s="62"/>
      <c r="D705" s="62"/>
      <c r="E705" s="62"/>
      <c r="F705" s="62"/>
      <c r="G705" s="102">
        <f>K705</f>
        <v>0</v>
      </c>
      <c r="H705" s="102">
        <f t="shared" ref="H705:J705" si="258">-H711+H715+H719</f>
        <v>0</v>
      </c>
      <c r="I705" s="102">
        <f t="shared" si="258"/>
        <v>0</v>
      </c>
      <c r="J705" s="102">
        <f t="shared" si="258"/>
        <v>0</v>
      </c>
      <c r="K705" s="102">
        <f>K711</f>
        <v>0</v>
      </c>
      <c r="L705" s="102">
        <f>L711</f>
        <v>0</v>
      </c>
      <c r="M705" s="102">
        <f t="shared" ref="M705" si="259">-M711+M715+M719</f>
        <v>0</v>
      </c>
      <c r="N705" s="703"/>
      <c r="O705" s="709"/>
    </row>
    <row r="706" spans="1:61" ht="24.95" hidden="1" customHeight="1">
      <c r="A706" s="1038"/>
      <c r="B706" s="62" t="s">
        <v>446</v>
      </c>
      <c r="C706" s="62"/>
      <c r="D706" s="62"/>
      <c r="E706" s="62"/>
      <c r="F706" s="62"/>
      <c r="G706" s="102">
        <f t="shared" ref="G706:G708" si="260">K706</f>
        <v>0</v>
      </c>
      <c r="H706" s="102"/>
      <c r="I706" s="102"/>
      <c r="J706" s="102"/>
      <c r="K706" s="102">
        <f>K707+K708</f>
        <v>0</v>
      </c>
      <c r="L706" s="102">
        <f>L707+L708</f>
        <v>0</v>
      </c>
      <c r="M706" s="102"/>
      <c r="N706" s="703"/>
      <c r="O706" s="709"/>
    </row>
    <row r="707" spans="1:61" ht="24.95" hidden="1" customHeight="1">
      <c r="A707" s="1038"/>
      <c r="B707" s="62" t="s">
        <v>249</v>
      </c>
      <c r="C707" s="62"/>
      <c r="D707" s="62"/>
      <c r="E707" s="62"/>
      <c r="F707" s="62"/>
      <c r="G707" s="102">
        <f t="shared" si="260"/>
        <v>0</v>
      </c>
      <c r="H707" s="102"/>
      <c r="I707" s="102"/>
      <c r="J707" s="102"/>
      <c r="K707" s="102">
        <f>K713</f>
        <v>0</v>
      </c>
      <c r="L707" s="102">
        <f>L713</f>
        <v>0</v>
      </c>
      <c r="M707" s="102"/>
      <c r="N707" s="703"/>
      <c r="O707" s="709"/>
    </row>
    <row r="708" spans="1:61" ht="24.95" hidden="1" customHeight="1">
      <c r="A708" s="1038"/>
      <c r="B708" s="62" t="s">
        <v>502</v>
      </c>
      <c r="C708" s="62"/>
      <c r="D708" s="62"/>
      <c r="E708" s="62"/>
      <c r="F708" s="62"/>
      <c r="G708" s="102">
        <f t="shared" si="260"/>
        <v>0</v>
      </c>
      <c r="H708" s="102">
        <f t="shared" ref="H708:L708" si="261">H714</f>
        <v>0</v>
      </c>
      <c r="I708" s="102">
        <f t="shared" si="261"/>
        <v>0</v>
      </c>
      <c r="J708" s="102">
        <f t="shared" si="261"/>
        <v>0</v>
      </c>
      <c r="K708" s="102">
        <f t="shared" si="261"/>
        <v>0</v>
      </c>
      <c r="L708" s="102">
        <f t="shared" si="261"/>
        <v>0</v>
      </c>
      <c r="M708" s="102">
        <f>M709</f>
        <v>0</v>
      </c>
      <c r="N708" s="703"/>
      <c r="O708" s="709"/>
    </row>
    <row r="709" spans="1:61" ht="24" hidden="1" customHeight="1">
      <c r="A709" s="1038"/>
      <c r="B709" s="62" t="s">
        <v>333</v>
      </c>
      <c r="C709" s="62"/>
      <c r="D709" s="62"/>
      <c r="E709" s="62"/>
      <c r="F709" s="62"/>
      <c r="G709" s="102">
        <f>G717</f>
        <v>0</v>
      </c>
      <c r="H709" s="102">
        <f t="shared" ref="H709:K709" si="262">H717</f>
        <v>0</v>
      </c>
      <c r="I709" s="102">
        <f t="shared" si="262"/>
        <v>0</v>
      </c>
      <c r="J709" s="102">
        <f t="shared" si="262"/>
        <v>0</v>
      </c>
      <c r="K709" s="102">
        <f t="shared" si="262"/>
        <v>0</v>
      </c>
      <c r="L709" s="102">
        <f>L717+L714</f>
        <v>0</v>
      </c>
      <c r="M709" s="102">
        <f>M714</f>
        <v>0</v>
      </c>
      <c r="N709" s="703"/>
      <c r="O709" s="709"/>
    </row>
    <row r="710" spans="1:61" ht="24.6" hidden="1" customHeight="1">
      <c r="A710" s="1038"/>
      <c r="B710" s="62" t="s">
        <v>349</v>
      </c>
      <c r="C710" s="62"/>
      <c r="D710" s="62"/>
      <c r="E710" s="62"/>
      <c r="F710" s="62"/>
      <c r="G710" s="102">
        <f t="shared" ref="G710" si="263">G714+G718+G720</f>
        <v>0</v>
      </c>
      <c r="H710" s="102"/>
      <c r="I710" s="102"/>
      <c r="J710" s="102"/>
      <c r="K710" s="102"/>
      <c r="L710" s="102">
        <f>L718</f>
        <v>0</v>
      </c>
      <c r="M710" s="102"/>
      <c r="N710" s="703"/>
      <c r="O710" s="709"/>
    </row>
    <row r="711" spans="1:61" ht="24.95" hidden="1" customHeight="1">
      <c r="A711" s="1039" t="s">
        <v>109</v>
      </c>
      <c r="B711" s="643" t="s">
        <v>744</v>
      </c>
      <c r="C711" s="643">
        <v>176</v>
      </c>
      <c r="D711" s="643" t="s">
        <v>15</v>
      </c>
      <c r="E711" s="643">
        <v>6100404</v>
      </c>
      <c r="F711" s="643">
        <v>243</v>
      </c>
      <c r="G711" s="103">
        <f>K711</f>
        <v>0</v>
      </c>
      <c r="H711" s="103"/>
      <c r="I711" s="103"/>
      <c r="J711" s="103"/>
      <c r="K711" s="103"/>
      <c r="L711" s="103"/>
      <c r="M711" s="103"/>
      <c r="N711" s="703"/>
      <c r="O711" s="1037" t="s">
        <v>757</v>
      </c>
    </row>
    <row r="712" spans="1:61" ht="24.95" hidden="1" customHeight="1">
      <c r="A712" s="1039"/>
      <c r="B712" s="643" t="s">
        <v>446</v>
      </c>
      <c r="C712" s="643"/>
      <c r="D712" s="643"/>
      <c r="E712" s="643"/>
      <c r="F712" s="643"/>
      <c r="G712" s="103">
        <f t="shared" ref="G712:G714" si="264">K712</f>
        <v>0</v>
      </c>
      <c r="H712" s="103"/>
      <c r="I712" s="103"/>
      <c r="J712" s="103"/>
      <c r="K712" s="103">
        <f>K713+K714</f>
        <v>0</v>
      </c>
      <c r="L712" s="103">
        <f>L713+L714</f>
        <v>0</v>
      </c>
      <c r="M712" s="103"/>
      <c r="N712" s="703"/>
      <c r="O712" s="1037"/>
    </row>
    <row r="713" spans="1:61" ht="24.95" hidden="1" customHeight="1">
      <c r="A713" s="1039"/>
      <c r="B713" s="643" t="s">
        <v>249</v>
      </c>
      <c r="C713" s="643"/>
      <c r="D713" s="643"/>
      <c r="E713" s="643"/>
      <c r="F713" s="643"/>
      <c r="G713" s="103">
        <f t="shared" si="264"/>
        <v>0</v>
      </c>
      <c r="H713" s="103"/>
      <c r="I713" s="103"/>
      <c r="J713" s="103"/>
      <c r="K713" s="103"/>
      <c r="L713" s="103"/>
      <c r="M713" s="103"/>
      <c r="N713" s="703"/>
      <c r="O713" s="1037"/>
    </row>
    <row r="714" spans="1:61" ht="24.95" hidden="1" customHeight="1">
      <c r="A714" s="1039"/>
      <c r="B714" s="643" t="s">
        <v>502</v>
      </c>
      <c r="C714" s="643"/>
      <c r="D714" s="643"/>
      <c r="E714" s="643"/>
      <c r="F714" s="643"/>
      <c r="G714" s="103">
        <f t="shared" si="264"/>
        <v>0</v>
      </c>
      <c r="H714" s="103"/>
      <c r="I714" s="103"/>
      <c r="J714" s="103"/>
      <c r="K714" s="103"/>
      <c r="L714" s="103"/>
      <c r="M714" s="103"/>
      <c r="N714" s="703"/>
      <c r="O714" s="1037"/>
    </row>
    <row r="715" spans="1:61" ht="24.95" hidden="1" customHeight="1">
      <c r="A715" s="1039" t="s">
        <v>212</v>
      </c>
      <c r="B715" s="643" t="s">
        <v>89</v>
      </c>
      <c r="C715" s="643">
        <v>176</v>
      </c>
      <c r="D715" s="643" t="s">
        <v>15</v>
      </c>
      <c r="E715" s="643">
        <v>6100404</v>
      </c>
      <c r="F715" s="643">
        <v>243</v>
      </c>
      <c r="G715" s="103">
        <v>1.6180000000000001</v>
      </c>
      <c r="H715" s="103"/>
      <c r="I715" s="103"/>
      <c r="J715" s="103"/>
      <c r="K715" s="103"/>
      <c r="L715" s="103"/>
      <c r="M715" s="103"/>
      <c r="N715" s="703"/>
      <c r="O715" s="1037" t="s">
        <v>490</v>
      </c>
    </row>
    <row r="716" spans="1:61" ht="24" hidden="1" customHeight="1">
      <c r="A716" s="1039"/>
      <c r="B716" s="643" t="s">
        <v>248</v>
      </c>
      <c r="C716" s="643"/>
      <c r="D716" s="643"/>
      <c r="E716" s="643"/>
      <c r="F716" s="643"/>
      <c r="G716" s="103">
        <f>G717</f>
        <v>0</v>
      </c>
      <c r="H716" s="103"/>
      <c r="I716" s="103"/>
      <c r="J716" s="103">
        <f>J717</f>
        <v>0</v>
      </c>
      <c r="K716" s="103"/>
      <c r="L716" s="103"/>
      <c r="M716" s="103"/>
      <c r="N716" s="703"/>
      <c r="O716" s="1037"/>
    </row>
    <row r="717" spans="1:61" ht="24" hidden="1" customHeight="1">
      <c r="A717" s="1039"/>
      <c r="B717" s="643" t="s">
        <v>333</v>
      </c>
      <c r="C717" s="643"/>
      <c r="D717" s="643"/>
      <c r="E717" s="643"/>
      <c r="F717" s="643"/>
      <c r="G717" s="103">
        <f>J717</f>
        <v>0</v>
      </c>
      <c r="H717" s="103"/>
      <c r="I717" s="103"/>
      <c r="J717" s="103"/>
      <c r="K717" s="103"/>
      <c r="L717" s="103"/>
      <c r="M717" s="103"/>
      <c r="N717" s="703"/>
      <c r="O717" s="1037"/>
    </row>
    <row r="718" spans="1:61" s="45" customFormat="1" ht="24.6" hidden="1" customHeight="1">
      <c r="A718" s="1039"/>
      <c r="B718" s="643" t="s">
        <v>349</v>
      </c>
      <c r="C718" s="643"/>
      <c r="D718" s="643"/>
      <c r="E718" s="643"/>
      <c r="F718" s="643"/>
      <c r="G718" s="103"/>
      <c r="H718" s="103"/>
      <c r="I718" s="103"/>
      <c r="J718" s="103"/>
      <c r="K718" s="103"/>
      <c r="L718" s="103"/>
      <c r="M718" s="103"/>
      <c r="N718" s="703"/>
      <c r="O718" s="1037"/>
      <c r="AJ718" s="113"/>
      <c r="AK718" s="113"/>
      <c r="AL718" s="113"/>
      <c r="AM718" s="113"/>
      <c r="AN718" s="113"/>
      <c r="AO718" s="113"/>
      <c r="AP718" s="113"/>
      <c r="AQ718" s="113"/>
      <c r="AR718" s="113"/>
      <c r="AS718" s="113"/>
      <c r="AT718" s="113"/>
      <c r="AU718" s="113"/>
      <c r="AV718" s="113"/>
      <c r="AW718" s="113"/>
      <c r="AX718" s="113"/>
      <c r="AY718" s="113"/>
      <c r="AZ718" s="113"/>
      <c r="BA718" s="113"/>
      <c r="BB718" s="113"/>
      <c r="BC718" s="113"/>
      <c r="BD718" s="113"/>
      <c r="BE718" s="113"/>
      <c r="BF718" s="113"/>
      <c r="BG718" s="113"/>
      <c r="BH718" s="113"/>
      <c r="BI718" s="113"/>
    </row>
    <row r="719" spans="1:61" s="45" customFormat="1" ht="23.45" hidden="1" customHeight="1">
      <c r="A719" s="1039" t="s">
        <v>253</v>
      </c>
      <c r="B719" s="643" t="s">
        <v>89</v>
      </c>
      <c r="C719" s="643">
        <v>176</v>
      </c>
      <c r="D719" s="643" t="s">
        <v>15</v>
      </c>
      <c r="E719" s="643">
        <v>6100404</v>
      </c>
      <c r="F719" s="643">
        <v>243</v>
      </c>
      <c r="G719" s="103">
        <v>0</v>
      </c>
      <c r="H719" s="103"/>
      <c r="I719" s="103"/>
      <c r="J719" s="103"/>
      <c r="K719" s="103"/>
      <c r="L719" s="103"/>
      <c r="M719" s="103"/>
      <c r="N719" s="703"/>
      <c r="O719" s="1037" t="s">
        <v>320</v>
      </c>
      <c r="AJ719" s="113"/>
      <c r="AK719" s="113"/>
      <c r="AL719" s="113"/>
      <c r="AM719" s="113"/>
      <c r="AN719" s="113"/>
      <c r="AO719" s="113"/>
      <c r="AP719" s="113"/>
      <c r="AQ719" s="113"/>
      <c r="AR719" s="113"/>
      <c r="AS719" s="113"/>
      <c r="AT719" s="113"/>
      <c r="AU719" s="113"/>
      <c r="AV719" s="113"/>
      <c r="AW719" s="113"/>
      <c r="AX719" s="113"/>
      <c r="AY719" s="113"/>
      <c r="AZ719" s="113"/>
      <c r="BA719" s="113"/>
      <c r="BB719" s="113"/>
      <c r="BC719" s="113"/>
      <c r="BD719" s="113"/>
      <c r="BE719" s="113"/>
      <c r="BF719" s="113"/>
      <c r="BG719" s="113"/>
      <c r="BH719" s="113"/>
      <c r="BI719" s="113"/>
    </row>
    <row r="720" spans="1:61" ht="18.75" hidden="1" customHeight="1">
      <c r="A720" s="1039"/>
      <c r="B720" s="643" t="s">
        <v>248</v>
      </c>
      <c r="C720" s="643"/>
      <c r="D720" s="643"/>
      <c r="E720" s="643"/>
      <c r="F720" s="643"/>
      <c r="G720" s="103">
        <v>0</v>
      </c>
      <c r="H720" s="103"/>
      <c r="I720" s="103"/>
      <c r="J720" s="103"/>
      <c r="K720" s="103"/>
      <c r="L720" s="103"/>
      <c r="M720" s="103"/>
      <c r="N720" s="703"/>
      <c r="O720" s="1037"/>
    </row>
    <row r="721" spans="1:61" s="45" customFormat="1" ht="22.9" hidden="1" customHeight="1">
      <c r="A721" s="1028" t="s">
        <v>569</v>
      </c>
      <c r="B721" s="643" t="s">
        <v>744</v>
      </c>
      <c r="C721" s="643">
        <v>176</v>
      </c>
      <c r="D721" s="643" t="s">
        <v>15</v>
      </c>
      <c r="E721" s="643">
        <v>6100404</v>
      </c>
      <c r="F721" s="643">
        <v>243</v>
      </c>
      <c r="G721" s="102">
        <f t="shared" ref="G721:G724" si="265">K721</f>
        <v>0</v>
      </c>
      <c r="H721" s="103"/>
      <c r="I721" s="103"/>
      <c r="J721" s="103"/>
      <c r="K721" s="103"/>
      <c r="L721" s="103"/>
      <c r="M721" s="103"/>
      <c r="N721" s="703"/>
      <c r="O721" s="1037" t="s">
        <v>746</v>
      </c>
      <c r="AJ721" s="113"/>
      <c r="AK721" s="113"/>
      <c r="AL721" s="113"/>
      <c r="AM721" s="113"/>
      <c r="AN721" s="113"/>
      <c r="AO721" s="113"/>
      <c r="AP721" s="113"/>
      <c r="AQ721" s="113"/>
      <c r="AR721" s="113"/>
      <c r="AS721" s="113"/>
      <c r="AT721" s="113"/>
      <c r="AU721" s="113"/>
      <c r="AV721" s="113"/>
      <c r="AW721" s="113"/>
      <c r="AX721" s="113"/>
      <c r="AY721" s="113"/>
      <c r="AZ721" s="113"/>
      <c r="BA721" s="113"/>
      <c r="BB721" s="113"/>
      <c r="BC721" s="113"/>
      <c r="BD721" s="113"/>
      <c r="BE721" s="113"/>
      <c r="BF721" s="113"/>
      <c r="BG721" s="113"/>
      <c r="BH721" s="113"/>
      <c r="BI721" s="113"/>
    </row>
    <row r="722" spans="1:61" s="45" customFormat="1" ht="22.9" hidden="1" customHeight="1">
      <c r="A722" s="1036"/>
      <c r="B722" s="643" t="s">
        <v>446</v>
      </c>
      <c r="C722" s="643"/>
      <c r="D722" s="643"/>
      <c r="E722" s="643"/>
      <c r="F722" s="643"/>
      <c r="G722" s="102">
        <f t="shared" si="265"/>
        <v>0</v>
      </c>
      <c r="H722" s="103"/>
      <c r="I722" s="103"/>
      <c r="J722" s="103"/>
      <c r="K722" s="103"/>
      <c r="L722" s="103">
        <f>L723+L724</f>
        <v>0</v>
      </c>
      <c r="M722" s="103"/>
      <c r="N722" s="703"/>
      <c r="O722" s="1037"/>
      <c r="AJ722" s="113"/>
      <c r="AK722" s="113"/>
      <c r="AL722" s="113"/>
      <c r="AM722" s="113"/>
      <c r="AN722" s="113"/>
      <c r="AO722" s="113"/>
      <c r="AP722" s="113"/>
      <c r="AQ722" s="113"/>
      <c r="AR722" s="113"/>
      <c r="AS722" s="113"/>
      <c r="AT722" s="113"/>
      <c r="AU722" s="113"/>
      <c r="AV722" s="113"/>
      <c r="AW722" s="113"/>
      <c r="AX722" s="113"/>
      <c r="AY722" s="113"/>
      <c r="AZ722" s="113"/>
      <c r="BA722" s="113"/>
      <c r="BB722" s="113"/>
      <c r="BC722" s="113"/>
      <c r="BD722" s="113"/>
      <c r="BE722" s="113"/>
      <c r="BF722" s="113"/>
      <c r="BG722" s="113"/>
      <c r="BH722" s="113"/>
      <c r="BI722" s="113"/>
    </row>
    <row r="723" spans="1:61" s="45" customFormat="1" ht="22.9" hidden="1" customHeight="1">
      <c r="A723" s="1036"/>
      <c r="B723" s="643" t="s">
        <v>249</v>
      </c>
      <c r="C723" s="643"/>
      <c r="D723" s="643"/>
      <c r="E723" s="643"/>
      <c r="F723" s="643"/>
      <c r="G723" s="102">
        <f t="shared" si="265"/>
        <v>0</v>
      </c>
      <c r="H723" s="103"/>
      <c r="I723" s="103"/>
      <c r="J723" s="103"/>
      <c r="K723" s="103"/>
      <c r="L723" s="103"/>
      <c r="M723" s="103"/>
      <c r="N723" s="703"/>
      <c r="O723" s="1037"/>
      <c r="AJ723" s="113"/>
      <c r="AK723" s="113"/>
      <c r="AL723" s="113"/>
      <c r="AM723" s="113"/>
      <c r="AN723" s="113"/>
      <c r="AO723" s="113"/>
      <c r="AP723" s="113"/>
      <c r="AQ723" s="113"/>
      <c r="AR723" s="113"/>
      <c r="AS723" s="113"/>
      <c r="AT723" s="113"/>
      <c r="AU723" s="113"/>
      <c r="AV723" s="113"/>
      <c r="AW723" s="113"/>
      <c r="AX723" s="113"/>
      <c r="AY723" s="113"/>
      <c r="AZ723" s="113"/>
      <c r="BA723" s="113"/>
      <c r="BB723" s="113"/>
      <c r="BC723" s="113"/>
      <c r="BD723" s="113"/>
      <c r="BE723" s="113"/>
      <c r="BF723" s="113"/>
      <c r="BG723" s="113"/>
      <c r="BH723" s="113"/>
      <c r="BI723" s="113"/>
    </row>
    <row r="724" spans="1:61" ht="24.6" hidden="1" customHeight="1">
      <c r="A724" s="1029"/>
      <c r="B724" s="643" t="s">
        <v>502</v>
      </c>
      <c r="C724" s="643"/>
      <c r="D724" s="643"/>
      <c r="E724" s="643"/>
      <c r="F724" s="643"/>
      <c r="G724" s="102">
        <f t="shared" si="265"/>
        <v>0</v>
      </c>
      <c r="H724" s="103"/>
      <c r="I724" s="103"/>
      <c r="J724" s="103"/>
      <c r="K724" s="103"/>
      <c r="L724" s="103"/>
      <c r="M724" s="103"/>
      <c r="N724" s="703"/>
      <c r="O724" s="1037"/>
    </row>
    <row r="725" spans="1:61" ht="22.9" hidden="1" customHeight="1">
      <c r="A725" s="1038" t="s">
        <v>139</v>
      </c>
      <c r="B725" s="62" t="s">
        <v>744</v>
      </c>
      <c r="C725" s="62"/>
      <c r="D725" s="62"/>
      <c r="E725" s="62"/>
      <c r="F725" s="62"/>
      <c r="G725" s="102">
        <f>G731</f>
        <v>0</v>
      </c>
      <c r="H725" s="102">
        <f t="shared" ref="H725:M725" si="266">H731</f>
        <v>0</v>
      </c>
      <c r="I725" s="102">
        <f t="shared" si="266"/>
        <v>0</v>
      </c>
      <c r="J725" s="102">
        <f t="shared" si="266"/>
        <v>0</v>
      </c>
      <c r="K725" s="102">
        <f t="shared" si="266"/>
        <v>0</v>
      </c>
      <c r="L725" s="102">
        <f t="shared" si="266"/>
        <v>0</v>
      </c>
      <c r="M725" s="102">
        <f t="shared" si="266"/>
        <v>0</v>
      </c>
      <c r="N725" s="703"/>
      <c r="O725" s="709"/>
    </row>
    <row r="726" spans="1:61" ht="22.9" hidden="1" customHeight="1">
      <c r="A726" s="1038"/>
      <c r="B726" s="62" t="s">
        <v>446</v>
      </c>
      <c r="C726" s="62"/>
      <c r="D726" s="62"/>
      <c r="E726" s="62"/>
      <c r="F726" s="62"/>
      <c r="G726" s="102">
        <f t="shared" ref="G726:G734" si="267">K726</f>
        <v>0</v>
      </c>
      <c r="H726" s="102"/>
      <c r="I726" s="102"/>
      <c r="J726" s="102"/>
      <c r="K726" s="102">
        <f>K727+K728</f>
        <v>0</v>
      </c>
      <c r="L726" s="102"/>
      <c r="M726" s="102"/>
      <c r="N726" s="703"/>
      <c r="O726" s="709"/>
    </row>
    <row r="727" spans="1:61" ht="22.9" hidden="1" customHeight="1">
      <c r="A727" s="1038"/>
      <c r="B727" s="62" t="s">
        <v>249</v>
      </c>
      <c r="C727" s="62"/>
      <c r="D727" s="62"/>
      <c r="E727" s="62"/>
      <c r="F727" s="62"/>
      <c r="G727" s="102">
        <f t="shared" si="267"/>
        <v>0</v>
      </c>
      <c r="H727" s="102"/>
      <c r="I727" s="102"/>
      <c r="J727" s="102"/>
      <c r="K727" s="102">
        <f>K733</f>
        <v>0</v>
      </c>
      <c r="L727" s="102"/>
      <c r="M727" s="102"/>
      <c r="N727" s="703"/>
      <c r="O727" s="709"/>
    </row>
    <row r="728" spans="1:61" ht="24" hidden="1" customHeight="1">
      <c r="A728" s="1038"/>
      <c r="B728" s="62" t="s">
        <v>502</v>
      </c>
      <c r="C728" s="62"/>
      <c r="D728" s="62"/>
      <c r="E728" s="62"/>
      <c r="F728" s="62"/>
      <c r="G728" s="102">
        <f t="shared" si="267"/>
        <v>0</v>
      </c>
      <c r="H728" s="102"/>
      <c r="I728" s="102"/>
      <c r="J728" s="102">
        <f>J734</f>
        <v>0</v>
      </c>
      <c r="K728" s="102">
        <f>K734</f>
        <v>0</v>
      </c>
      <c r="L728" s="102">
        <f>L730+L734+L736</f>
        <v>0</v>
      </c>
      <c r="M728" s="102"/>
      <c r="N728" s="703"/>
      <c r="O728" s="709"/>
    </row>
    <row r="729" spans="1:61" ht="1.1499999999999999" hidden="1" customHeight="1">
      <c r="A729" s="1039" t="s">
        <v>170</v>
      </c>
      <c r="B729" s="643" t="s">
        <v>89</v>
      </c>
      <c r="C729" s="643">
        <v>176</v>
      </c>
      <c r="D729" s="643" t="s">
        <v>15</v>
      </c>
      <c r="E729" s="643">
        <v>6100404</v>
      </c>
      <c r="F729" s="643">
        <v>243</v>
      </c>
      <c r="G729" s="102">
        <f t="shared" si="267"/>
        <v>0</v>
      </c>
      <c r="H729" s="103"/>
      <c r="I729" s="103"/>
      <c r="J729" s="103"/>
      <c r="K729" s="103"/>
      <c r="L729" s="103"/>
      <c r="M729" s="103"/>
      <c r="N729" s="703"/>
      <c r="O729" s="1037" t="s">
        <v>232</v>
      </c>
    </row>
    <row r="730" spans="1:61" ht="24.6" hidden="1" customHeight="1">
      <c r="A730" s="1039"/>
      <c r="B730" s="643" t="s">
        <v>248</v>
      </c>
      <c r="C730" s="643"/>
      <c r="D730" s="643"/>
      <c r="E730" s="643"/>
      <c r="F730" s="643"/>
      <c r="G730" s="102">
        <f t="shared" si="267"/>
        <v>0</v>
      </c>
      <c r="H730" s="103"/>
      <c r="I730" s="103"/>
      <c r="J730" s="103"/>
      <c r="K730" s="103"/>
      <c r="L730" s="103"/>
      <c r="M730" s="103"/>
      <c r="N730" s="703"/>
      <c r="O730" s="1037"/>
    </row>
    <row r="731" spans="1:61" ht="19.5" hidden="1" customHeight="1">
      <c r="A731" s="1028" t="s">
        <v>109</v>
      </c>
      <c r="B731" s="643" t="s">
        <v>744</v>
      </c>
      <c r="C731" s="643">
        <v>176</v>
      </c>
      <c r="D731" s="643" t="s">
        <v>15</v>
      </c>
      <c r="E731" s="643">
        <v>6100404</v>
      </c>
      <c r="F731" s="643">
        <v>243</v>
      </c>
      <c r="G731" s="103">
        <f t="shared" si="267"/>
        <v>0</v>
      </c>
      <c r="H731" s="103"/>
      <c r="I731" s="103"/>
      <c r="J731" s="103"/>
      <c r="K731" s="103"/>
      <c r="L731" s="103"/>
      <c r="M731" s="103"/>
      <c r="N731" s="703"/>
      <c r="O731" s="1037" t="s">
        <v>757</v>
      </c>
    </row>
    <row r="732" spans="1:61" ht="15.75" hidden="1" customHeight="1">
      <c r="A732" s="1036"/>
      <c r="B732" s="643" t="s">
        <v>446</v>
      </c>
      <c r="C732" s="643"/>
      <c r="D732" s="643"/>
      <c r="E732" s="643"/>
      <c r="F732" s="643"/>
      <c r="G732" s="103">
        <f t="shared" si="267"/>
        <v>0</v>
      </c>
      <c r="H732" s="103"/>
      <c r="I732" s="103"/>
      <c r="J732" s="103"/>
      <c r="K732" s="103">
        <f>K733+K734</f>
        <v>0</v>
      </c>
      <c r="L732" s="103"/>
      <c r="M732" s="103"/>
      <c r="N732" s="703"/>
      <c r="O732" s="1037"/>
    </row>
    <row r="733" spans="1:61" ht="21" hidden="1" customHeight="1">
      <c r="A733" s="1036"/>
      <c r="B733" s="643" t="s">
        <v>249</v>
      </c>
      <c r="C733" s="643"/>
      <c r="D733" s="643"/>
      <c r="E733" s="643"/>
      <c r="F733" s="643"/>
      <c r="G733" s="103">
        <f t="shared" si="267"/>
        <v>0</v>
      </c>
      <c r="H733" s="103"/>
      <c r="I733" s="103"/>
      <c r="J733" s="103"/>
      <c r="K733" s="103"/>
      <c r="L733" s="103"/>
      <c r="M733" s="103"/>
      <c r="N733" s="703"/>
      <c r="O733" s="1037"/>
    </row>
    <row r="734" spans="1:61" s="45" customFormat="1" ht="18" hidden="1" customHeight="1">
      <c r="A734" s="1029"/>
      <c r="B734" s="643" t="s">
        <v>502</v>
      </c>
      <c r="C734" s="643"/>
      <c r="D734" s="643"/>
      <c r="E734" s="643"/>
      <c r="F734" s="643"/>
      <c r="G734" s="102">
        <f t="shared" si="267"/>
        <v>0</v>
      </c>
      <c r="H734" s="103"/>
      <c r="I734" s="103"/>
      <c r="J734" s="103"/>
      <c r="K734" s="103"/>
      <c r="L734" s="103"/>
      <c r="M734" s="103"/>
      <c r="N734" s="703"/>
      <c r="O734" s="1037"/>
      <c r="AJ734" s="113"/>
      <c r="AK734" s="113"/>
      <c r="AL734" s="113"/>
      <c r="AM734" s="113"/>
      <c r="AN734" s="113"/>
      <c r="AO734" s="113"/>
      <c r="AP734" s="113"/>
      <c r="AQ734" s="113"/>
      <c r="AR734" s="113"/>
      <c r="AS734" s="113"/>
      <c r="AT734" s="113"/>
      <c r="AU734" s="113"/>
      <c r="AV734" s="113"/>
      <c r="AW734" s="113"/>
      <c r="AX734" s="113"/>
      <c r="AY734" s="113"/>
      <c r="AZ734" s="113"/>
      <c r="BA734" s="113"/>
      <c r="BB734" s="113"/>
      <c r="BC734" s="113"/>
      <c r="BD734" s="113"/>
      <c r="BE734" s="113"/>
      <c r="BF734" s="113"/>
      <c r="BG734" s="113"/>
      <c r="BH734" s="113"/>
      <c r="BI734" s="113"/>
    </row>
    <row r="735" spans="1:61" s="45" customFormat="1" ht="0.6" customHeight="1">
      <c r="A735" s="1039" t="s">
        <v>227</v>
      </c>
      <c r="B735" s="643" t="s">
        <v>89</v>
      </c>
      <c r="C735" s="643"/>
      <c r="D735" s="643"/>
      <c r="E735" s="643"/>
      <c r="F735" s="643"/>
      <c r="G735" s="103"/>
      <c r="H735" s="103"/>
      <c r="I735" s="103"/>
      <c r="J735" s="103"/>
      <c r="K735" s="103"/>
      <c r="L735" s="103"/>
      <c r="M735" s="103"/>
      <c r="N735" s="703"/>
      <c r="O735" s="1037" t="s">
        <v>228</v>
      </c>
      <c r="AJ735" s="113"/>
      <c r="AK735" s="113"/>
      <c r="AL735" s="113"/>
      <c r="AM735" s="113"/>
      <c r="AN735" s="113"/>
      <c r="AO735" s="113"/>
      <c r="AP735" s="113"/>
      <c r="AQ735" s="113"/>
      <c r="AR735" s="113"/>
      <c r="AS735" s="113"/>
      <c r="AT735" s="113"/>
      <c r="AU735" s="113"/>
      <c r="AV735" s="113"/>
      <c r="AW735" s="113"/>
      <c r="AX735" s="113"/>
      <c r="AY735" s="113"/>
      <c r="AZ735" s="113"/>
      <c r="BA735" s="113"/>
      <c r="BB735" s="113"/>
      <c r="BC735" s="113"/>
      <c r="BD735" s="113"/>
      <c r="BE735" s="113"/>
      <c r="BF735" s="113"/>
      <c r="BG735" s="113"/>
      <c r="BH735" s="113"/>
      <c r="BI735" s="113"/>
    </row>
    <row r="736" spans="1:61" ht="24.6" hidden="1" customHeight="1">
      <c r="A736" s="1039"/>
      <c r="B736" s="643" t="s">
        <v>248</v>
      </c>
      <c r="C736" s="643"/>
      <c r="D736" s="643"/>
      <c r="E736" s="643"/>
      <c r="F736" s="643"/>
      <c r="G736" s="103"/>
      <c r="H736" s="103"/>
      <c r="I736" s="103"/>
      <c r="J736" s="103"/>
      <c r="K736" s="103"/>
      <c r="L736" s="103"/>
      <c r="M736" s="103"/>
      <c r="N736" s="703"/>
      <c r="O736" s="1037"/>
    </row>
    <row r="737" spans="1:61" ht="23.45" hidden="1" customHeight="1">
      <c r="A737" s="985" t="s">
        <v>140</v>
      </c>
      <c r="B737" s="62" t="s">
        <v>89</v>
      </c>
      <c r="C737" s="62"/>
      <c r="D737" s="62"/>
      <c r="E737" s="62"/>
      <c r="F737" s="62"/>
      <c r="G737" s="102">
        <f t="shared" ref="G737:L738" si="268">G739+G741</f>
        <v>0</v>
      </c>
      <c r="H737" s="102"/>
      <c r="I737" s="102"/>
      <c r="J737" s="102"/>
      <c r="K737" s="102">
        <f>K739</f>
        <v>0</v>
      </c>
      <c r="L737" s="102">
        <f t="shared" si="268"/>
        <v>0</v>
      </c>
      <c r="M737" s="102"/>
      <c r="N737" s="703"/>
      <c r="O737" s="709"/>
    </row>
    <row r="738" spans="1:61" ht="24.6" hidden="1" customHeight="1">
      <c r="A738" s="987"/>
      <c r="B738" s="62" t="s">
        <v>248</v>
      </c>
      <c r="C738" s="62"/>
      <c r="D738" s="62"/>
      <c r="E738" s="62"/>
      <c r="F738" s="62"/>
      <c r="G738" s="102">
        <f t="shared" si="268"/>
        <v>0</v>
      </c>
      <c r="H738" s="102"/>
      <c r="I738" s="102"/>
      <c r="J738" s="102"/>
      <c r="K738" s="102">
        <f>K740</f>
        <v>0</v>
      </c>
      <c r="L738" s="102">
        <f t="shared" si="268"/>
        <v>0</v>
      </c>
      <c r="M738" s="102"/>
      <c r="N738" s="703"/>
      <c r="O738" s="709"/>
    </row>
    <row r="739" spans="1:61" ht="21" hidden="1" customHeight="1">
      <c r="A739" s="1028" t="s">
        <v>109</v>
      </c>
      <c r="B739" s="643" t="s">
        <v>89</v>
      </c>
      <c r="C739" s="643">
        <v>176</v>
      </c>
      <c r="D739" s="643" t="s">
        <v>15</v>
      </c>
      <c r="E739" s="643">
        <v>6100404</v>
      </c>
      <c r="F739" s="643">
        <v>243</v>
      </c>
      <c r="G739" s="103"/>
      <c r="H739" s="103"/>
      <c r="I739" s="103"/>
      <c r="J739" s="103"/>
      <c r="K739" s="103"/>
      <c r="L739" s="103"/>
      <c r="M739" s="103"/>
      <c r="N739" s="703"/>
      <c r="O739" s="1037" t="s">
        <v>754</v>
      </c>
    </row>
    <row r="740" spans="1:61" ht="24" hidden="1" customHeight="1">
      <c r="A740" s="1029"/>
      <c r="B740" s="643" t="s">
        <v>248</v>
      </c>
      <c r="C740" s="643"/>
      <c r="D740" s="643"/>
      <c r="E740" s="643"/>
      <c r="F740" s="643"/>
      <c r="G740" s="103">
        <f>K740</f>
        <v>0</v>
      </c>
      <c r="H740" s="103"/>
      <c r="I740" s="103"/>
      <c r="J740" s="103"/>
      <c r="K740" s="103"/>
      <c r="L740" s="103"/>
      <c r="M740" s="103"/>
      <c r="N740" s="703"/>
      <c r="O740" s="1037"/>
    </row>
    <row r="741" spans="1:61" ht="24.6" hidden="1" customHeight="1">
      <c r="A741" s="1039" t="s">
        <v>169</v>
      </c>
      <c r="B741" s="643" t="s">
        <v>89</v>
      </c>
      <c r="C741" s="643">
        <v>176</v>
      </c>
      <c r="D741" s="643" t="s">
        <v>15</v>
      </c>
      <c r="E741" s="643">
        <v>6100404</v>
      </c>
      <c r="F741" s="643">
        <v>243</v>
      </c>
      <c r="G741" s="103">
        <v>0</v>
      </c>
      <c r="H741" s="103"/>
      <c r="I741" s="103"/>
      <c r="J741" s="103"/>
      <c r="K741" s="103"/>
      <c r="L741" s="103"/>
      <c r="M741" s="103"/>
      <c r="N741" s="703"/>
      <c r="O741" s="1037" t="s">
        <v>233</v>
      </c>
    </row>
    <row r="742" spans="1:61" s="45" customFormat="1" ht="24.6" hidden="1" customHeight="1">
      <c r="A742" s="1039"/>
      <c r="B742" s="643" t="s">
        <v>248</v>
      </c>
      <c r="C742" s="643"/>
      <c r="D742" s="643"/>
      <c r="E742" s="643"/>
      <c r="F742" s="643"/>
      <c r="G742" s="103"/>
      <c r="H742" s="103"/>
      <c r="I742" s="103"/>
      <c r="J742" s="103"/>
      <c r="K742" s="103"/>
      <c r="L742" s="103"/>
      <c r="M742" s="103"/>
      <c r="N742" s="703"/>
      <c r="O742" s="1037"/>
      <c r="AJ742" s="113"/>
      <c r="AK742" s="113"/>
      <c r="AL742" s="113"/>
      <c r="AM742" s="113"/>
      <c r="AN742" s="113"/>
      <c r="AO742" s="113"/>
      <c r="AP742" s="113"/>
      <c r="AQ742" s="113"/>
      <c r="AR742" s="113"/>
      <c r="AS742" s="113"/>
      <c r="AT742" s="113"/>
      <c r="AU742" s="113"/>
      <c r="AV742" s="113"/>
      <c r="AW742" s="113"/>
      <c r="AX742" s="113"/>
      <c r="AY742" s="113"/>
      <c r="AZ742" s="113"/>
      <c r="BA742" s="113"/>
      <c r="BB742" s="113"/>
      <c r="BC742" s="113"/>
      <c r="BD742" s="113"/>
      <c r="BE742" s="113"/>
      <c r="BF742" s="113"/>
      <c r="BG742" s="113"/>
      <c r="BH742" s="113"/>
      <c r="BI742" s="113"/>
    </row>
    <row r="743" spans="1:61" s="45" customFormat="1" ht="0.6" hidden="1" customHeight="1">
      <c r="A743" s="642" t="s">
        <v>115</v>
      </c>
      <c r="B743" s="643" t="s">
        <v>89</v>
      </c>
      <c r="C743" s="643">
        <v>176</v>
      </c>
      <c r="D743" s="643" t="s">
        <v>15</v>
      </c>
      <c r="E743" s="643">
        <v>6100404</v>
      </c>
      <c r="F743" s="643">
        <v>243</v>
      </c>
      <c r="G743" s="103"/>
      <c r="H743" s="103"/>
      <c r="I743" s="103"/>
      <c r="J743" s="103"/>
      <c r="K743" s="103"/>
      <c r="L743" s="103"/>
      <c r="M743" s="103"/>
      <c r="N743" s="703"/>
      <c r="O743" s="703" t="s">
        <v>35</v>
      </c>
      <c r="AJ743" s="113"/>
      <c r="AK743" s="113"/>
      <c r="AL743" s="113"/>
      <c r="AM743" s="113"/>
      <c r="AN743" s="113"/>
      <c r="AO743" s="113"/>
      <c r="AP743" s="113"/>
      <c r="AQ743" s="113"/>
      <c r="AR743" s="113"/>
      <c r="AS743" s="113"/>
      <c r="AT743" s="113"/>
      <c r="AU743" s="113"/>
      <c r="AV743" s="113"/>
      <c r="AW743" s="113"/>
      <c r="AX743" s="113"/>
      <c r="AY743" s="113"/>
      <c r="AZ743" s="113"/>
      <c r="BA743" s="113"/>
      <c r="BB743" s="113"/>
      <c r="BC743" s="113"/>
      <c r="BD743" s="113"/>
      <c r="BE743" s="113"/>
      <c r="BF743" s="113"/>
      <c r="BG743" s="113"/>
      <c r="BH743" s="113"/>
      <c r="BI743" s="113"/>
    </row>
    <row r="744" spans="1:61" ht="24.6" hidden="1" customHeight="1">
      <c r="A744" s="642"/>
      <c r="B744" s="643" t="s">
        <v>248</v>
      </c>
      <c r="C744" s="643"/>
      <c r="D744" s="643"/>
      <c r="E744" s="643"/>
      <c r="F744" s="643"/>
      <c r="G744" s="103"/>
      <c r="H744" s="103"/>
      <c r="I744" s="103"/>
      <c r="J744" s="103"/>
      <c r="K744" s="103"/>
      <c r="L744" s="103"/>
      <c r="M744" s="103"/>
      <c r="N744" s="703"/>
      <c r="O744" s="703"/>
    </row>
    <row r="745" spans="1:61" ht="24.95" customHeight="1">
      <c r="A745" s="1038" t="s">
        <v>141</v>
      </c>
      <c r="B745" s="62" t="s">
        <v>744</v>
      </c>
      <c r="C745" s="62"/>
      <c r="D745" s="62"/>
      <c r="E745" s="62"/>
      <c r="F745" s="62"/>
      <c r="G745" s="102">
        <f>K745</f>
        <v>1</v>
      </c>
      <c r="H745" s="102">
        <f t="shared" ref="H745:M746" si="269">H747+H749+H753</f>
        <v>0</v>
      </c>
      <c r="I745" s="102">
        <f t="shared" si="269"/>
        <v>0</v>
      </c>
      <c r="J745" s="102">
        <f t="shared" si="269"/>
        <v>0</v>
      </c>
      <c r="K745" s="102">
        <f t="shared" si="269"/>
        <v>1</v>
      </c>
      <c r="L745" s="102">
        <f t="shared" si="269"/>
        <v>1</v>
      </c>
      <c r="M745" s="102">
        <f t="shared" si="269"/>
        <v>0</v>
      </c>
      <c r="N745" s="703"/>
      <c r="O745" s="709"/>
    </row>
    <row r="746" spans="1:61" ht="24.6" customHeight="1">
      <c r="A746" s="1038"/>
      <c r="B746" s="62" t="s">
        <v>248</v>
      </c>
      <c r="C746" s="62"/>
      <c r="D746" s="62"/>
      <c r="E746" s="62"/>
      <c r="F746" s="62"/>
      <c r="G746" s="102">
        <f t="shared" ref="G746:G750" si="270">K746</f>
        <v>50449.2</v>
      </c>
      <c r="H746" s="102">
        <f t="shared" si="269"/>
        <v>0</v>
      </c>
      <c r="I746" s="102">
        <f t="shared" si="269"/>
        <v>0</v>
      </c>
      <c r="J746" s="102">
        <f t="shared" si="269"/>
        <v>0</v>
      </c>
      <c r="K746" s="102">
        <f t="shared" si="269"/>
        <v>50449.2</v>
      </c>
      <c r="L746" s="102">
        <f t="shared" si="269"/>
        <v>113000</v>
      </c>
      <c r="M746" s="102">
        <f t="shared" si="269"/>
        <v>0</v>
      </c>
      <c r="N746" s="703"/>
      <c r="O746" s="709"/>
    </row>
    <row r="747" spans="1:61" ht="33" hidden="1" customHeight="1">
      <c r="A747" s="1039" t="s">
        <v>109</v>
      </c>
      <c r="B747" s="643" t="s">
        <v>89</v>
      </c>
      <c r="C747" s="643">
        <v>176</v>
      </c>
      <c r="D747" s="643" t="s">
        <v>15</v>
      </c>
      <c r="E747" s="643">
        <v>6100404</v>
      </c>
      <c r="F747" s="643">
        <v>243</v>
      </c>
      <c r="G747" s="102">
        <f t="shared" si="270"/>
        <v>0</v>
      </c>
      <c r="H747" s="103"/>
      <c r="I747" s="103"/>
      <c r="J747" s="103"/>
      <c r="K747" s="103"/>
      <c r="L747" s="103"/>
      <c r="M747" s="103"/>
      <c r="N747" s="703"/>
      <c r="O747" s="1037" t="s">
        <v>294</v>
      </c>
    </row>
    <row r="748" spans="1:61" ht="34.5" hidden="1" customHeight="1">
      <c r="A748" s="1039"/>
      <c r="B748" s="643" t="s">
        <v>248</v>
      </c>
      <c r="C748" s="643"/>
      <c r="D748" s="643"/>
      <c r="E748" s="643"/>
      <c r="F748" s="643"/>
      <c r="G748" s="102">
        <f t="shared" si="270"/>
        <v>0</v>
      </c>
      <c r="H748" s="103"/>
      <c r="I748" s="103"/>
      <c r="J748" s="103"/>
      <c r="K748" s="103"/>
      <c r="L748" s="103"/>
      <c r="M748" s="103"/>
      <c r="N748" s="703"/>
      <c r="O748" s="1037"/>
    </row>
    <row r="749" spans="1:61" ht="23.25" customHeight="1">
      <c r="A749" s="1039" t="s">
        <v>168</v>
      </c>
      <c r="B749" s="643" t="s">
        <v>744</v>
      </c>
      <c r="C749" s="643">
        <v>176</v>
      </c>
      <c r="D749" s="643" t="s">
        <v>15</v>
      </c>
      <c r="E749" s="643">
        <v>6100404</v>
      </c>
      <c r="F749" s="643">
        <v>243</v>
      </c>
      <c r="G749" s="103">
        <f t="shared" si="270"/>
        <v>1</v>
      </c>
      <c r="H749" s="103"/>
      <c r="I749" s="103"/>
      <c r="J749" s="103"/>
      <c r="K749" s="103">
        <v>1</v>
      </c>
      <c r="L749" s="103">
        <v>1</v>
      </c>
      <c r="M749" s="103"/>
      <c r="N749" s="703"/>
      <c r="O749" s="1037" t="s">
        <v>745</v>
      </c>
    </row>
    <row r="750" spans="1:61" ht="22.5" customHeight="1">
      <c r="A750" s="1039"/>
      <c r="B750" s="643" t="s">
        <v>248</v>
      </c>
      <c r="C750" s="643"/>
      <c r="D750" s="643"/>
      <c r="E750" s="643"/>
      <c r="F750" s="643"/>
      <c r="G750" s="103">
        <f t="shared" si="270"/>
        <v>50449.2</v>
      </c>
      <c r="H750" s="103"/>
      <c r="I750" s="103"/>
      <c r="J750" s="103"/>
      <c r="K750" s="103">
        <v>50449.2</v>
      </c>
      <c r="L750" s="103">
        <v>113000</v>
      </c>
      <c r="M750" s="103"/>
      <c r="N750" s="703"/>
      <c r="O750" s="1037"/>
    </row>
    <row r="751" spans="1:61" ht="34.5" hidden="1" customHeight="1">
      <c r="A751" s="642" t="s">
        <v>167</v>
      </c>
      <c r="B751" s="643" t="s">
        <v>89</v>
      </c>
      <c r="C751" s="643">
        <v>176</v>
      </c>
      <c r="D751" s="643" t="s">
        <v>15</v>
      </c>
      <c r="E751" s="643">
        <v>6100404</v>
      </c>
      <c r="F751" s="643">
        <v>243</v>
      </c>
      <c r="G751" s="103"/>
      <c r="H751" s="103"/>
      <c r="I751" s="103"/>
      <c r="J751" s="103"/>
      <c r="K751" s="103"/>
      <c r="L751" s="103"/>
      <c r="M751" s="103"/>
      <c r="N751" s="703"/>
      <c r="O751" s="703" t="s">
        <v>35</v>
      </c>
    </row>
    <row r="752" spans="1:61" s="45" customFormat="1" ht="34.5" hidden="1" customHeight="1">
      <c r="A752" s="642"/>
      <c r="B752" s="643" t="s">
        <v>248</v>
      </c>
      <c r="C752" s="643"/>
      <c r="D752" s="643"/>
      <c r="E752" s="643"/>
      <c r="F752" s="643"/>
      <c r="G752" s="103"/>
      <c r="H752" s="103"/>
      <c r="I752" s="103"/>
      <c r="J752" s="103"/>
      <c r="K752" s="103"/>
      <c r="L752" s="103"/>
      <c r="M752" s="103"/>
      <c r="N752" s="703"/>
      <c r="O752" s="703"/>
      <c r="AJ752" s="113"/>
      <c r="AK752" s="113"/>
      <c r="AL752" s="113"/>
      <c r="AM752" s="113"/>
      <c r="AN752" s="113"/>
      <c r="AO752" s="113"/>
      <c r="AP752" s="113"/>
      <c r="AQ752" s="113"/>
      <c r="AR752" s="113"/>
      <c r="AS752" s="113"/>
      <c r="AT752" s="113"/>
      <c r="AU752" s="113"/>
      <c r="AV752" s="113"/>
      <c r="AW752" s="113"/>
      <c r="AX752" s="113"/>
      <c r="AY752" s="113"/>
      <c r="AZ752" s="113"/>
      <c r="BA752" s="113"/>
      <c r="BB752" s="113"/>
      <c r="BC752" s="113"/>
      <c r="BD752" s="113"/>
      <c r="BE752" s="113"/>
      <c r="BF752" s="113"/>
      <c r="BG752" s="113"/>
      <c r="BH752" s="113"/>
      <c r="BI752" s="113"/>
    </row>
    <row r="753" spans="1:61" s="45" customFormat="1" ht="34.5" hidden="1" customHeight="1">
      <c r="A753" s="1039" t="s">
        <v>166</v>
      </c>
      <c r="B753" s="643" t="s">
        <v>89</v>
      </c>
      <c r="C753" s="643">
        <v>176</v>
      </c>
      <c r="D753" s="643" t="s">
        <v>15</v>
      </c>
      <c r="E753" s="643">
        <v>6100404</v>
      </c>
      <c r="F753" s="643">
        <v>243</v>
      </c>
      <c r="G753" s="103">
        <f>K753</f>
        <v>0</v>
      </c>
      <c r="H753" s="103"/>
      <c r="I753" s="103"/>
      <c r="J753" s="103"/>
      <c r="K753" s="103"/>
      <c r="L753" s="103"/>
      <c r="M753" s="103"/>
      <c r="N753" s="703"/>
      <c r="O753" s="1037" t="s">
        <v>228</v>
      </c>
      <c r="AJ753" s="113"/>
      <c r="AK753" s="113"/>
      <c r="AL753" s="113"/>
      <c r="AM753" s="113"/>
      <c r="AN753" s="113"/>
      <c r="AO753" s="113"/>
      <c r="AP753" s="113"/>
      <c r="AQ753" s="113"/>
      <c r="AR753" s="113"/>
      <c r="AS753" s="113"/>
      <c r="AT753" s="113"/>
      <c r="AU753" s="113"/>
      <c r="AV753" s="113"/>
      <c r="AW753" s="113"/>
      <c r="AX753" s="113"/>
      <c r="AY753" s="113"/>
      <c r="AZ753" s="113"/>
      <c r="BA753" s="113"/>
      <c r="BB753" s="113"/>
      <c r="BC753" s="113"/>
      <c r="BD753" s="113"/>
      <c r="BE753" s="113"/>
      <c r="BF753" s="113"/>
      <c r="BG753" s="113"/>
      <c r="BH753" s="113"/>
      <c r="BI753" s="113"/>
    </row>
    <row r="754" spans="1:61" ht="34.5" hidden="1" customHeight="1">
      <c r="A754" s="1039"/>
      <c r="B754" s="643" t="s">
        <v>248</v>
      </c>
      <c r="C754" s="643"/>
      <c r="D754" s="643"/>
      <c r="E754" s="643"/>
      <c r="F754" s="643"/>
      <c r="G754" s="103">
        <f>K754</f>
        <v>0</v>
      </c>
      <c r="H754" s="103"/>
      <c r="I754" s="103"/>
      <c r="J754" s="103"/>
      <c r="K754" s="103"/>
      <c r="L754" s="103"/>
      <c r="M754" s="103"/>
      <c r="N754" s="703"/>
      <c r="O754" s="1037"/>
    </row>
    <row r="755" spans="1:61" ht="24.6" hidden="1" customHeight="1">
      <c r="A755" s="1038" t="s">
        <v>107</v>
      </c>
      <c r="B755" s="62" t="s">
        <v>89</v>
      </c>
      <c r="C755" s="62"/>
      <c r="D755" s="62"/>
      <c r="E755" s="62"/>
      <c r="F755" s="62"/>
      <c r="G755" s="102">
        <f t="shared" ref="G755:L756" si="271">G757+G759</f>
        <v>0</v>
      </c>
      <c r="H755" s="102">
        <f t="shared" si="271"/>
        <v>0</v>
      </c>
      <c r="I755" s="102">
        <f t="shared" si="271"/>
        <v>0</v>
      </c>
      <c r="J755" s="102">
        <f t="shared" si="271"/>
        <v>0</v>
      </c>
      <c r="K755" s="102"/>
      <c r="L755" s="102">
        <f t="shared" si="271"/>
        <v>0</v>
      </c>
      <c r="M755" s="102">
        <f>M757</f>
        <v>0</v>
      </c>
      <c r="N755" s="703"/>
      <c r="O755" s="709"/>
    </row>
    <row r="756" spans="1:61" ht="24.6" hidden="1" customHeight="1">
      <c r="A756" s="1038"/>
      <c r="B756" s="62" t="s">
        <v>248</v>
      </c>
      <c r="C756" s="62"/>
      <c r="D756" s="62"/>
      <c r="E756" s="62"/>
      <c r="F756" s="62"/>
      <c r="G756" s="102">
        <f t="shared" si="271"/>
        <v>0</v>
      </c>
      <c r="H756" s="102">
        <f t="shared" si="271"/>
        <v>0</v>
      </c>
      <c r="I756" s="102">
        <f t="shared" si="271"/>
        <v>0</v>
      </c>
      <c r="J756" s="102">
        <f t="shared" si="271"/>
        <v>0</v>
      </c>
      <c r="K756" s="102"/>
      <c r="L756" s="102">
        <f t="shared" si="271"/>
        <v>0</v>
      </c>
      <c r="M756" s="102">
        <f>M758</f>
        <v>0</v>
      </c>
      <c r="N756" s="703"/>
      <c r="O756" s="709"/>
    </row>
    <row r="757" spans="1:61" ht="29.45" hidden="1" customHeight="1">
      <c r="A757" s="1039" t="s">
        <v>535</v>
      </c>
      <c r="B757" s="643" t="s">
        <v>89</v>
      </c>
      <c r="C757" s="643">
        <v>176</v>
      </c>
      <c r="D757" s="643" t="s">
        <v>15</v>
      </c>
      <c r="E757" s="643">
        <v>6100404</v>
      </c>
      <c r="F757" s="643">
        <v>243</v>
      </c>
      <c r="G757" s="103">
        <f>J757</f>
        <v>0</v>
      </c>
      <c r="H757" s="103"/>
      <c r="I757" s="103"/>
      <c r="J757" s="103"/>
      <c r="K757" s="103"/>
      <c r="L757" s="103"/>
      <c r="M757" s="103"/>
      <c r="N757" s="703"/>
      <c r="O757" s="1037" t="s">
        <v>331</v>
      </c>
    </row>
    <row r="758" spans="1:61" s="45" customFormat="1" ht="28.5" hidden="1" customHeight="1">
      <c r="A758" s="1039"/>
      <c r="B758" s="643" t="s">
        <v>248</v>
      </c>
      <c r="C758" s="643"/>
      <c r="D758" s="643"/>
      <c r="E758" s="643"/>
      <c r="F758" s="643"/>
      <c r="G758" s="103">
        <f>J758</f>
        <v>0</v>
      </c>
      <c r="H758" s="103"/>
      <c r="I758" s="103"/>
      <c r="J758" s="103"/>
      <c r="K758" s="103"/>
      <c r="L758" s="103"/>
      <c r="M758" s="103"/>
      <c r="N758" s="703"/>
      <c r="O758" s="1037"/>
      <c r="AJ758" s="113"/>
      <c r="AK758" s="113"/>
      <c r="AL758" s="113"/>
      <c r="AM758" s="113"/>
      <c r="AN758" s="113"/>
      <c r="AO758" s="113"/>
      <c r="AP758" s="113"/>
      <c r="AQ758" s="113"/>
      <c r="AR758" s="113"/>
      <c r="AS758" s="113"/>
      <c r="AT758" s="113"/>
      <c r="AU758" s="113"/>
      <c r="AV758" s="113"/>
      <c r="AW758" s="113"/>
      <c r="AX758" s="113"/>
      <c r="AY758" s="113"/>
      <c r="AZ758" s="113"/>
      <c r="BA758" s="113"/>
      <c r="BB758" s="113"/>
      <c r="BC758" s="113"/>
      <c r="BD758" s="113"/>
      <c r="BE758" s="113"/>
      <c r="BF758" s="113"/>
      <c r="BG758" s="113"/>
      <c r="BH758" s="113"/>
      <c r="BI758" s="113"/>
    </row>
    <row r="759" spans="1:61" s="45" customFormat="1" ht="24.6" hidden="1" customHeight="1">
      <c r="A759" s="1039" t="s">
        <v>109</v>
      </c>
      <c r="B759" s="643" t="s">
        <v>89</v>
      </c>
      <c r="C759" s="643">
        <v>176</v>
      </c>
      <c r="D759" s="643" t="s">
        <v>15</v>
      </c>
      <c r="E759" s="643">
        <v>6100404</v>
      </c>
      <c r="F759" s="643">
        <v>243</v>
      </c>
      <c r="G759" s="103"/>
      <c r="H759" s="103"/>
      <c r="I759" s="103"/>
      <c r="J759" s="103"/>
      <c r="K759" s="103"/>
      <c r="L759" s="103"/>
      <c r="M759" s="103"/>
      <c r="N759" s="703"/>
      <c r="O759" s="1037" t="s">
        <v>294</v>
      </c>
      <c r="AJ759" s="113"/>
      <c r="AK759" s="113"/>
      <c r="AL759" s="113"/>
      <c r="AM759" s="113"/>
      <c r="AN759" s="113"/>
      <c r="AO759" s="113"/>
      <c r="AP759" s="113"/>
      <c r="AQ759" s="113"/>
      <c r="AR759" s="113"/>
      <c r="AS759" s="113"/>
      <c r="AT759" s="113"/>
      <c r="AU759" s="113"/>
      <c r="AV759" s="113"/>
      <c r="AW759" s="113"/>
      <c r="AX759" s="113"/>
      <c r="AY759" s="113"/>
      <c r="AZ759" s="113"/>
      <c r="BA759" s="113"/>
      <c r="BB759" s="113"/>
      <c r="BC759" s="113"/>
      <c r="BD759" s="113"/>
      <c r="BE759" s="113"/>
      <c r="BF759" s="113"/>
      <c r="BG759" s="113"/>
      <c r="BH759" s="113"/>
      <c r="BI759" s="113"/>
    </row>
    <row r="760" spans="1:61" ht="24.6" hidden="1" customHeight="1">
      <c r="A760" s="1039"/>
      <c r="B760" s="643" t="s">
        <v>248</v>
      </c>
      <c r="C760" s="643"/>
      <c r="D760" s="643"/>
      <c r="E760" s="643"/>
      <c r="F760" s="643"/>
      <c r="G760" s="103"/>
      <c r="H760" s="103"/>
      <c r="I760" s="103"/>
      <c r="J760" s="103"/>
      <c r="K760" s="103"/>
      <c r="L760" s="103"/>
      <c r="M760" s="103"/>
      <c r="N760" s="703"/>
      <c r="O760" s="1037"/>
    </row>
    <row r="761" spans="1:61" ht="24.95" hidden="1" customHeight="1">
      <c r="A761" s="1038" t="s">
        <v>142</v>
      </c>
      <c r="B761" s="62" t="s">
        <v>89</v>
      </c>
      <c r="C761" s="62"/>
      <c r="D761" s="62"/>
      <c r="E761" s="62"/>
      <c r="F761" s="62"/>
      <c r="G761" s="102"/>
      <c r="H761" s="102">
        <f t="shared" ref="G761:M762" si="272">H763+H765</f>
        <v>0</v>
      </c>
      <c r="I761" s="102">
        <f t="shared" si="272"/>
        <v>0</v>
      </c>
      <c r="J761" s="102">
        <f t="shared" si="272"/>
        <v>0</v>
      </c>
      <c r="K761" s="102">
        <f t="shared" si="272"/>
        <v>0</v>
      </c>
      <c r="L761" s="102">
        <f t="shared" si="272"/>
        <v>0</v>
      </c>
      <c r="M761" s="102">
        <f t="shared" si="272"/>
        <v>0</v>
      </c>
      <c r="N761" s="703"/>
      <c r="O761" s="709"/>
    </row>
    <row r="762" spans="1:61" ht="24.95" hidden="1" customHeight="1">
      <c r="A762" s="1038"/>
      <c r="B762" s="62" t="s">
        <v>248</v>
      </c>
      <c r="C762" s="62"/>
      <c r="D762" s="62"/>
      <c r="E762" s="62"/>
      <c r="F762" s="62"/>
      <c r="G762" s="102">
        <f t="shared" si="272"/>
        <v>0</v>
      </c>
      <c r="H762" s="102">
        <f t="shared" si="272"/>
        <v>0</v>
      </c>
      <c r="I762" s="102">
        <f t="shared" si="272"/>
        <v>0</v>
      </c>
      <c r="J762" s="102">
        <f t="shared" si="272"/>
        <v>0</v>
      </c>
      <c r="K762" s="102">
        <f t="shared" si="272"/>
        <v>0</v>
      </c>
      <c r="L762" s="102">
        <f t="shared" si="272"/>
        <v>0</v>
      </c>
      <c r="M762" s="102">
        <f t="shared" si="272"/>
        <v>0</v>
      </c>
      <c r="N762" s="703"/>
      <c r="O762" s="709"/>
    </row>
    <row r="763" spans="1:61" ht="24.95" hidden="1" customHeight="1">
      <c r="A763" s="1039" t="s">
        <v>321</v>
      </c>
      <c r="B763" s="643" t="s">
        <v>89</v>
      </c>
      <c r="C763" s="643">
        <v>176</v>
      </c>
      <c r="D763" s="643" t="s">
        <v>15</v>
      </c>
      <c r="E763" s="643">
        <v>6100404</v>
      </c>
      <c r="F763" s="643">
        <v>243</v>
      </c>
      <c r="G763" s="103"/>
      <c r="H763" s="103"/>
      <c r="I763" s="103"/>
      <c r="J763" s="103"/>
      <c r="K763" s="103"/>
      <c r="L763" s="103"/>
      <c r="M763" s="103"/>
      <c r="N763" s="703"/>
      <c r="O763" s="1037" t="s">
        <v>232</v>
      </c>
    </row>
    <row r="764" spans="1:61" ht="24" hidden="1" customHeight="1">
      <c r="A764" s="1039"/>
      <c r="B764" s="643" t="s">
        <v>248</v>
      </c>
      <c r="C764" s="643"/>
      <c r="D764" s="643"/>
      <c r="E764" s="643"/>
      <c r="F764" s="643"/>
      <c r="G764" s="103"/>
      <c r="H764" s="103"/>
      <c r="I764" s="103"/>
      <c r="J764" s="103"/>
      <c r="K764" s="103"/>
      <c r="L764" s="103"/>
      <c r="M764" s="103"/>
      <c r="N764" s="703"/>
      <c r="O764" s="1037"/>
    </row>
    <row r="765" spans="1:61" ht="24.6" hidden="1" customHeight="1">
      <c r="A765" s="1039" t="s">
        <v>109</v>
      </c>
      <c r="B765" s="643" t="s">
        <v>89</v>
      </c>
      <c r="C765" s="643">
        <v>176</v>
      </c>
      <c r="D765" s="643" t="s">
        <v>15</v>
      </c>
      <c r="E765" s="643">
        <v>6100404</v>
      </c>
      <c r="F765" s="643">
        <v>243</v>
      </c>
      <c r="G765" s="103"/>
      <c r="H765" s="103"/>
      <c r="I765" s="103"/>
      <c r="J765" s="103"/>
      <c r="K765" s="103"/>
      <c r="L765" s="103"/>
      <c r="M765" s="103"/>
      <c r="N765" s="703"/>
      <c r="O765" s="1037" t="s">
        <v>294</v>
      </c>
    </row>
    <row r="766" spans="1:61" ht="24.6" hidden="1" customHeight="1">
      <c r="A766" s="1039"/>
      <c r="B766" s="643" t="s">
        <v>248</v>
      </c>
      <c r="C766" s="643"/>
      <c r="D766" s="643"/>
      <c r="E766" s="643"/>
      <c r="F766" s="643"/>
      <c r="G766" s="103">
        <f>K766</f>
        <v>0</v>
      </c>
      <c r="H766" s="103"/>
      <c r="I766" s="103"/>
      <c r="J766" s="103"/>
      <c r="K766" s="103"/>
      <c r="L766" s="103"/>
      <c r="M766" s="103"/>
      <c r="N766" s="703"/>
      <c r="O766" s="1037"/>
    </row>
    <row r="767" spans="1:61" ht="60" hidden="1" customHeight="1">
      <c r="A767" s="78" t="s">
        <v>32</v>
      </c>
      <c r="B767" s="643" t="s">
        <v>248</v>
      </c>
      <c r="C767" s="643">
        <v>176</v>
      </c>
      <c r="D767" s="643" t="s">
        <v>15</v>
      </c>
      <c r="E767" s="643">
        <v>6100404</v>
      </c>
      <c r="F767" s="643">
        <v>243</v>
      </c>
      <c r="G767" s="102">
        <f>K767</f>
        <v>0</v>
      </c>
      <c r="H767" s="103"/>
      <c r="I767" s="103"/>
      <c r="J767" s="103"/>
      <c r="K767" s="103"/>
      <c r="L767" s="102"/>
      <c r="M767" s="102"/>
      <c r="N767" s="703"/>
      <c r="O767" s="674" t="s">
        <v>478</v>
      </c>
    </row>
    <row r="768" spans="1:61" ht="40.15" hidden="1" customHeight="1">
      <c r="A768" s="642" t="s">
        <v>208</v>
      </c>
      <c r="B768" s="643" t="s">
        <v>248</v>
      </c>
      <c r="C768" s="643"/>
      <c r="D768" s="643"/>
      <c r="E768" s="643"/>
      <c r="F768" s="643"/>
      <c r="G768" s="102"/>
      <c r="H768" s="103"/>
      <c r="I768" s="103"/>
      <c r="J768" s="103"/>
      <c r="K768" s="103"/>
      <c r="L768" s="103"/>
      <c r="M768" s="103"/>
      <c r="N768" s="703"/>
      <c r="O768" s="703" t="s">
        <v>449</v>
      </c>
    </row>
    <row r="769" spans="1:61" ht="26.25" customHeight="1">
      <c r="A769" s="1075" t="s">
        <v>992</v>
      </c>
      <c r="B769" s="770" t="s">
        <v>237</v>
      </c>
      <c r="C769" s="770"/>
      <c r="D769" s="770"/>
      <c r="E769" s="770"/>
      <c r="F769" s="770"/>
      <c r="G769" s="102">
        <f>G770</f>
        <v>3846.5</v>
      </c>
      <c r="H769" s="102">
        <f>H770</f>
        <v>3846.5</v>
      </c>
      <c r="I769" s="102"/>
      <c r="J769" s="102"/>
      <c r="K769" s="102"/>
      <c r="L769" s="102"/>
      <c r="M769" s="102"/>
      <c r="N769" s="1078"/>
      <c r="O769" s="1030" t="s">
        <v>926</v>
      </c>
    </row>
    <row r="770" spans="1:61" ht="18.75" customHeight="1">
      <c r="A770" s="1076"/>
      <c r="B770" s="770" t="s">
        <v>10</v>
      </c>
      <c r="C770" s="770"/>
      <c r="D770" s="770"/>
      <c r="E770" s="770"/>
      <c r="F770" s="770"/>
      <c r="G770" s="102">
        <f>H770</f>
        <v>3846.5</v>
      </c>
      <c r="H770" s="102">
        <v>3846.5</v>
      </c>
      <c r="I770" s="102"/>
      <c r="J770" s="102"/>
      <c r="K770" s="102"/>
      <c r="L770" s="102"/>
      <c r="M770" s="102"/>
      <c r="N770" s="1079"/>
      <c r="O770" s="1032"/>
    </row>
    <row r="771" spans="1:61" ht="18.75" customHeight="1">
      <c r="A771" s="1077"/>
      <c r="B771" s="770" t="s">
        <v>443</v>
      </c>
      <c r="C771" s="770"/>
      <c r="D771" s="770"/>
      <c r="E771" s="770"/>
      <c r="F771" s="770"/>
      <c r="G771" s="102"/>
      <c r="H771" s="102"/>
      <c r="I771" s="102"/>
      <c r="J771" s="102"/>
      <c r="K771" s="102"/>
      <c r="L771" s="102"/>
      <c r="M771" s="102"/>
      <c r="N771" s="1080"/>
      <c r="O771" s="1031"/>
    </row>
    <row r="772" spans="1:61" ht="24.95" customHeight="1">
      <c r="A772" s="1038" t="s">
        <v>811</v>
      </c>
      <c r="B772" s="62" t="s">
        <v>89</v>
      </c>
      <c r="C772" s="62"/>
      <c r="D772" s="62"/>
      <c r="E772" s="62"/>
      <c r="F772" s="62"/>
      <c r="G772" s="102">
        <f>K772</f>
        <v>89.4</v>
      </c>
      <c r="H772" s="102">
        <f t="shared" ref="H772:J772" si="273">H779+H787+H797+H807+H819+H831+H847+H859+H865+H877+H893+H910+H924+H938+H956+H963+H971+H985+H1003+H1043+H1057+H1069+H1075+H1087+H1103+H1109+H1117+H1129+H1135+H1143</f>
        <v>0</v>
      </c>
      <c r="I772" s="102">
        <f t="shared" si="273"/>
        <v>0</v>
      </c>
      <c r="J772" s="102">
        <f t="shared" si="273"/>
        <v>0</v>
      </c>
      <c r="K772" s="102">
        <f>K779+K787+K797+K807+K819+K831+K847+K859+K865+K877+K893+K910+K924+K938+K956+K963+K971+K985+K1003+K1043+K1057+K1069+K1075+K1087+K1103+K1109+K1117+K1129+K1135+K1143</f>
        <v>89.4</v>
      </c>
      <c r="L772" s="102">
        <f>L779+L787+L797+L807+L819+L831+L847+L859+L865+L877+L893+L910+L924+L938+L956+L963+L971+L985+L1003+L1043+L1057+L1069+L1075+L1087+L1103+L1109+L1117+L1129+L1135+L1143</f>
        <v>230.20000000000002</v>
      </c>
      <c r="M772" s="102">
        <f>M779+M787+M797+M807+M819+M831+M847+M859+M865+M877+M893+M910+M924+M938+M956+M963+M971+M985+M1003+M1043+M1057+M1069+M1075+M1087+M1103+M1109+M1117+M1129+M1135+M1143</f>
        <v>146.9</v>
      </c>
      <c r="N772" s="1037" t="s">
        <v>26</v>
      </c>
      <c r="O772" s="1037" t="s">
        <v>1126</v>
      </c>
    </row>
    <row r="773" spans="1:61" ht="24.95" customHeight="1">
      <c r="A773" s="1038"/>
      <c r="B773" s="62" t="s">
        <v>24</v>
      </c>
      <c r="C773" s="62"/>
      <c r="D773" s="62"/>
      <c r="E773" s="62"/>
      <c r="F773" s="62"/>
      <c r="G773" s="743">
        <f>G774/G772</f>
        <v>12407.747203579418</v>
      </c>
      <c r="H773" s="740"/>
      <c r="I773" s="740"/>
      <c r="J773" s="740"/>
      <c r="K773" s="740"/>
      <c r="L773" s="743">
        <f>L774/L772</f>
        <v>12394.999999999998</v>
      </c>
      <c r="M773" s="743">
        <f>M774/M772</f>
        <v>14594.196732471068</v>
      </c>
      <c r="N773" s="1037"/>
      <c r="O773" s="1037"/>
    </row>
    <row r="774" spans="1:61" ht="24.95" customHeight="1">
      <c r="A774" s="1038"/>
      <c r="B774" s="62" t="s">
        <v>25</v>
      </c>
      <c r="C774" s="62">
        <v>176</v>
      </c>
      <c r="D774" s="62" t="s">
        <v>15</v>
      </c>
      <c r="E774" s="62">
        <v>6100404</v>
      </c>
      <c r="F774" s="62">
        <v>244</v>
      </c>
      <c r="G774" s="102">
        <f>G775+G776+G777+G778</f>
        <v>1109252.6000000001</v>
      </c>
      <c r="H774" s="102">
        <f t="shared" ref="H774:M774" si="274">H775+H776+H777+H778</f>
        <v>0</v>
      </c>
      <c r="I774" s="102">
        <f t="shared" si="274"/>
        <v>0</v>
      </c>
      <c r="J774" s="102">
        <f t="shared" si="274"/>
        <v>0</v>
      </c>
      <c r="K774" s="102">
        <f t="shared" si="274"/>
        <v>1109252.6000000001</v>
      </c>
      <c r="L774" s="102">
        <f>L775+L776</f>
        <v>2853329</v>
      </c>
      <c r="M774" s="102">
        <f t="shared" si="274"/>
        <v>2143887.5</v>
      </c>
      <c r="N774" s="1037"/>
      <c r="O774" s="1037"/>
    </row>
    <row r="775" spans="1:61" ht="24.95" customHeight="1">
      <c r="A775" s="1038"/>
      <c r="B775" s="62" t="s">
        <v>10</v>
      </c>
      <c r="C775" s="62">
        <v>176</v>
      </c>
      <c r="D775" s="62" t="s">
        <v>15</v>
      </c>
      <c r="E775" s="62">
        <v>6100404</v>
      </c>
      <c r="F775" s="62">
        <v>244</v>
      </c>
      <c r="G775" s="102">
        <f>G781+G788+G799+G809+G821+G833+G848+G860+G866+G879+G895+G912+G926+G939+G958+G964+G973+G987+G1005+G1045+G1059+G1070+G1077+G1089+G1104+G1111+G1119+G1130+G1145</f>
        <v>977745.00000000012</v>
      </c>
      <c r="H775" s="102">
        <f>H781+H788+H799+H809+H821+H833+H848+H860+H866+H879+H895+H912+H926+H939+H958+H964+H973+H987+H1005+H1045+H1059+H1070+H1077+H1089+H1104+H1111+H1119+H1130+H1145</f>
        <v>0</v>
      </c>
      <c r="I775" s="102">
        <f>I781+I788+I799+I809+I821+I833+I848+I860+I866+I879+I895+I912+I926+I939+I958+I964+I973+I987+I1005+I1045+I1059+I1070+I1077+I1089+I1104+I1111+I1119+I1130+I1145</f>
        <v>0</v>
      </c>
      <c r="J775" s="102">
        <f>J781+J788+J799+J809+J821+J833+J848+J860+J866+J879+J895+J912+J926+J939+J958+J964+J973+J987+J1005+J1045+J1059+J1070+J1077+J1089+J1104+J1111+J1119+J1130+J1145</f>
        <v>0</v>
      </c>
      <c r="K775" s="102">
        <f>K781+K788+K799+K809+K821+K833+K848+K860+K866+K879+K895+K912+K926+K939+K958+K964+K973+K987+K1005+K1045+K1059+K1070+K1077+K1089+K1104+K1111+K1119+K1130+K1145</f>
        <v>977745.00000000012</v>
      </c>
      <c r="L775" s="102">
        <f>L781+L788+L798+L809+L821+L833+L848+L860+L866+L879+L895+L912+L926+L939+L958+L964+L973+L987+L1005+L1045+L1059+L1070+L1077+L1089+L1104+L1111+L1119+L1130+L1136+L1145</f>
        <v>2823329</v>
      </c>
      <c r="M775" s="102">
        <f>M781+M788+M798+M809+M821+M833+M848+M860+M866+M879+M895+M912+M926+M939+M958+M964+M973+M987+M1005+M1045+M1059+M1070+M1077+M1089+M1104+M1111+M1119+M1130+M1136+M1145</f>
        <v>2143887.5</v>
      </c>
      <c r="N775" s="1037"/>
      <c r="O775" s="1037"/>
      <c r="P775" s="122"/>
      <c r="Q775" s="47"/>
    </row>
    <row r="776" spans="1:61" s="45" customFormat="1" ht="24.6" customHeight="1">
      <c r="A776" s="1038"/>
      <c r="B776" s="62" t="s">
        <v>502</v>
      </c>
      <c r="C776" s="62"/>
      <c r="D776" s="62"/>
      <c r="E776" s="62"/>
      <c r="F776" s="62"/>
      <c r="G776" s="102">
        <f>G782+G800+G810+G822+G834+G880+G896+G913+G927+G959+G974+G988+G1006+G1046+G1060+G1078+G1090+G1112+G1120+G1146</f>
        <v>131507.6</v>
      </c>
      <c r="H776" s="102">
        <f>H782+H800+H810+H822+H834+H880+H896+H913+H927+H959+H974+H988+H1006+H1046+H1060+H1078+H1090+H1112+H1120+H1146</f>
        <v>0</v>
      </c>
      <c r="I776" s="102">
        <f>I782+I800+I810+I822+I834+I880+I896+I913+I927+I959+I974+I988+I1006+I1046+I1060+I1078+I1090+I1112+I1120+I1146</f>
        <v>0</v>
      </c>
      <c r="J776" s="102">
        <f>J782+J800+J810+J822+J834+J880+J896+J913+J927+J959+J974+J988+J1006+J1046+J1060+J1078+J1090+J1112+J1120+J1146</f>
        <v>0</v>
      </c>
      <c r="K776" s="102">
        <f>K782+K800+K810+K822+K834+K880+K896+K913+K927+K959+K974+K988+K1006+K1046+K1060+K1078+K1090+K1112+K1120+K1146</f>
        <v>131507.6</v>
      </c>
      <c r="L776" s="102">
        <f>L782+L822+L834+L880+L896+L913+L927+L959+L974+L988+L1006+L1046+L1060+L1078+L1090+L1112+L1120+L1146+L814</f>
        <v>30000</v>
      </c>
      <c r="M776" s="102">
        <f>M782+M822+M834+M880+M896+M913+M927+M959+M974+M988+M1006+M1046+M1060+M1078+M1090+M1112+M1120+M1146+M814</f>
        <v>0</v>
      </c>
      <c r="N776" s="1037"/>
      <c r="O776" s="1037"/>
      <c r="AJ776" s="113"/>
      <c r="AK776" s="113"/>
      <c r="AL776" s="113"/>
      <c r="AM776" s="113"/>
      <c r="AN776" s="113"/>
      <c r="AO776" s="113"/>
      <c r="AP776" s="113"/>
      <c r="AQ776" s="113"/>
      <c r="AR776" s="113"/>
      <c r="AS776" s="113"/>
      <c r="AT776" s="113"/>
      <c r="AU776" s="113"/>
      <c r="AV776" s="113"/>
      <c r="AW776" s="113"/>
      <c r="AX776" s="113"/>
      <c r="AY776" s="113"/>
      <c r="AZ776" s="113"/>
      <c r="BA776" s="113"/>
      <c r="BB776" s="113"/>
      <c r="BC776" s="113"/>
      <c r="BD776" s="113"/>
      <c r="BE776" s="113"/>
      <c r="BF776" s="113"/>
      <c r="BG776" s="113"/>
      <c r="BH776" s="113"/>
      <c r="BI776" s="113"/>
    </row>
    <row r="777" spans="1:61" s="45" customFormat="1" ht="24.95" customHeight="1">
      <c r="A777" s="1038"/>
      <c r="B777" s="62" t="s">
        <v>442</v>
      </c>
      <c r="C777" s="62"/>
      <c r="D777" s="62"/>
      <c r="E777" s="62"/>
      <c r="F777" s="62"/>
      <c r="G777" s="102">
        <v>0</v>
      </c>
      <c r="H777" s="102"/>
      <c r="I777" s="102"/>
      <c r="J777" s="102"/>
      <c r="K777" s="102"/>
      <c r="L777" s="102"/>
      <c r="M777" s="102"/>
      <c r="N777" s="1037"/>
      <c r="O777" s="1037"/>
      <c r="AJ777" s="113"/>
      <c r="AK777" s="113"/>
      <c r="AL777" s="113"/>
      <c r="AM777" s="113"/>
      <c r="AN777" s="113"/>
      <c r="AO777" s="113"/>
      <c r="AP777" s="113"/>
      <c r="AQ777" s="113"/>
      <c r="AR777" s="113"/>
      <c r="AS777" s="113"/>
      <c r="AT777" s="113"/>
      <c r="AU777" s="113"/>
      <c r="AV777" s="113"/>
      <c r="AW777" s="113"/>
      <c r="AX777" s="113"/>
      <c r="AY777" s="113"/>
      <c r="AZ777" s="113"/>
      <c r="BA777" s="113"/>
      <c r="BB777" s="113"/>
      <c r="BC777" s="113"/>
      <c r="BD777" s="113"/>
      <c r="BE777" s="113"/>
      <c r="BF777" s="113"/>
      <c r="BG777" s="113"/>
      <c r="BH777" s="113"/>
      <c r="BI777" s="113"/>
    </row>
    <row r="778" spans="1:61" ht="24.95" customHeight="1">
      <c r="A778" s="1038"/>
      <c r="B778" s="62" t="s">
        <v>454</v>
      </c>
      <c r="C778" s="62"/>
      <c r="D778" s="62"/>
      <c r="E778" s="62"/>
      <c r="F778" s="62"/>
      <c r="G778" s="102">
        <v>0</v>
      </c>
      <c r="H778" s="102"/>
      <c r="I778" s="102"/>
      <c r="J778" s="102"/>
      <c r="K778" s="102"/>
      <c r="L778" s="102"/>
      <c r="M778" s="102"/>
      <c r="N778" s="1037"/>
      <c r="O778" s="1037"/>
    </row>
    <row r="779" spans="1:61" ht="24.95" customHeight="1">
      <c r="A779" s="1038" t="s">
        <v>96</v>
      </c>
      <c r="B779" s="62" t="s">
        <v>89</v>
      </c>
      <c r="C779" s="62"/>
      <c r="D779" s="62"/>
      <c r="E779" s="62"/>
      <c r="F779" s="62"/>
      <c r="G779" s="102">
        <f>G783</f>
        <v>2</v>
      </c>
      <c r="H779" s="102">
        <f t="shared" ref="H779:K779" si="275">H783</f>
        <v>0</v>
      </c>
      <c r="I779" s="102">
        <f t="shared" si="275"/>
        <v>0</v>
      </c>
      <c r="J779" s="102">
        <f t="shared" si="275"/>
        <v>0</v>
      </c>
      <c r="K779" s="102">
        <f t="shared" si="275"/>
        <v>2</v>
      </c>
      <c r="L779" s="102">
        <f t="shared" ref="L779:M782" si="276">L783</f>
        <v>2</v>
      </c>
      <c r="M779" s="102">
        <f t="shared" si="276"/>
        <v>6</v>
      </c>
      <c r="N779" s="709"/>
      <c r="O779" s="709"/>
    </row>
    <row r="780" spans="1:61" ht="24.95" customHeight="1">
      <c r="A780" s="1038"/>
      <c r="B780" s="62" t="s">
        <v>25</v>
      </c>
      <c r="C780" s="62"/>
      <c r="D780" s="62"/>
      <c r="E780" s="62"/>
      <c r="F780" s="62"/>
      <c r="G780" s="102">
        <f>G781+G782</f>
        <v>15160.9</v>
      </c>
      <c r="H780" s="102">
        <f t="shared" ref="H780:K780" si="277">H781+H782</f>
        <v>0</v>
      </c>
      <c r="I780" s="102">
        <f t="shared" si="277"/>
        <v>0</v>
      </c>
      <c r="J780" s="102">
        <f t="shared" si="277"/>
        <v>0</v>
      </c>
      <c r="K780" s="102">
        <f t="shared" si="277"/>
        <v>15160.9</v>
      </c>
      <c r="L780" s="102">
        <f t="shared" si="276"/>
        <v>24000</v>
      </c>
      <c r="M780" s="102">
        <f t="shared" si="276"/>
        <v>100000</v>
      </c>
      <c r="N780" s="709"/>
      <c r="O780" s="709"/>
    </row>
    <row r="781" spans="1:61" ht="24.95" customHeight="1">
      <c r="A781" s="1038"/>
      <c r="B781" s="62" t="s">
        <v>10</v>
      </c>
      <c r="C781" s="62"/>
      <c r="D781" s="62"/>
      <c r="E781" s="62"/>
      <c r="F781" s="62"/>
      <c r="G781" s="102">
        <f>G784</f>
        <v>15160.9</v>
      </c>
      <c r="H781" s="102">
        <f t="shared" ref="H781:K781" si="278">H784</f>
        <v>0</v>
      </c>
      <c r="I781" s="102">
        <f t="shared" si="278"/>
        <v>0</v>
      </c>
      <c r="J781" s="102">
        <f t="shared" si="278"/>
        <v>0</v>
      </c>
      <c r="K781" s="102">
        <f t="shared" si="278"/>
        <v>15160.9</v>
      </c>
      <c r="L781" s="102">
        <f t="shared" si="276"/>
        <v>24000</v>
      </c>
      <c r="M781" s="102">
        <f t="shared" si="276"/>
        <v>100000</v>
      </c>
      <c r="N781" s="709"/>
      <c r="O781" s="709"/>
    </row>
    <row r="782" spans="1:61" s="45" customFormat="1" ht="24.95" customHeight="1">
      <c r="A782" s="1038"/>
      <c r="B782" s="62" t="s">
        <v>502</v>
      </c>
      <c r="C782" s="62"/>
      <c r="D782" s="62"/>
      <c r="E782" s="62"/>
      <c r="F782" s="62"/>
      <c r="G782" s="102">
        <f t="shared" ref="G782" si="279">G786</f>
        <v>0</v>
      </c>
      <c r="H782" s="102"/>
      <c r="I782" s="102"/>
      <c r="J782" s="102"/>
      <c r="K782" s="102"/>
      <c r="L782" s="102">
        <f t="shared" si="276"/>
        <v>0</v>
      </c>
      <c r="M782" s="102">
        <f t="shared" si="276"/>
        <v>0</v>
      </c>
      <c r="N782" s="709"/>
      <c r="O782" s="709"/>
      <c r="AJ782" s="113"/>
      <c r="AK782" s="113"/>
      <c r="AL782" s="113"/>
      <c r="AM782" s="113"/>
      <c r="AN782" s="113"/>
      <c r="AO782" s="113"/>
      <c r="AP782" s="113"/>
      <c r="AQ782" s="113"/>
      <c r="AR782" s="113"/>
      <c r="AS782" s="113"/>
      <c r="AT782" s="113"/>
      <c r="AU782" s="113"/>
      <c r="AV782" s="113"/>
      <c r="AW782" s="113"/>
      <c r="AX782" s="113"/>
      <c r="AY782" s="113"/>
      <c r="AZ782" s="113"/>
      <c r="BA782" s="113"/>
      <c r="BB782" s="113"/>
      <c r="BC782" s="113"/>
      <c r="BD782" s="113"/>
      <c r="BE782" s="113"/>
      <c r="BF782" s="113"/>
      <c r="BG782" s="113"/>
      <c r="BH782" s="113"/>
      <c r="BI782" s="113"/>
    </row>
    <row r="783" spans="1:61" s="45" customFormat="1" ht="24.95" customHeight="1">
      <c r="A783" s="1039" t="s">
        <v>150</v>
      </c>
      <c r="B783" s="643" t="s">
        <v>89</v>
      </c>
      <c r="C783" s="643">
        <v>176</v>
      </c>
      <c r="D783" s="643" t="s">
        <v>15</v>
      </c>
      <c r="E783" s="643">
        <v>6100404</v>
      </c>
      <c r="F783" s="643">
        <v>244</v>
      </c>
      <c r="G783" s="103">
        <f>K783</f>
        <v>2</v>
      </c>
      <c r="H783" s="103"/>
      <c r="I783" s="103"/>
      <c r="J783" s="103"/>
      <c r="K783" s="103">
        <v>2</v>
      </c>
      <c r="L783" s="103">
        <v>2</v>
      </c>
      <c r="M783" s="103">
        <v>6</v>
      </c>
      <c r="N783" s="703"/>
      <c r="O783" s="1037" t="s">
        <v>641</v>
      </c>
      <c r="AJ783" s="113"/>
      <c r="AK783" s="113"/>
      <c r="AL783" s="113"/>
      <c r="AM783" s="113"/>
      <c r="AN783" s="113"/>
      <c r="AO783" s="113"/>
      <c r="AP783" s="113"/>
      <c r="AQ783" s="113"/>
      <c r="AR783" s="113"/>
      <c r="AS783" s="113"/>
      <c r="AT783" s="113"/>
      <c r="AU783" s="113"/>
      <c r="AV783" s="113"/>
      <c r="AW783" s="113"/>
      <c r="AX783" s="113"/>
      <c r="AY783" s="113"/>
      <c r="AZ783" s="113"/>
      <c r="BA783" s="113"/>
      <c r="BB783" s="113"/>
      <c r="BC783" s="113"/>
      <c r="BD783" s="113"/>
      <c r="BE783" s="113"/>
      <c r="BF783" s="113"/>
      <c r="BG783" s="113"/>
      <c r="BH783" s="113"/>
      <c r="BI783" s="113"/>
    </row>
    <row r="784" spans="1:61" s="45" customFormat="1" ht="24.95" customHeight="1">
      <c r="A784" s="1039"/>
      <c r="B784" s="643" t="s">
        <v>25</v>
      </c>
      <c r="C784" s="643"/>
      <c r="D784" s="643"/>
      <c r="E784" s="643"/>
      <c r="F784" s="643"/>
      <c r="G784" s="103">
        <f t="shared" ref="G784:G785" si="280">K784</f>
        <v>15160.9</v>
      </c>
      <c r="H784" s="103"/>
      <c r="I784" s="103"/>
      <c r="J784" s="103"/>
      <c r="K784" s="103">
        <f>K785</f>
        <v>15160.9</v>
      </c>
      <c r="L784" s="103">
        <f>L785+L786</f>
        <v>24000</v>
      </c>
      <c r="M784" s="103">
        <f>M785+M786</f>
        <v>100000</v>
      </c>
      <c r="N784" s="703"/>
      <c r="O784" s="1037"/>
      <c r="AJ784" s="113"/>
      <c r="AK784" s="113"/>
      <c r="AL784" s="113"/>
      <c r="AM784" s="113"/>
      <c r="AN784" s="113"/>
      <c r="AO784" s="113"/>
      <c r="AP784" s="113"/>
      <c r="AQ784" s="113"/>
      <c r="AR784" s="113"/>
      <c r="AS784" s="113"/>
      <c r="AT784" s="113"/>
      <c r="AU784" s="113"/>
      <c r="AV784" s="113"/>
      <c r="AW784" s="113"/>
      <c r="AX784" s="113"/>
      <c r="AY784" s="113"/>
      <c r="AZ784" s="113"/>
      <c r="BA784" s="113"/>
      <c r="BB784" s="113"/>
      <c r="BC784" s="113"/>
      <c r="BD784" s="113"/>
      <c r="BE784" s="113"/>
      <c r="BF784" s="113"/>
      <c r="BG784" s="113"/>
      <c r="BH784" s="113"/>
      <c r="BI784" s="113"/>
    </row>
    <row r="785" spans="1:61" s="45" customFormat="1" ht="24.95" customHeight="1">
      <c r="A785" s="1039"/>
      <c r="B785" s="643" t="s">
        <v>10</v>
      </c>
      <c r="C785" s="643"/>
      <c r="D785" s="643"/>
      <c r="E785" s="643"/>
      <c r="F785" s="643"/>
      <c r="G785" s="103">
        <f t="shared" si="280"/>
        <v>15160.9</v>
      </c>
      <c r="H785" s="103"/>
      <c r="I785" s="103"/>
      <c r="J785" s="103"/>
      <c r="K785" s="103">
        <v>15160.9</v>
      </c>
      <c r="L785" s="103">
        <v>24000</v>
      </c>
      <c r="M785" s="103">
        <v>100000</v>
      </c>
      <c r="N785" s="703"/>
      <c r="O785" s="1037"/>
      <c r="AJ785" s="113"/>
      <c r="AK785" s="113"/>
      <c r="AL785" s="113"/>
      <c r="AM785" s="113"/>
      <c r="AN785" s="113"/>
      <c r="AO785" s="113"/>
      <c r="AP785" s="113"/>
      <c r="AQ785" s="113"/>
      <c r="AR785" s="113"/>
      <c r="AS785" s="113"/>
      <c r="AT785" s="113"/>
      <c r="AU785" s="113"/>
      <c r="AV785" s="113"/>
      <c r="AW785" s="113"/>
      <c r="AX785" s="113"/>
      <c r="AY785" s="113"/>
      <c r="AZ785" s="113"/>
      <c r="BA785" s="113"/>
      <c r="BB785" s="113"/>
      <c r="BC785" s="113"/>
      <c r="BD785" s="113"/>
      <c r="BE785" s="113"/>
      <c r="BF785" s="113"/>
      <c r="BG785" s="113"/>
      <c r="BH785" s="113"/>
      <c r="BI785" s="113"/>
    </row>
    <row r="786" spans="1:61" ht="24.95" customHeight="1">
      <c r="A786" s="1039"/>
      <c r="B786" s="643" t="s">
        <v>502</v>
      </c>
      <c r="C786" s="643"/>
      <c r="D786" s="643"/>
      <c r="E786" s="643"/>
      <c r="F786" s="643"/>
      <c r="G786" s="103"/>
      <c r="H786" s="103"/>
      <c r="I786" s="103"/>
      <c r="J786" s="103"/>
      <c r="K786" s="103"/>
      <c r="L786" s="103"/>
      <c r="M786" s="103"/>
      <c r="N786" s="703"/>
      <c r="O786" s="1037"/>
    </row>
    <row r="787" spans="1:61" ht="24" customHeight="1">
      <c r="A787" s="1038" t="s">
        <v>116</v>
      </c>
      <c r="B787" s="62" t="s">
        <v>89</v>
      </c>
      <c r="C787" s="62"/>
      <c r="D787" s="62"/>
      <c r="E787" s="62"/>
      <c r="F787" s="62"/>
      <c r="G787" s="102">
        <f>G789+G791+G793+G795</f>
        <v>4</v>
      </c>
      <c r="H787" s="102">
        <f t="shared" ref="H787:M787" si="281">H789+H791+H793+H795</f>
        <v>0</v>
      </c>
      <c r="I787" s="102">
        <f t="shared" si="281"/>
        <v>0</v>
      </c>
      <c r="J787" s="102">
        <f t="shared" si="281"/>
        <v>0</v>
      </c>
      <c r="K787" s="102">
        <f t="shared" si="281"/>
        <v>4</v>
      </c>
      <c r="L787" s="102">
        <f t="shared" si="281"/>
        <v>8.9</v>
      </c>
      <c r="M787" s="102">
        <f t="shared" si="281"/>
        <v>0</v>
      </c>
      <c r="N787" s="703"/>
      <c r="O787" s="709"/>
    </row>
    <row r="788" spans="1:61" ht="24.6" customHeight="1">
      <c r="A788" s="1038"/>
      <c r="B788" s="62" t="s">
        <v>248</v>
      </c>
      <c r="C788" s="62"/>
      <c r="D788" s="62"/>
      <c r="E788" s="62"/>
      <c r="F788" s="62"/>
      <c r="G788" s="102">
        <f>G790+G792+G794+G796</f>
        <v>31546.800000000003</v>
      </c>
      <c r="H788" s="102">
        <f t="shared" ref="H788:M788" si="282">H790+H792+H794+H796</f>
        <v>0</v>
      </c>
      <c r="I788" s="102">
        <f t="shared" si="282"/>
        <v>0</v>
      </c>
      <c r="J788" s="102">
        <f t="shared" si="282"/>
        <v>0</v>
      </c>
      <c r="K788" s="102">
        <f t="shared" si="282"/>
        <v>31546.800000000003</v>
      </c>
      <c r="L788" s="102">
        <f t="shared" si="282"/>
        <v>106428</v>
      </c>
      <c r="M788" s="102">
        <f t="shared" si="282"/>
        <v>0</v>
      </c>
      <c r="N788" s="703"/>
      <c r="O788" s="709"/>
    </row>
    <row r="789" spans="1:61" ht="25.15" customHeight="1">
      <c r="A789" s="1039" t="s">
        <v>151</v>
      </c>
      <c r="B789" s="643" t="s">
        <v>89</v>
      </c>
      <c r="C789" s="643">
        <v>176</v>
      </c>
      <c r="D789" s="643" t="s">
        <v>15</v>
      </c>
      <c r="E789" s="643">
        <v>6100404</v>
      </c>
      <c r="F789" s="643">
        <v>244</v>
      </c>
      <c r="G789" s="103">
        <v>0</v>
      </c>
      <c r="H789" s="103"/>
      <c r="I789" s="103"/>
      <c r="J789" s="103"/>
      <c r="K789" s="103"/>
      <c r="L789" s="103">
        <v>2</v>
      </c>
      <c r="M789" s="103"/>
      <c r="N789" s="703"/>
      <c r="O789" s="1037" t="s">
        <v>470</v>
      </c>
    </row>
    <row r="790" spans="1:61" s="45" customFormat="1" ht="23.25" customHeight="1">
      <c r="A790" s="1039"/>
      <c r="B790" s="643" t="s">
        <v>248</v>
      </c>
      <c r="C790" s="643"/>
      <c r="D790" s="643"/>
      <c r="E790" s="643"/>
      <c r="F790" s="643"/>
      <c r="G790" s="103"/>
      <c r="H790" s="103"/>
      <c r="I790" s="103"/>
      <c r="J790" s="103"/>
      <c r="K790" s="103"/>
      <c r="L790" s="103">
        <v>24000</v>
      </c>
      <c r="M790" s="103"/>
      <c r="N790" s="703"/>
      <c r="O790" s="1037"/>
      <c r="AJ790" s="113"/>
      <c r="AK790" s="113"/>
      <c r="AL790" s="113"/>
      <c r="AM790" s="113"/>
      <c r="AN790" s="113"/>
      <c r="AO790" s="113"/>
      <c r="AP790" s="113"/>
      <c r="AQ790" s="113"/>
      <c r="AR790" s="113"/>
      <c r="AS790" s="113"/>
      <c r="AT790" s="113"/>
      <c r="AU790" s="113"/>
      <c r="AV790" s="113"/>
      <c r="AW790" s="113"/>
      <c r="AX790" s="113"/>
      <c r="AY790" s="113"/>
      <c r="AZ790" s="113"/>
      <c r="BA790" s="113"/>
      <c r="BB790" s="113"/>
      <c r="BC790" s="113"/>
      <c r="BD790" s="113"/>
      <c r="BE790" s="113"/>
      <c r="BF790" s="113"/>
      <c r="BG790" s="113"/>
      <c r="BH790" s="113"/>
      <c r="BI790" s="113"/>
    </row>
    <row r="791" spans="1:61" s="45" customFormat="1" ht="23.25" customHeight="1">
      <c r="A791" s="1028" t="s">
        <v>572</v>
      </c>
      <c r="B791" s="643" t="s">
        <v>89</v>
      </c>
      <c r="C791" s="643"/>
      <c r="D791" s="643"/>
      <c r="E791" s="643"/>
      <c r="F791" s="643"/>
      <c r="G791" s="103">
        <f>K791</f>
        <v>4</v>
      </c>
      <c r="H791" s="103"/>
      <c r="I791" s="103"/>
      <c r="J791" s="103"/>
      <c r="K791" s="103">
        <v>4</v>
      </c>
      <c r="L791" s="103"/>
      <c r="M791" s="103"/>
      <c r="N791" s="703"/>
      <c r="O791" s="1030" t="s">
        <v>573</v>
      </c>
      <c r="AJ791" s="113"/>
      <c r="AK791" s="113"/>
      <c r="AL791" s="113"/>
      <c r="AM791" s="113"/>
      <c r="AN791" s="113"/>
      <c r="AO791" s="113"/>
      <c r="AP791" s="113"/>
      <c r="AQ791" s="113"/>
      <c r="AR791" s="113"/>
      <c r="AS791" s="113"/>
      <c r="AT791" s="113"/>
      <c r="AU791" s="113"/>
      <c r="AV791" s="113"/>
      <c r="AW791" s="113"/>
      <c r="AX791" s="113"/>
      <c r="AY791" s="113"/>
      <c r="AZ791" s="113"/>
      <c r="BA791" s="113"/>
      <c r="BB791" s="113"/>
      <c r="BC791" s="113"/>
      <c r="BD791" s="113"/>
      <c r="BE791" s="113"/>
      <c r="BF791" s="113"/>
      <c r="BG791" s="113"/>
      <c r="BH791" s="113"/>
      <c r="BI791" s="113"/>
    </row>
    <row r="792" spans="1:61" s="45" customFormat="1" ht="23.25" customHeight="1">
      <c r="A792" s="1029"/>
      <c r="B792" s="643" t="s">
        <v>248</v>
      </c>
      <c r="C792" s="643"/>
      <c r="D792" s="643"/>
      <c r="E792" s="643"/>
      <c r="F792" s="643"/>
      <c r="G792" s="103">
        <f>K792</f>
        <v>31546.800000000003</v>
      </c>
      <c r="H792" s="103"/>
      <c r="I792" s="103"/>
      <c r="J792" s="103"/>
      <c r="K792" s="103">
        <f>36846.8-5300</f>
        <v>31546.800000000003</v>
      </c>
      <c r="L792" s="103"/>
      <c r="M792" s="103"/>
      <c r="N792" s="703"/>
      <c r="O792" s="1031"/>
      <c r="AJ792" s="113"/>
      <c r="AK792" s="113"/>
      <c r="AL792" s="113"/>
      <c r="AM792" s="113"/>
      <c r="AN792" s="113"/>
      <c r="AO792" s="113"/>
      <c r="AP792" s="113"/>
      <c r="AQ792" s="113"/>
      <c r="AR792" s="113"/>
      <c r="AS792" s="113"/>
      <c r="AT792" s="113"/>
      <c r="AU792" s="113"/>
      <c r="AV792" s="113"/>
      <c r="AW792" s="113"/>
      <c r="AX792" s="113"/>
      <c r="AY792" s="113"/>
      <c r="AZ792" s="113"/>
      <c r="BA792" s="113"/>
      <c r="BB792" s="113"/>
      <c r="BC792" s="113"/>
      <c r="BD792" s="113"/>
      <c r="BE792" s="113"/>
      <c r="BF792" s="113"/>
      <c r="BG792" s="113"/>
      <c r="BH792" s="113"/>
      <c r="BI792" s="113"/>
    </row>
    <row r="793" spans="1:61" s="45" customFormat="1" ht="23.25" customHeight="1">
      <c r="A793" s="1028" t="s">
        <v>574</v>
      </c>
      <c r="B793" s="643" t="s">
        <v>89</v>
      </c>
      <c r="C793" s="643"/>
      <c r="D793" s="643"/>
      <c r="E793" s="643"/>
      <c r="F793" s="643"/>
      <c r="G793" s="103"/>
      <c r="H793" s="103"/>
      <c r="I793" s="103"/>
      <c r="J793" s="103"/>
      <c r="K793" s="103"/>
      <c r="L793" s="103">
        <v>4</v>
      </c>
      <c r="M793" s="103"/>
      <c r="N793" s="703"/>
      <c r="O793" s="1030" t="s">
        <v>573</v>
      </c>
      <c r="AJ793" s="113"/>
      <c r="AK793" s="113"/>
      <c r="AL793" s="113"/>
      <c r="AM793" s="113"/>
      <c r="AN793" s="113"/>
      <c r="AO793" s="113"/>
      <c r="AP793" s="113"/>
      <c r="AQ793" s="113"/>
      <c r="AR793" s="113"/>
      <c r="AS793" s="113"/>
      <c r="AT793" s="113"/>
      <c r="AU793" s="113"/>
      <c r="AV793" s="113"/>
      <c r="AW793" s="113"/>
      <c r="AX793" s="113"/>
      <c r="AY793" s="113"/>
      <c r="AZ793" s="113"/>
      <c r="BA793" s="113"/>
      <c r="BB793" s="113"/>
      <c r="BC793" s="113"/>
      <c r="BD793" s="113"/>
      <c r="BE793" s="113"/>
      <c r="BF793" s="113"/>
      <c r="BG793" s="113"/>
      <c r="BH793" s="113"/>
      <c r="BI793" s="113"/>
    </row>
    <row r="794" spans="1:61" s="45" customFormat="1" ht="23.25" customHeight="1">
      <c r="A794" s="1029"/>
      <c r="B794" s="643" t="s">
        <v>248</v>
      </c>
      <c r="C794" s="643"/>
      <c r="D794" s="643"/>
      <c r="E794" s="643"/>
      <c r="F794" s="643"/>
      <c r="G794" s="103"/>
      <c r="H794" s="103"/>
      <c r="I794" s="103"/>
      <c r="J794" s="103"/>
      <c r="K794" s="103"/>
      <c r="L794" s="103">
        <v>48000</v>
      </c>
      <c r="M794" s="103"/>
      <c r="N794" s="703"/>
      <c r="O794" s="1031"/>
      <c r="AJ794" s="113"/>
      <c r="AK794" s="113"/>
      <c r="AL794" s="113"/>
      <c r="AM794" s="113"/>
      <c r="AN794" s="113"/>
      <c r="AO794" s="113"/>
      <c r="AP794" s="113"/>
      <c r="AQ794" s="113"/>
      <c r="AR794" s="113"/>
      <c r="AS794" s="113"/>
      <c r="AT794" s="113"/>
      <c r="AU794" s="113"/>
      <c r="AV794" s="113"/>
      <c r="AW794" s="113"/>
      <c r="AX794" s="113"/>
      <c r="AY794" s="113"/>
      <c r="AZ794" s="113"/>
      <c r="BA794" s="113"/>
      <c r="BB794" s="113"/>
      <c r="BC794" s="113"/>
      <c r="BD794" s="113"/>
      <c r="BE794" s="113"/>
      <c r="BF794" s="113"/>
      <c r="BG794" s="113"/>
      <c r="BH794" s="113"/>
      <c r="BI794" s="113"/>
    </row>
    <row r="795" spans="1:61" ht="27" customHeight="1">
      <c r="A795" s="1028" t="s">
        <v>575</v>
      </c>
      <c r="B795" s="643" t="s">
        <v>89</v>
      </c>
      <c r="C795" s="643">
        <v>176</v>
      </c>
      <c r="D795" s="643" t="s">
        <v>15</v>
      </c>
      <c r="E795" s="643">
        <v>6100404</v>
      </c>
      <c r="F795" s="643">
        <v>244</v>
      </c>
      <c r="G795" s="103">
        <v>0</v>
      </c>
      <c r="H795" s="103"/>
      <c r="I795" s="103"/>
      <c r="J795" s="103"/>
      <c r="K795" s="103"/>
      <c r="L795" s="103">
        <v>2.9</v>
      </c>
      <c r="M795" s="103"/>
      <c r="N795" s="703"/>
      <c r="O795" s="1030" t="s">
        <v>576</v>
      </c>
    </row>
    <row r="796" spans="1:61" s="45" customFormat="1" ht="27.75" customHeight="1">
      <c r="A796" s="1029"/>
      <c r="B796" s="643" t="s">
        <v>248</v>
      </c>
      <c r="C796" s="643"/>
      <c r="D796" s="643"/>
      <c r="E796" s="643"/>
      <c r="F796" s="643"/>
      <c r="G796" s="103"/>
      <c r="H796" s="103"/>
      <c r="I796" s="103"/>
      <c r="J796" s="103"/>
      <c r="K796" s="103"/>
      <c r="L796" s="103">
        <v>34428</v>
      </c>
      <c r="M796" s="103"/>
      <c r="N796" s="703"/>
      <c r="O796" s="1031"/>
      <c r="AJ796" s="113"/>
      <c r="AK796" s="113"/>
      <c r="AL796" s="113"/>
      <c r="AM796" s="113"/>
      <c r="AN796" s="113"/>
      <c r="AO796" s="113"/>
      <c r="AP796" s="113"/>
      <c r="AQ796" s="113"/>
      <c r="AR796" s="113"/>
      <c r="AS796" s="113"/>
      <c r="AT796" s="113"/>
      <c r="AU796" s="113"/>
      <c r="AV796" s="113"/>
      <c r="AW796" s="113"/>
      <c r="AX796" s="113"/>
      <c r="AY796" s="113"/>
      <c r="AZ796" s="113"/>
      <c r="BA796" s="113"/>
      <c r="BB796" s="113"/>
      <c r="BC796" s="113"/>
      <c r="BD796" s="113"/>
      <c r="BE796" s="113"/>
      <c r="BF796" s="113"/>
      <c r="BG796" s="113"/>
      <c r="BH796" s="113"/>
      <c r="BI796" s="113"/>
    </row>
    <row r="797" spans="1:61" s="45" customFormat="1" ht="28.5" customHeight="1">
      <c r="A797" s="985" t="s">
        <v>97</v>
      </c>
      <c r="B797" s="62" t="s">
        <v>89</v>
      </c>
      <c r="C797" s="643"/>
      <c r="D797" s="643"/>
      <c r="E797" s="643"/>
      <c r="F797" s="643"/>
      <c r="G797" s="102">
        <f t="shared" ref="G797:M797" si="283">G801+G805</f>
        <v>5</v>
      </c>
      <c r="H797" s="102">
        <f t="shared" si="283"/>
        <v>0</v>
      </c>
      <c r="I797" s="102">
        <f t="shared" si="283"/>
        <v>0</v>
      </c>
      <c r="J797" s="102">
        <f t="shared" si="283"/>
        <v>0</v>
      </c>
      <c r="K797" s="102">
        <f t="shared" si="283"/>
        <v>5</v>
      </c>
      <c r="L797" s="102">
        <f t="shared" si="283"/>
        <v>5.3</v>
      </c>
      <c r="M797" s="102">
        <f t="shared" si="283"/>
        <v>2.2000000000000002</v>
      </c>
      <c r="N797" s="703"/>
      <c r="O797" s="702"/>
      <c r="AJ797" s="113"/>
      <c r="AK797" s="113"/>
      <c r="AL797" s="113"/>
      <c r="AM797" s="113"/>
      <c r="AN797" s="113"/>
      <c r="AO797" s="113"/>
      <c r="AP797" s="113"/>
      <c r="AQ797" s="113"/>
      <c r="AR797" s="113"/>
      <c r="AS797" s="113"/>
      <c r="AT797" s="113"/>
      <c r="AU797" s="113"/>
      <c r="AV797" s="113"/>
      <c r="AW797" s="113"/>
      <c r="AX797" s="113"/>
      <c r="AY797" s="113"/>
      <c r="AZ797" s="113"/>
      <c r="BA797" s="113"/>
      <c r="BB797" s="113"/>
      <c r="BC797" s="113"/>
      <c r="BD797" s="113"/>
      <c r="BE797" s="113"/>
      <c r="BF797" s="113"/>
      <c r="BG797" s="113"/>
      <c r="BH797" s="113"/>
      <c r="BI797" s="113"/>
    </row>
    <row r="798" spans="1:61" s="45" customFormat="1" ht="31.5" customHeight="1">
      <c r="A798" s="986"/>
      <c r="B798" s="62" t="s">
        <v>25</v>
      </c>
      <c r="C798" s="62"/>
      <c r="D798" s="62"/>
      <c r="E798" s="62"/>
      <c r="F798" s="62"/>
      <c r="G798" s="102">
        <f>G799+G800</f>
        <v>42730.9</v>
      </c>
      <c r="H798" s="102">
        <f t="shared" ref="H798:M798" si="284">H799+H800</f>
        <v>0</v>
      </c>
      <c r="I798" s="102">
        <f t="shared" si="284"/>
        <v>0</v>
      </c>
      <c r="J798" s="102">
        <f t="shared" si="284"/>
        <v>0</v>
      </c>
      <c r="K798" s="102">
        <f t="shared" si="284"/>
        <v>42730.9</v>
      </c>
      <c r="L798" s="102">
        <f t="shared" si="284"/>
        <v>64000</v>
      </c>
      <c r="M798" s="102">
        <f t="shared" si="284"/>
        <v>32800</v>
      </c>
      <c r="N798" s="703"/>
      <c r="O798" s="709"/>
      <c r="AJ798" s="113"/>
      <c r="AK798" s="113"/>
      <c r="AL798" s="113"/>
      <c r="AM798" s="113"/>
      <c r="AN798" s="113"/>
      <c r="AO798" s="113"/>
      <c r="AP798" s="113"/>
      <c r="AQ798" s="113"/>
      <c r="AR798" s="113"/>
      <c r="AS798" s="113"/>
      <c r="AT798" s="113"/>
      <c r="AU798" s="113"/>
      <c r="AV798" s="113"/>
      <c r="AW798" s="113"/>
      <c r="AX798" s="113"/>
      <c r="AY798" s="113"/>
      <c r="AZ798" s="113"/>
      <c r="BA798" s="113"/>
      <c r="BB798" s="113"/>
      <c r="BC798" s="113"/>
      <c r="BD798" s="113"/>
      <c r="BE798" s="113"/>
      <c r="BF798" s="113"/>
      <c r="BG798" s="113"/>
      <c r="BH798" s="113"/>
      <c r="BI798" s="113"/>
    </row>
    <row r="799" spans="1:61" s="45" customFormat="1" ht="31.5" customHeight="1">
      <c r="A799" s="986"/>
      <c r="B799" s="62" t="s">
        <v>10</v>
      </c>
      <c r="C799" s="62"/>
      <c r="D799" s="62"/>
      <c r="E799" s="62"/>
      <c r="F799" s="62"/>
      <c r="G799" s="102">
        <f>G803+G806</f>
        <v>42730.9</v>
      </c>
      <c r="H799" s="102">
        <f t="shared" ref="H799:M799" si="285">H803+H806</f>
        <v>0</v>
      </c>
      <c r="I799" s="102">
        <f t="shared" si="285"/>
        <v>0</v>
      </c>
      <c r="J799" s="102">
        <f t="shared" si="285"/>
        <v>0</v>
      </c>
      <c r="K799" s="102">
        <f t="shared" si="285"/>
        <v>42730.9</v>
      </c>
      <c r="L799" s="102">
        <f t="shared" si="285"/>
        <v>64000</v>
      </c>
      <c r="M799" s="102">
        <f t="shared" si="285"/>
        <v>32800</v>
      </c>
      <c r="N799" s="703"/>
      <c r="O799" s="707"/>
      <c r="AJ799" s="113"/>
      <c r="AK799" s="113"/>
      <c r="AL799" s="113"/>
      <c r="AM799" s="113"/>
      <c r="AN799" s="113"/>
      <c r="AO799" s="113"/>
      <c r="AP799" s="113"/>
      <c r="AQ799" s="113"/>
      <c r="AR799" s="113"/>
      <c r="AS799" s="113"/>
      <c r="AT799" s="113"/>
      <c r="AU799" s="113"/>
      <c r="AV799" s="113"/>
      <c r="AW799" s="113"/>
      <c r="AX799" s="113"/>
      <c r="AY799" s="113"/>
      <c r="AZ799" s="113"/>
      <c r="BA799" s="113"/>
      <c r="BB799" s="113"/>
      <c r="BC799" s="113"/>
      <c r="BD799" s="113"/>
      <c r="BE799" s="113"/>
      <c r="BF799" s="113"/>
      <c r="BG799" s="113"/>
      <c r="BH799" s="113"/>
      <c r="BI799" s="113"/>
    </row>
    <row r="800" spans="1:61" s="45" customFormat="1" ht="31.5" customHeight="1">
      <c r="A800" s="987"/>
      <c r="B800" s="62" t="s">
        <v>502</v>
      </c>
      <c r="C800" s="62"/>
      <c r="D800" s="62"/>
      <c r="E800" s="62"/>
      <c r="F800" s="62"/>
      <c r="G800" s="102">
        <f>G804</f>
        <v>0</v>
      </c>
      <c r="H800" s="102">
        <f t="shared" ref="H800:M800" si="286">H804</f>
        <v>0</v>
      </c>
      <c r="I800" s="102">
        <f t="shared" si="286"/>
        <v>0</v>
      </c>
      <c r="J800" s="102">
        <f t="shared" si="286"/>
        <v>0</v>
      </c>
      <c r="K800" s="102">
        <f t="shared" si="286"/>
        <v>0</v>
      </c>
      <c r="L800" s="102">
        <f t="shared" si="286"/>
        <v>0</v>
      </c>
      <c r="M800" s="102">
        <f t="shared" si="286"/>
        <v>0</v>
      </c>
      <c r="N800" s="703"/>
      <c r="O800" s="707"/>
      <c r="AJ800" s="113"/>
      <c r="AK800" s="113"/>
      <c r="AL800" s="113"/>
      <c r="AM800" s="113"/>
      <c r="AN800" s="113"/>
      <c r="AO800" s="113"/>
      <c r="AP800" s="113"/>
      <c r="AQ800" s="113"/>
      <c r="AR800" s="113"/>
      <c r="AS800" s="113"/>
      <c r="AT800" s="113"/>
      <c r="AU800" s="113"/>
      <c r="AV800" s="113"/>
      <c r="AW800" s="113"/>
      <c r="AX800" s="113"/>
      <c r="AY800" s="113"/>
      <c r="AZ800" s="113"/>
      <c r="BA800" s="113"/>
      <c r="BB800" s="113"/>
      <c r="BC800" s="113"/>
      <c r="BD800" s="113"/>
      <c r="BE800" s="113"/>
      <c r="BF800" s="113"/>
      <c r="BG800" s="113"/>
      <c r="BH800" s="113"/>
      <c r="BI800" s="113"/>
    </row>
    <row r="801" spans="1:61" s="45" customFormat="1" ht="24" customHeight="1">
      <c r="A801" s="1028" t="s">
        <v>577</v>
      </c>
      <c r="B801" s="643" t="s">
        <v>89</v>
      </c>
      <c r="C801" s="62"/>
      <c r="D801" s="62"/>
      <c r="E801" s="62"/>
      <c r="F801" s="62"/>
      <c r="G801" s="103">
        <f>K801</f>
        <v>2</v>
      </c>
      <c r="H801" s="103"/>
      <c r="I801" s="103"/>
      <c r="J801" s="103"/>
      <c r="K801" s="103">
        <v>2</v>
      </c>
      <c r="L801" s="103">
        <v>2.2999999999999998</v>
      </c>
      <c r="M801" s="103"/>
      <c r="N801" s="703"/>
      <c r="O801" s="1030" t="s">
        <v>876</v>
      </c>
      <c r="AJ801" s="113"/>
      <c r="AK801" s="113"/>
      <c r="AL801" s="113"/>
      <c r="AM801" s="113"/>
      <c r="AN801" s="113"/>
      <c r="AO801" s="113"/>
      <c r="AP801" s="113"/>
      <c r="AQ801" s="113"/>
      <c r="AR801" s="113"/>
      <c r="AS801" s="113"/>
      <c r="AT801" s="113"/>
      <c r="AU801" s="113"/>
      <c r="AV801" s="113"/>
      <c r="AW801" s="113"/>
      <c r="AX801" s="113"/>
      <c r="AY801" s="113"/>
      <c r="AZ801" s="113"/>
      <c r="BA801" s="113"/>
      <c r="BB801" s="113"/>
      <c r="BC801" s="113"/>
      <c r="BD801" s="113"/>
      <c r="BE801" s="113"/>
      <c r="BF801" s="113"/>
      <c r="BG801" s="113"/>
      <c r="BH801" s="113"/>
      <c r="BI801" s="113"/>
    </row>
    <row r="802" spans="1:61" s="45" customFormat="1" ht="22.5" customHeight="1">
      <c r="A802" s="1036"/>
      <c r="B802" s="643" t="s">
        <v>25</v>
      </c>
      <c r="C802" s="62"/>
      <c r="D802" s="62"/>
      <c r="E802" s="62"/>
      <c r="F802" s="62"/>
      <c r="G802" s="103">
        <f>G803+G804</f>
        <v>26770.5</v>
      </c>
      <c r="H802" s="103">
        <f t="shared" ref="H802:L802" si="287">H803+H804</f>
        <v>0</v>
      </c>
      <c r="I802" s="103">
        <f t="shared" si="287"/>
        <v>0</v>
      </c>
      <c r="J802" s="103">
        <f t="shared" si="287"/>
        <v>0</v>
      </c>
      <c r="K802" s="103">
        <f t="shared" si="287"/>
        <v>26770.5</v>
      </c>
      <c r="L802" s="103">
        <f t="shared" si="287"/>
        <v>28000</v>
      </c>
      <c r="M802" s="103"/>
      <c r="N802" s="703"/>
      <c r="O802" s="1031"/>
      <c r="AJ802" s="113"/>
      <c r="AK802" s="113"/>
      <c r="AL802" s="113"/>
      <c r="AM802" s="113"/>
      <c r="AN802" s="113"/>
      <c r="AO802" s="113"/>
      <c r="AP802" s="113"/>
      <c r="AQ802" s="113"/>
      <c r="AR802" s="113"/>
      <c r="AS802" s="113"/>
      <c r="AT802" s="113"/>
      <c r="AU802" s="113"/>
      <c r="AV802" s="113"/>
      <c r="AW802" s="113"/>
      <c r="AX802" s="113"/>
      <c r="AY802" s="113"/>
      <c r="AZ802" s="113"/>
      <c r="BA802" s="113"/>
      <c r="BB802" s="113"/>
      <c r="BC802" s="113"/>
      <c r="BD802" s="113"/>
      <c r="BE802" s="113"/>
      <c r="BF802" s="113"/>
      <c r="BG802" s="113"/>
      <c r="BH802" s="113"/>
      <c r="BI802" s="113"/>
    </row>
    <row r="803" spans="1:61" s="45" customFormat="1" ht="22.5" customHeight="1">
      <c r="A803" s="1036"/>
      <c r="B803" s="643" t="s">
        <v>10</v>
      </c>
      <c r="C803" s="62"/>
      <c r="D803" s="62"/>
      <c r="E803" s="62"/>
      <c r="F803" s="62"/>
      <c r="G803" s="103">
        <f t="shared" ref="G803:G804" si="288">K803</f>
        <v>26770.5</v>
      </c>
      <c r="H803" s="103"/>
      <c r="I803" s="103"/>
      <c r="J803" s="103"/>
      <c r="K803" s="103">
        <v>26770.5</v>
      </c>
      <c r="L803" s="103">
        <v>28000</v>
      </c>
      <c r="M803" s="103"/>
      <c r="N803" s="703"/>
      <c r="O803" s="701"/>
      <c r="AJ803" s="113"/>
      <c r="AK803" s="113"/>
      <c r="AL803" s="113"/>
      <c r="AM803" s="113"/>
      <c r="AN803" s="113"/>
      <c r="AO803" s="113"/>
      <c r="AP803" s="113"/>
      <c r="AQ803" s="113"/>
      <c r="AR803" s="113"/>
      <c r="AS803" s="113"/>
      <c r="AT803" s="113"/>
      <c r="AU803" s="113"/>
      <c r="AV803" s="113"/>
      <c r="AW803" s="113"/>
      <c r="AX803" s="113"/>
      <c r="AY803" s="113"/>
      <c r="AZ803" s="113"/>
      <c r="BA803" s="113"/>
      <c r="BB803" s="113"/>
      <c r="BC803" s="113"/>
      <c r="BD803" s="113"/>
      <c r="BE803" s="113"/>
      <c r="BF803" s="113"/>
      <c r="BG803" s="113"/>
      <c r="BH803" s="113"/>
      <c r="BI803" s="113"/>
    </row>
    <row r="804" spans="1:61" s="45" customFormat="1" ht="22.5" customHeight="1">
      <c r="A804" s="1029"/>
      <c r="B804" s="643" t="s">
        <v>502</v>
      </c>
      <c r="C804" s="62"/>
      <c r="D804" s="62"/>
      <c r="E804" s="62"/>
      <c r="F804" s="62"/>
      <c r="G804" s="103">
        <f t="shared" si="288"/>
        <v>0</v>
      </c>
      <c r="H804" s="103"/>
      <c r="I804" s="103"/>
      <c r="J804" s="103"/>
      <c r="K804" s="103">
        <v>0</v>
      </c>
      <c r="L804" s="103"/>
      <c r="M804" s="103"/>
      <c r="N804" s="703"/>
      <c r="O804" s="701"/>
      <c r="AJ804" s="113"/>
      <c r="AK804" s="113"/>
      <c r="AL804" s="113"/>
      <c r="AM804" s="113"/>
      <c r="AN804" s="113"/>
      <c r="AO804" s="113"/>
      <c r="AP804" s="113"/>
      <c r="AQ804" s="113"/>
      <c r="AR804" s="113"/>
      <c r="AS804" s="113"/>
      <c r="AT804" s="113"/>
      <c r="AU804" s="113"/>
      <c r="AV804" s="113"/>
      <c r="AW804" s="113"/>
      <c r="AX804" s="113"/>
      <c r="AY804" s="113"/>
      <c r="AZ804" s="113"/>
      <c r="BA804" s="113"/>
      <c r="BB804" s="113"/>
      <c r="BC804" s="113"/>
      <c r="BD804" s="113"/>
      <c r="BE804" s="113"/>
      <c r="BF804" s="113"/>
      <c r="BG804" s="113"/>
      <c r="BH804" s="113"/>
      <c r="BI804" s="113"/>
    </row>
    <row r="805" spans="1:61" s="45" customFormat="1" ht="21.75" customHeight="1">
      <c r="A805" s="1028" t="s">
        <v>578</v>
      </c>
      <c r="B805" s="643" t="s">
        <v>89</v>
      </c>
      <c r="C805" s="62"/>
      <c r="D805" s="62"/>
      <c r="E805" s="62"/>
      <c r="F805" s="62"/>
      <c r="G805" s="103">
        <f t="shared" ref="G805:G814" si="289">K805</f>
        <v>3</v>
      </c>
      <c r="H805" s="103"/>
      <c r="I805" s="103"/>
      <c r="J805" s="103"/>
      <c r="K805" s="103">
        <v>3</v>
      </c>
      <c r="L805" s="103">
        <v>3</v>
      </c>
      <c r="M805" s="103">
        <v>2.2000000000000002</v>
      </c>
      <c r="N805" s="703"/>
      <c r="O805" s="1030" t="s">
        <v>960</v>
      </c>
      <c r="AJ805" s="113"/>
      <c r="AK805" s="113"/>
      <c r="AL805" s="113"/>
      <c r="AM805" s="113"/>
      <c r="AN805" s="113"/>
      <c r="AO805" s="113"/>
      <c r="AP805" s="113"/>
      <c r="AQ805" s="113"/>
      <c r="AR805" s="113"/>
      <c r="AS805" s="113"/>
      <c r="AT805" s="113"/>
      <c r="AU805" s="113"/>
      <c r="AV805" s="113"/>
      <c r="AW805" s="113"/>
      <c r="AX805" s="113"/>
      <c r="AY805" s="113"/>
      <c r="AZ805" s="113"/>
      <c r="BA805" s="113"/>
      <c r="BB805" s="113"/>
      <c r="BC805" s="113"/>
      <c r="BD805" s="113"/>
      <c r="BE805" s="113"/>
      <c r="BF805" s="113"/>
      <c r="BG805" s="113"/>
      <c r="BH805" s="113"/>
      <c r="BI805" s="113"/>
    </row>
    <row r="806" spans="1:61" ht="28.5" customHeight="1">
      <c r="A806" s="1029"/>
      <c r="B806" s="643" t="s">
        <v>248</v>
      </c>
      <c r="C806" s="643">
        <v>176</v>
      </c>
      <c r="D806" s="643" t="s">
        <v>15</v>
      </c>
      <c r="E806" s="643">
        <v>6100404</v>
      </c>
      <c r="F806" s="643">
        <v>244</v>
      </c>
      <c r="G806" s="103">
        <f t="shared" si="289"/>
        <v>15960.4</v>
      </c>
      <c r="H806" s="103"/>
      <c r="I806" s="103"/>
      <c r="J806" s="103"/>
      <c r="K806" s="103">
        <v>15960.4</v>
      </c>
      <c r="L806" s="103">
        <v>36000</v>
      </c>
      <c r="M806" s="103">
        <v>32800</v>
      </c>
      <c r="N806" s="703"/>
      <c r="O806" s="1031"/>
    </row>
    <row r="807" spans="1:61" ht="24.6" customHeight="1">
      <c r="A807" s="985" t="s">
        <v>98</v>
      </c>
      <c r="B807" s="62" t="s">
        <v>585</v>
      </c>
      <c r="C807" s="643"/>
      <c r="D807" s="643"/>
      <c r="E807" s="643"/>
      <c r="F807" s="643"/>
      <c r="G807" s="102">
        <f>G811+G815+G817</f>
        <v>0</v>
      </c>
      <c r="H807" s="102">
        <f t="shared" ref="H807:M807" si="290">H811+H815+H817</f>
        <v>0</v>
      </c>
      <c r="I807" s="102">
        <f t="shared" si="290"/>
        <v>0</v>
      </c>
      <c r="J807" s="102">
        <f t="shared" si="290"/>
        <v>0</v>
      </c>
      <c r="K807" s="102">
        <f t="shared" si="290"/>
        <v>0</v>
      </c>
      <c r="L807" s="102">
        <f t="shared" si="290"/>
        <v>6</v>
      </c>
      <c r="M807" s="102">
        <f t="shared" si="290"/>
        <v>0</v>
      </c>
      <c r="N807" s="703"/>
      <c r="O807" s="703"/>
    </row>
    <row r="808" spans="1:61" ht="24.6" customHeight="1">
      <c r="A808" s="986"/>
      <c r="B808" s="62" t="s">
        <v>25</v>
      </c>
      <c r="C808" s="643"/>
      <c r="D808" s="643"/>
      <c r="E808" s="643"/>
      <c r="F808" s="643"/>
      <c r="G808" s="102">
        <f>G809+G810</f>
        <v>7000</v>
      </c>
      <c r="H808" s="102">
        <f t="shared" ref="H808:M808" si="291">H809+H810</f>
        <v>0</v>
      </c>
      <c r="I808" s="102">
        <f t="shared" si="291"/>
        <v>0</v>
      </c>
      <c r="J808" s="102">
        <f t="shared" si="291"/>
        <v>0</v>
      </c>
      <c r="K808" s="102">
        <f t="shared" si="291"/>
        <v>7000</v>
      </c>
      <c r="L808" s="102">
        <f t="shared" si="291"/>
        <v>56588</v>
      </c>
      <c r="M808" s="102">
        <f t="shared" si="291"/>
        <v>0</v>
      </c>
      <c r="N808" s="703"/>
      <c r="O808" s="703"/>
    </row>
    <row r="809" spans="1:61" ht="24.6" customHeight="1">
      <c r="A809" s="986"/>
      <c r="B809" s="62" t="s">
        <v>10</v>
      </c>
      <c r="C809" s="643"/>
      <c r="D809" s="643"/>
      <c r="E809" s="643"/>
      <c r="F809" s="643"/>
      <c r="G809" s="102">
        <f>G813+G816+G818</f>
        <v>7000</v>
      </c>
      <c r="H809" s="102">
        <f t="shared" ref="H809:M809" si="292">H813+H816+H818</f>
        <v>0</v>
      </c>
      <c r="I809" s="102">
        <f t="shared" si="292"/>
        <v>0</v>
      </c>
      <c r="J809" s="102">
        <f t="shared" si="292"/>
        <v>0</v>
      </c>
      <c r="K809" s="102">
        <f t="shared" si="292"/>
        <v>7000</v>
      </c>
      <c r="L809" s="102">
        <f t="shared" si="292"/>
        <v>56588</v>
      </c>
      <c r="M809" s="102">
        <f t="shared" si="292"/>
        <v>0</v>
      </c>
      <c r="N809" s="703"/>
      <c r="O809" s="703"/>
    </row>
    <row r="810" spans="1:61" ht="24.6" customHeight="1">
      <c r="A810" s="987"/>
      <c r="B810" s="62" t="s">
        <v>502</v>
      </c>
      <c r="C810" s="643"/>
      <c r="D810" s="643"/>
      <c r="E810" s="643"/>
      <c r="F810" s="643"/>
      <c r="G810" s="102">
        <f>G814</f>
        <v>0</v>
      </c>
      <c r="H810" s="102">
        <f t="shared" ref="H810:M810" si="293">H814</f>
        <v>0</v>
      </c>
      <c r="I810" s="102">
        <f t="shared" si="293"/>
        <v>0</v>
      </c>
      <c r="J810" s="102">
        <f t="shared" si="293"/>
        <v>0</v>
      </c>
      <c r="K810" s="102">
        <f t="shared" si="293"/>
        <v>0</v>
      </c>
      <c r="L810" s="102">
        <f t="shared" si="293"/>
        <v>0</v>
      </c>
      <c r="M810" s="102">
        <f t="shared" si="293"/>
        <v>0</v>
      </c>
      <c r="N810" s="703"/>
      <c r="O810" s="703"/>
    </row>
    <row r="811" spans="1:61" ht="24.6" customHeight="1">
      <c r="A811" s="1028" t="s">
        <v>579</v>
      </c>
      <c r="B811" s="643" t="s">
        <v>585</v>
      </c>
      <c r="C811" s="643"/>
      <c r="D811" s="643"/>
      <c r="E811" s="643"/>
      <c r="F811" s="643"/>
      <c r="G811" s="103">
        <f t="shared" si="289"/>
        <v>0</v>
      </c>
      <c r="H811" s="103"/>
      <c r="I811" s="103"/>
      <c r="J811" s="103"/>
      <c r="K811" s="103"/>
      <c r="L811" s="103">
        <v>2</v>
      </c>
      <c r="M811" s="103"/>
      <c r="N811" s="703"/>
      <c r="O811" s="1030" t="s">
        <v>571</v>
      </c>
    </row>
    <row r="812" spans="1:61" ht="23.25" customHeight="1">
      <c r="A812" s="1036"/>
      <c r="B812" s="643" t="s">
        <v>25</v>
      </c>
      <c r="C812" s="643"/>
      <c r="D812" s="643"/>
      <c r="E812" s="643"/>
      <c r="F812" s="643"/>
      <c r="G812" s="103">
        <f t="shared" si="289"/>
        <v>0</v>
      </c>
      <c r="H812" s="103"/>
      <c r="I812" s="103"/>
      <c r="J812" s="103"/>
      <c r="K812" s="103">
        <f>K813+K814</f>
        <v>0</v>
      </c>
      <c r="L812" s="103">
        <f t="shared" ref="L812:M812" si="294">L813+L814</f>
        <v>24000</v>
      </c>
      <c r="M812" s="103">
        <f t="shared" si="294"/>
        <v>0</v>
      </c>
      <c r="N812" s="703"/>
      <c r="O812" s="1032"/>
    </row>
    <row r="813" spans="1:61" ht="24.75" customHeight="1">
      <c r="A813" s="1036"/>
      <c r="B813" s="643" t="s">
        <v>10</v>
      </c>
      <c r="C813" s="643"/>
      <c r="D813" s="643"/>
      <c r="E813" s="643"/>
      <c r="F813" s="643"/>
      <c r="G813" s="103">
        <f t="shared" si="289"/>
        <v>0</v>
      </c>
      <c r="H813" s="103"/>
      <c r="I813" s="103"/>
      <c r="J813" s="103"/>
      <c r="K813" s="103"/>
      <c r="L813" s="103">
        <v>24000</v>
      </c>
      <c r="M813" s="103"/>
      <c r="N813" s="703"/>
      <c r="O813" s="1032"/>
    </row>
    <row r="814" spans="1:61" ht="24" customHeight="1">
      <c r="A814" s="1029"/>
      <c r="B814" s="643" t="s">
        <v>502</v>
      </c>
      <c r="C814" s="643"/>
      <c r="D814" s="643"/>
      <c r="E814" s="643"/>
      <c r="F814" s="643"/>
      <c r="G814" s="103">
        <f t="shared" si="289"/>
        <v>0</v>
      </c>
      <c r="H814" s="103"/>
      <c r="I814" s="103"/>
      <c r="J814" s="103"/>
      <c r="K814" s="103">
        <v>0</v>
      </c>
      <c r="L814" s="103"/>
      <c r="M814" s="103"/>
      <c r="N814" s="703"/>
      <c r="O814" s="1031"/>
    </row>
    <row r="815" spans="1:61" ht="23.25" customHeight="1">
      <c r="A815" s="1028" t="s">
        <v>580</v>
      </c>
      <c r="B815" s="643" t="s">
        <v>89</v>
      </c>
      <c r="C815" s="643"/>
      <c r="D815" s="643"/>
      <c r="E815" s="643"/>
      <c r="F815" s="643"/>
      <c r="G815" s="102"/>
      <c r="H815" s="103"/>
      <c r="I815" s="103"/>
      <c r="J815" s="103"/>
      <c r="K815" s="103"/>
      <c r="L815" s="103">
        <v>3</v>
      </c>
      <c r="M815" s="103"/>
      <c r="N815" s="703"/>
      <c r="O815" s="1030" t="s">
        <v>651</v>
      </c>
    </row>
    <row r="816" spans="1:61" ht="27" customHeight="1">
      <c r="A816" s="1029"/>
      <c r="B816" s="643" t="s">
        <v>248</v>
      </c>
      <c r="C816" s="643"/>
      <c r="D816" s="643"/>
      <c r="E816" s="643"/>
      <c r="F816" s="643"/>
      <c r="G816" s="103">
        <f>K816</f>
        <v>7000</v>
      </c>
      <c r="H816" s="103"/>
      <c r="I816" s="103"/>
      <c r="J816" s="103"/>
      <c r="K816" s="103">
        <v>7000</v>
      </c>
      <c r="L816" s="103">
        <v>21588</v>
      </c>
      <c r="M816" s="103"/>
      <c r="N816" s="703"/>
      <c r="O816" s="1031"/>
    </row>
    <row r="817" spans="1:61" ht="21.75" customHeight="1">
      <c r="A817" s="1028" t="s">
        <v>581</v>
      </c>
      <c r="B817" s="643" t="s">
        <v>89</v>
      </c>
      <c r="C817" s="643"/>
      <c r="D817" s="643"/>
      <c r="E817" s="643"/>
      <c r="F817" s="643"/>
      <c r="G817" s="102"/>
      <c r="H817" s="103"/>
      <c r="I817" s="103"/>
      <c r="J817" s="103"/>
      <c r="K817" s="103"/>
      <c r="L817" s="103">
        <v>1</v>
      </c>
      <c r="M817" s="103"/>
      <c r="N817" s="703"/>
      <c r="O817" s="1030" t="s">
        <v>658</v>
      </c>
    </row>
    <row r="818" spans="1:61" ht="24" customHeight="1">
      <c r="A818" s="1029"/>
      <c r="B818" s="643" t="s">
        <v>248</v>
      </c>
      <c r="C818" s="643"/>
      <c r="D818" s="643"/>
      <c r="E818" s="643"/>
      <c r="F818" s="643"/>
      <c r="G818" s="102"/>
      <c r="H818" s="103"/>
      <c r="I818" s="103"/>
      <c r="J818" s="103"/>
      <c r="K818" s="103"/>
      <c r="L818" s="103">
        <v>11000</v>
      </c>
      <c r="M818" s="103"/>
      <c r="N818" s="703"/>
      <c r="O818" s="1031"/>
    </row>
    <row r="819" spans="1:61" ht="23.45" customHeight="1">
      <c r="A819" s="1038" t="s">
        <v>99</v>
      </c>
      <c r="B819" s="62" t="s">
        <v>89</v>
      </c>
      <c r="C819" s="62"/>
      <c r="D819" s="62"/>
      <c r="E819" s="62"/>
      <c r="F819" s="62"/>
      <c r="G819" s="102">
        <f>K819</f>
        <v>2</v>
      </c>
      <c r="H819" s="102">
        <f t="shared" ref="H819:M819" si="295">H823+H827</f>
        <v>0</v>
      </c>
      <c r="I819" s="102">
        <f t="shared" si="295"/>
        <v>0</v>
      </c>
      <c r="J819" s="102">
        <f t="shared" si="295"/>
        <v>0</v>
      </c>
      <c r="K819" s="102">
        <f t="shared" si="295"/>
        <v>2</v>
      </c>
      <c r="L819" s="102">
        <f t="shared" si="295"/>
        <v>6</v>
      </c>
      <c r="M819" s="102">
        <f t="shared" si="295"/>
        <v>5.5</v>
      </c>
      <c r="N819" s="703"/>
      <c r="O819" s="709"/>
    </row>
    <row r="820" spans="1:61" ht="23.45" customHeight="1">
      <c r="A820" s="1038"/>
      <c r="B820" s="62" t="s">
        <v>25</v>
      </c>
      <c r="C820" s="62"/>
      <c r="D820" s="62"/>
      <c r="E820" s="62"/>
      <c r="F820" s="62"/>
      <c r="G820" s="102">
        <f t="shared" ref="G820:G830" si="296">K820</f>
        <v>18512.599999999999</v>
      </c>
      <c r="H820" s="102"/>
      <c r="I820" s="102"/>
      <c r="J820" s="102"/>
      <c r="K820" s="102">
        <f>K821+K822</f>
        <v>18512.599999999999</v>
      </c>
      <c r="L820" s="102">
        <f t="shared" ref="L820:M820" si="297">L821+L822</f>
        <v>80000</v>
      </c>
      <c r="M820" s="102">
        <f t="shared" si="297"/>
        <v>85725</v>
      </c>
      <c r="N820" s="703"/>
      <c r="O820" s="709"/>
    </row>
    <row r="821" spans="1:61" ht="23.45" customHeight="1">
      <c r="A821" s="1038"/>
      <c r="B821" s="62" t="s">
        <v>10</v>
      </c>
      <c r="C821" s="62"/>
      <c r="D821" s="62"/>
      <c r="E821" s="62"/>
      <c r="F821" s="62"/>
      <c r="G821" s="102">
        <f>G825+G829</f>
        <v>18512.599999999999</v>
      </c>
      <c r="H821" s="102">
        <f t="shared" ref="H821:K821" si="298">H825+H829</f>
        <v>0</v>
      </c>
      <c r="I821" s="102">
        <f t="shared" si="298"/>
        <v>0</v>
      </c>
      <c r="J821" s="102">
        <f t="shared" si="298"/>
        <v>0</v>
      </c>
      <c r="K821" s="102">
        <f t="shared" si="298"/>
        <v>18512.599999999999</v>
      </c>
      <c r="L821" s="102">
        <f t="shared" ref="L821" si="299">L825+L830</f>
        <v>80000</v>
      </c>
      <c r="M821" s="102">
        <f>M825+M829</f>
        <v>85725</v>
      </c>
      <c r="N821" s="703"/>
      <c r="O821" s="709"/>
    </row>
    <row r="822" spans="1:61" ht="30" customHeight="1">
      <c r="A822" s="1038"/>
      <c r="B822" s="62" t="s">
        <v>502</v>
      </c>
      <c r="C822" s="62"/>
      <c r="D822" s="62"/>
      <c r="E822" s="62"/>
      <c r="F822" s="62"/>
      <c r="G822" s="102">
        <f>G826+G830</f>
        <v>0</v>
      </c>
      <c r="H822" s="102">
        <f t="shared" ref="H822:K822" si="300">H826+H830</f>
        <v>0</v>
      </c>
      <c r="I822" s="102">
        <f t="shared" si="300"/>
        <v>0</v>
      </c>
      <c r="J822" s="102">
        <f t="shared" si="300"/>
        <v>0</v>
      </c>
      <c r="K822" s="102">
        <f t="shared" si="300"/>
        <v>0</v>
      </c>
      <c r="L822" s="102">
        <f t="shared" ref="L822:M822" si="301">L826</f>
        <v>0</v>
      </c>
      <c r="M822" s="102">
        <f t="shared" si="301"/>
        <v>0</v>
      </c>
      <c r="N822" s="703"/>
      <c r="O822" s="709"/>
    </row>
    <row r="823" spans="1:61" ht="24.6" customHeight="1">
      <c r="A823" s="1028" t="s">
        <v>582</v>
      </c>
      <c r="B823" s="643" t="s">
        <v>89</v>
      </c>
      <c r="C823" s="643">
        <v>176</v>
      </c>
      <c r="D823" s="643" t="s">
        <v>15</v>
      </c>
      <c r="E823" s="643">
        <v>6100404</v>
      </c>
      <c r="F823" s="643">
        <v>244</v>
      </c>
      <c r="G823" s="103">
        <f t="shared" si="296"/>
        <v>2</v>
      </c>
      <c r="H823" s="103"/>
      <c r="I823" s="103"/>
      <c r="J823" s="103"/>
      <c r="K823" s="103">
        <v>2</v>
      </c>
      <c r="L823" s="103">
        <v>6</v>
      </c>
      <c r="M823" s="103">
        <v>4</v>
      </c>
      <c r="N823" s="703"/>
      <c r="O823" s="1030" t="s">
        <v>961</v>
      </c>
    </row>
    <row r="824" spans="1:61" ht="24.6" customHeight="1">
      <c r="A824" s="1036"/>
      <c r="B824" s="643" t="s">
        <v>25</v>
      </c>
      <c r="C824" s="643"/>
      <c r="D824" s="643"/>
      <c r="E824" s="643"/>
      <c r="F824" s="643"/>
      <c r="G824" s="103">
        <f t="shared" si="296"/>
        <v>18512.599999999999</v>
      </c>
      <c r="H824" s="103"/>
      <c r="I824" s="103"/>
      <c r="J824" s="103"/>
      <c r="K824" s="103">
        <f>K825+K826</f>
        <v>18512.599999999999</v>
      </c>
      <c r="L824" s="103">
        <f t="shared" ref="L824:M824" si="302">L825+L826</f>
        <v>80000</v>
      </c>
      <c r="M824" s="103">
        <f t="shared" si="302"/>
        <v>60000</v>
      </c>
      <c r="N824" s="703"/>
      <c r="O824" s="1032"/>
    </row>
    <row r="825" spans="1:61" ht="24.6" customHeight="1">
      <c r="A825" s="1036"/>
      <c r="B825" s="643" t="s">
        <v>10</v>
      </c>
      <c r="C825" s="643"/>
      <c r="D825" s="643"/>
      <c r="E825" s="643"/>
      <c r="F825" s="643"/>
      <c r="G825" s="103">
        <f t="shared" si="296"/>
        <v>18512.599999999999</v>
      </c>
      <c r="H825" s="103"/>
      <c r="I825" s="103"/>
      <c r="J825" s="103"/>
      <c r="K825" s="103">
        <v>18512.599999999999</v>
      </c>
      <c r="L825" s="103">
        <v>80000</v>
      </c>
      <c r="M825" s="103">
        <v>60000</v>
      </c>
      <c r="N825" s="703"/>
      <c r="O825" s="1032"/>
    </row>
    <row r="826" spans="1:61" s="45" customFormat="1" ht="24.6" customHeight="1">
      <c r="A826" s="1029"/>
      <c r="B826" s="643" t="s">
        <v>502</v>
      </c>
      <c r="C826" s="643"/>
      <c r="D826" s="643"/>
      <c r="E826" s="643"/>
      <c r="F826" s="643"/>
      <c r="G826" s="103">
        <f t="shared" si="296"/>
        <v>0</v>
      </c>
      <c r="H826" s="103"/>
      <c r="I826" s="103"/>
      <c r="J826" s="103"/>
      <c r="K826" s="103"/>
      <c r="L826" s="103"/>
      <c r="M826" s="103"/>
      <c r="N826" s="703"/>
      <c r="O826" s="1031"/>
      <c r="AJ826" s="113"/>
      <c r="AK826" s="113"/>
      <c r="AL826" s="113"/>
      <c r="AM826" s="113"/>
      <c r="AN826" s="113"/>
      <c r="AO826" s="113"/>
      <c r="AP826" s="113"/>
      <c r="AQ826" s="113"/>
      <c r="AR826" s="113"/>
      <c r="AS826" s="113"/>
      <c r="AT826" s="113"/>
      <c r="AU826" s="113"/>
      <c r="AV826" s="113"/>
      <c r="AW826" s="113"/>
      <c r="AX826" s="113"/>
      <c r="AY826" s="113"/>
      <c r="AZ826" s="113"/>
      <c r="BA826" s="113"/>
      <c r="BB826" s="113"/>
      <c r="BC826" s="113"/>
      <c r="BD826" s="113"/>
      <c r="BE826" s="113"/>
      <c r="BF826" s="113"/>
      <c r="BG826" s="113"/>
      <c r="BH826" s="113"/>
      <c r="BI826" s="113"/>
    </row>
    <row r="827" spans="1:61" s="45" customFormat="1" ht="22.15" customHeight="1">
      <c r="A827" s="1039" t="s">
        <v>583</v>
      </c>
      <c r="B827" s="643" t="s">
        <v>585</v>
      </c>
      <c r="C827" s="643">
        <v>176</v>
      </c>
      <c r="D827" s="643" t="s">
        <v>15</v>
      </c>
      <c r="E827" s="643">
        <v>6100404</v>
      </c>
      <c r="F827" s="643">
        <v>244</v>
      </c>
      <c r="G827" s="103">
        <f t="shared" si="296"/>
        <v>0</v>
      </c>
      <c r="H827" s="103"/>
      <c r="I827" s="103"/>
      <c r="J827" s="103"/>
      <c r="K827" s="103"/>
      <c r="L827" s="103"/>
      <c r="M827" s="103">
        <v>1.5</v>
      </c>
      <c r="N827" s="703"/>
      <c r="O827" s="1037" t="s">
        <v>626</v>
      </c>
      <c r="AJ827" s="113"/>
      <c r="AK827" s="113"/>
      <c r="AL827" s="113"/>
      <c r="AM827" s="113"/>
      <c r="AN827" s="113"/>
      <c r="AO827" s="113"/>
      <c r="AP827" s="113"/>
      <c r="AQ827" s="113"/>
      <c r="AR827" s="113"/>
      <c r="AS827" s="113"/>
      <c r="AT827" s="113"/>
      <c r="AU827" s="113"/>
      <c r="AV827" s="113"/>
      <c r="AW827" s="113"/>
      <c r="AX827" s="113"/>
      <c r="AY827" s="113"/>
      <c r="AZ827" s="113"/>
      <c r="BA827" s="113"/>
      <c r="BB827" s="113"/>
      <c r="BC827" s="113"/>
      <c r="BD827" s="113"/>
      <c r="BE827" s="113"/>
      <c r="BF827" s="113"/>
      <c r="BG827" s="113"/>
      <c r="BH827" s="113"/>
      <c r="BI827" s="113"/>
    </row>
    <row r="828" spans="1:61" s="45" customFormat="1" ht="22.15" customHeight="1">
      <c r="A828" s="1039"/>
      <c r="B828" s="643" t="s">
        <v>25</v>
      </c>
      <c r="C828" s="643"/>
      <c r="D828" s="643"/>
      <c r="E828" s="643"/>
      <c r="F828" s="643"/>
      <c r="G828" s="103">
        <f>G829+G830</f>
        <v>0</v>
      </c>
      <c r="H828" s="103"/>
      <c r="I828" s="103"/>
      <c r="J828" s="103"/>
      <c r="K828" s="103">
        <f>K829+K830</f>
        <v>0</v>
      </c>
      <c r="L828" s="103"/>
      <c r="M828" s="103">
        <f>M829</f>
        <v>25725</v>
      </c>
      <c r="N828" s="703"/>
      <c r="O828" s="1037"/>
      <c r="AJ828" s="113"/>
      <c r="AK828" s="113"/>
      <c r="AL828" s="113"/>
      <c r="AM828" s="113"/>
      <c r="AN828" s="113"/>
      <c r="AO828" s="113"/>
      <c r="AP828" s="113"/>
      <c r="AQ828" s="113"/>
      <c r="AR828" s="113"/>
      <c r="AS828" s="113"/>
      <c r="AT828" s="113"/>
      <c r="AU828" s="113"/>
      <c r="AV828" s="113"/>
      <c r="AW828" s="113"/>
      <c r="AX828" s="113"/>
      <c r="AY828" s="113"/>
      <c r="AZ828" s="113"/>
      <c r="BA828" s="113"/>
      <c r="BB828" s="113"/>
      <c r="BC828" s="113"/>
      <c r="BD828" s="113"/>
      <c r="BE828" s="113"/>
      <c r="BF828" s="113"/>
      <c r="BG828" s="113"/>
      <c r="BH828" s="113"/>
      <c r="BI828" s="113"/>
    </row>
    <row r="829" spans="1:61" s="45" customFormat="1" ht="22.15" customHeight="1">
      <c r="A829" s="1039"/>
      <c r="B829" s="643" t="s">
        <v>10</v>
      </c>
      <c r="C829" s="643"/>
      <c r="D829" s="643"/>
      <c r="E829" s="643"/>
      <c r="F829" s="643"/>
      <c r="G829" s="103">
        <f>K829</f>
        <v>0</v>
      </c>
      <c r="H829" s="103"/>
      <c r="I829" s="103"/>
      <c r="J829" s="103"/>
      <c r="K829" s="103">
        <v>0</v>
      </c>
      <c r="L829" s="103"/>
      <c r="M829" s="103">
        <v>25725</v>
      </c>
      <c r="N829" s="703"/>
      <c r="O829" s="1037"/>
      <c r="AJ829" s="113"/>
      <c r="AK829" s="113"/>
      <c r="AL829" s="113"/>
      <c r="AM829" s="113"/>
      <c r="AN829" s="113"/>
      <c r="AO829" s="113"/>
      <c r="AP829" s="113"/>
      <c r="AQ829" s="113"/>
      <c r="AR829" s="113"/>
      <c r="AS829" s="113"/>
      <c r="AT829" s="113"/>
      <c r="AU829" s="113"/>
      <c r="AV829" s="113"/>
      <c r="AW829" s="113"/>
      <c r="AX829" s="113"/>
      <c r="AY829" s="113"/>
      <c r="AZ829" s="113"/>
      <c r="BA829" s="113"/>
      <c r="BB829" s="113"/>
      <c r="BC829" s="113"/>
      <c r="BD829" s="113"/>
      <c r="BE829" s="113"/>
      <c r="BF829" s="113"/>
      <c r="BG829" s="113"/>
      <c r="BH829" s="113"/>
      <c r="BI829" s="113"/>
    </row>
    <row r="830" spans="1:61" ht="24.6" customHeight="1">
      <c r="A830" s="1039"/>
      <c r="B830" s="643" t="s">
        <v>502</v>
      </c>
      <c r="C830" s="643"/>
      <c r="D830" s="643"/>
      <c r="E830" s="643"/>
      <c r="F830" s="643"/>
      <c r="G830" s="103">
        <f t="shared" si="296"/>
        <v>0</v>
      </c>
      <c r="H830" s="103"/>
      <c r="I830" s="103"/>
      <c r="J830" s="103"/>
      <c r="K830" s="103">
        <v>0</v>
      </c>
      <c r="L830" s="103"/>
      <c r="M830" s="103"/>
      <c r="N830" s="703"/>
      <c r="O830" s="1037"/>
    </row>
    <row r="831" spans="1:61" ht="25.9" customHeight="1">
      <c r="A831" s="1038" t="s">
        <v>117</v>
      </c>
      <c r="B831" s="62" t="s">
        <v>89</v>
      </c>
      <c r="C831" s="62"/>
      <c r="D831" s="62"/>
      <c r="E831" s="62"/>
      <c r="F831" s="62"/>
      <c r="G831" s="102">
        <f>G835+G839+G843</f>
        <v>2.5</v>
      </c>
      <c r="H831" s="102">
        <f t="shared" ref="H831:M831" si="303">H835+H839+H843</f>
        <v>0</v>
      </c>
      <c r="I831" s="102">
        <f t="shared" si="303"/>
        <v>0</v>
      </c>
      <c r="J831" s="102">
        <f t="shared" si="303"/>
        <v>0</v>
      </c>
      <c r="K831" s="102">
        <f t="shared" si="303"/>
        <v>2.5</v>
      </c>
      <c r="L831" s="102">
        <f t="shared" si="303"/>
        <v>7</v>
      </c>
      <c r="M831" s="102">
        <f t="shared" si="303"/>
        <v>5</v>
      </c>
      <c r="N831" s="703"/>
      <c r="O831" s="709"/>
    </row>
    <row r="832" spans="1:61" ht="25.9" customHeight="1">
      <c r="A832" s="1038"/>
      <c r="B832" s="62" t="s">
        <v>25</v>
      </c>
      <c r="C832" s="62"/>
      <c r="D832" s="62"/>
      <c r="E832" s="62"/>
      <c r="F832" s="62"/>
      <c r="G832" s="102">
        <f>G840+G844+G836</f>
        <v>23251.4</v>
      </c>
      <c r="H832" s="102">
        <f t="shared" ref="H832:M832" si="304">H840+H844+H836</f>
        <v>0</v>
      </c>
      <c r="I832" s="102">
        <f t="shared" si="304"/>
        <v>0</v>
      </c>
      <c r="J832" s="102">
        <f t="shared" si="304"/>
        <v>0</v>
      </c>
      <c r="K832" s="102">
        <f t="shared" si="304"/>
        <v>23251.4</v>
      </c>
      <c r="L832" s="102">
        <f t="shared" si="304"/>
        <v>94000</v>
      </c>
      <c r="M832" s="102">
        <f t="shared" si="304"/>
        <v>70000</v>
      </c>
      <c r="N832" s="703"/>
      <c r="O832" s="709"/>
    </row>
    <row r="833" spans="1:61" ht="25.9" customHeight="1">
      <c r="A833" s="1038"/>
      <c r="B833" s="62" t="s">
        <v>10</v>
      </c>
      <c r="C833" s="62"/>
      <c r="D833" s="62"/>
      <c r="E833" s="62"/>
      <c r="F833" s="62"/>
      <c r="G833" s="102">
        <f>G837+G841+G845</f>
        <v>23251.4</v>
      </c>
      <c r="H833" s="102">
        <f t="shared" ref="H833:M833" si="305">H837+H841+H845</f>
        <v>0</v>
      </c>
      <c r="I833" s="102">
        <f t="shared" si="305"/>
        <v>0</v>
      </c>
      <c r="J833" s="102">
        <f t="shared" si="305"/>
        <v>0</v>
      </c>
      <c r="K833" s="102">
        <f t="shared" si="305"/>
        <v>23251.4</v>
      </c>
      <c r="L833" s="102">
        <f t="shared" si="305"/>
        <v>94000</v>
      </c>
      <c r="M833" s="102">
        <f t="shared" si="305"/>
        <v>70000</v>
      </c>
      <c r="N833" s="703"/>
      <c r="O833" s="709"/>
    </row>
    <row r="834" spans="1:61" s="45" customFormat="1" ht="30.6" customHeight="1">
      <c r="A834" s="1038"/>
      <c r="B834" s="62" t="s">
        <v>502</v>
      </c>
      <c r="C834" s="62"/>
      <c r="D834" s="62"/>
      <c r="E834" s="62"/>
      <c r="F834" s="62"/>
      <c r="G834" s="102">
        <f>G838+G846</f>
        <v>0</v>
      </c>
      <c r="H834" s="102">
        <f t="shared" ref="H834:K834" si="306">H838+H846</f>
        <v>0</v>
      </c>
      <c r="I834" s="102">
        <f t="shared" si="306"/>
        <v>0</v>
      </c>
      <c r="J834" s="102">
        <f t="shared" si="306"/>
        <v>0</v>
      </c>
      <c r="K834" s="102">
        <f t="shared" si="306"/>
        <v>0</v>
      </c>
      <c r="L834" s="102">
        <f>L838+L846</f>
        <v>0</v>
      </c>
      <c r="M834" s="102">
        <f>M838+M846</f>
        <v>0</v>
      </c>
      <c r="N834" s="703"/>
      <c r="O834" s="709"/>
      <c r="AJ834" s="113"/>
      <c r="AK834" s="113"/>
      <c r="AL834" s="113"/>
      <c r="AM834" s="113"/>
      <c r="AN834" s="113"/>
      <c r="AO834" s="113"/>
      <c r="AP834" s="113"/>
      <c r="AQ834" s="113"/>
      <c r="AR834" s="113"/>
      <c r="AS834" s="113"/>
      <c r="AT834" s="113"/>
      <c r="AU834" s="113"/>
      <c r="AV834" s="113"/>
      <c r="AW834" s="113"/>
      <c r="AX834" s="113"/>
      <c r="AY834" s="113"/>
      <c r="AZ834" s="113"/>
      <c r="BA834" s="113"/>
      <c r="BB834" s="113"/>
      <c r="BC834" s="113"/>
      <c r="BD834" s="113"/>
      <c r="BE834" s="113"/>
      <c r="BF834" s="113"/>
      <c r="BG834" s="113"/>
      <c r="BH834" s="113"/>
      <c r="BI834" s="113"/>
    </row>
    <row r="835" spans="1:61" s="45" customFormat="1" ht="24.6" customHeight="1">
      <c r="A835" s="1039" t="s">
        <v>536</v>
      </c>
      <c r="B835" s="643" t="s">
        <v>89</v>
      </c>
      <c r="C835" s="643">
        <v>176</v>
      </c>
      <c r="D835" s="643" t="s">
        <v>15</v>
      </c>
      <c r="E835" s="643">
        <v>6100404</v>
      </c>
      <c r="F835" s="643">
        <v>244</v>
      </c>
      <c r="G835" s="103"/>
      <c r="H835" s="103"/>
      <c r="I835" s="103"/>
      <c r="J835" s="103"/>
      <c r="K835" s="103"/>
      <c r="L835" s="114">
        <v>7</v>
      </c>
      <c r="M835" s="103"/>
      <c r="N835" s="703"/>
      <c r="O835" s="1037" t="s">
        <v>586</v>
      </c>
      <c r="AJ835" s="113"/>
      <c r="AK835" s="113"/>
      <c r="AL835" s="113"/>
      <c r="AM835" s="113"/>
      <c r="AN835" s="113"/>
      <c r="AO835" s="113"/>
      <c r="AP835" s="113"/>
      <c r="AQ835" s="113"/>
      <c r="AR835" s="113"/>
      <c r="AS835" s="113"/>
      <c r="AT835" s="113"/>
      <c r="AU835" s="113"/>
      <c r="AV835" s="113"/>
      <c r="AW835" s="113"/>
      <c r="AX835" s="113"/>
      <c r="AY835" s="113"/>
      <c r="AZ835" s="113"/>
      <c r="BA835" s="113"/>
      <c r="BB835" s="113"/>
      <c r="BC835" s="113"/>
      <c r="BD835" s="113"/>
      <c r="BE835" s="113"/>
      <c r="BF835" s="113"/>
      <c r="BG835" s="113"/>
      <c r="BH835" s="113"/>
      <c r="BI835" s="113"/>
    </row>
    <row r="836" spans="1:61" s="45" customFormat="1" ht="24.6" customHeight="1">
      <c r="A836" s="1039"/>
      <c r="B836" s="643" t="s">
        <v>25</v>
      </c>
      <c r="C836" s="643"/>
      <c r="D836" s="643"/>
      <c r="E836" s="643"/>
      <c r="F836" s="643"/>
      <c r="G836" s="103"/>
      <c r="H836" s="103"/>
      <c r="I836" s="103"/>
      <c r="J836" s="103"/>
      <c r="K836" s="103"/>
      <c r="L836" s="114">
        <f>L837+L838</f>
        <v>94000</v>
      </c>
      <c r="M836" s="103">
        <f>M837+M838</f>
        <v>0</v>
      </c>
      <c r="N836" s="703"/>
      <c r="O836" s="1037"/>
      <c r="AJ836" s="113"/>
      <c r="AK836" s="113"/>
      <c r="AL836" s="113"/>
      <c r="AM836" s="113"/>
      <c r="AN836" s="113"/>
      <c r="AO836" s="113"/>
      <c r="AP836" s="113"/>
      <c r="AQ836" s="113"/>
      <c r="AR836" s="113"/>
      <c r="AS836" s="113"/>
      <c r="AT836" s="113"/>
      <c r="AU836" s="113"/>
      <c r="AV836" s="113"/>
      <c r="AW836" s="113"/>
      <c r="AX836" s="113"/>
      <c r="AY836" s="113"/>
      <c r="AZ836" s="113"/>
      <c r="BA836" s="113"/>
      <c r="BB836" s="113"/>
      <c r="BC836" s="113"/>
      <c r="BD836" s="113"/>
      <c r="BE836" s="113"/>
      <c r="BF836" s="113"/>
      <c r="BG836" s="113"/>
      <c r="BH836" s="113"/>
      <c r="BI836" s="113"/>
    </row>
    <row r="837" spans="1:61" s="45" customFormat="1" ht="24.6" customHeight="1">
      <c r="A837" s="1039"/>
      <c r="B837" s="643" t="s">
        <v>10</v>
      </c>
      <c r="C837" s="643"/>
      <c r="D837" s="643"/>
      <c r="E837" s="643"/>
      <c r="F837" s="643"/>
      <c r="G837" s="103"/>
      <c r="H837" s="103"/>
      <c r="I837" s="103"/>
      <c r="J837" s="103"/>
      <c r="K837" s="103"/>
      <c r="L837" s="114">
        <v>94000</v>
      </c>
      <c r="M837" s="103"/>
      <c r="N837" s="703"/>
      <c r="O837" s="1037"/>
      <c r="AJ837" s="113"/>
      <c r="AK837" s="113"/>
      <c r="AL837" s="113"/>
      <c r="AM837" s="113"/>
      <c r="AN837" s="113"/>
      <c r="AO837" s="113"/>
      <c r="AP837" s="113"/>
      <c r="AQ837" s="113"/>
      <c r="AR837" s="113"/>
      <c r="AS837" s="113"/>
      <c r="AT837" s="113"/>
      <c r="AU837" s="113"/>
      <c r="AV837" s="113"/>
      <c r="AW837" s="113"/>
      <c r="AX837" s="113"/>
      <c r="AY837" s="113"/>
      <c r="AZ837" s="113"/>
      <c r="BA837" s="113"/>
      <c r="BB837" s="113"/>
      <c r="BC837" s="113"/>
      <c r="BD837" s="113"/>
      <c r="BE837" s="113"/>
      <c r="BF837" s="113"/>
      <c r="BG837" s="113"/>
      <c r="BH837" s="113"/>
      <c r="BI837" s="113"/>
    </row>
    <row r="838" spans="1:61" ht="26.45" customHeight="1">
      <c r="A838" s="1039"/>
      <c r="B838" s="643" t="s">
        <v>502</v>
      </c>
      <c r="C838" s="643"/>
      <c r="D838" s="643"/>
      <c r="E838" s="643"/>
      <c r="F838" s="643"/>
      <c r="G838" s="103"/>
      <c r="H838" s="103"/>
      <c r="I838" s="103"/>
      <c r="J838" s="103"/>
      <c r="K838" s="103"/>
      <c r="L838" s="103"/>
      <c r="M838" s="103"/>
      <c r="N838" s="703"/>
      <c r="O838" s="1037"/>
    </row>
    <row r="839" spans="1:61" ht="26.45" customHeight="1">
      <c r="A839" s="1033" t="s">
        <v>587</v>
      </c>
      <c r="B839" s="760" t="s">
        <v>89</v>
      </c>
      <c r="C839" s="760"/>
      <c r="D839" s="760"/>
      <c r="E839" s="760"/>
      <c r="F839" s="760"/>
      <c r="G839" s="103">
        <f>K839</f>
        <v>2.5</v>
      </c>
      <c r="H839" s="103"/>
      <c r="I839" s="103"/>
      <c r="J839" s="103"/>
      <c r="K839" s="103">
        <v>2.5</v>
      </c>
      <c r="L839" s="103"/>
      <c r="M839" s="103"/>
      <c r="N839" s="760"/>
      <c r="O839" s="1030" t="s">
        <v>962</v>
      </c>
    </row>
    <row r="840" spans="1:61" ht="26.45" customHeight="1">
      <c r="A840" s="1034"/>
      <c r="B840" s="760" t="s">
        <v>25</v>
      </c>
      <c r="C840" s="760"/>
      <c r="D840" s="760"/>
      <c r="E840" s="760"/>
      <c r="F840" s="760"/>
      <c r="G840" s="103">
        <f t="shared" ref="G840:G842" si="307">K840</f>
        <v>23251.4</v>
      </c>
      <c r="H840" s="103"/>
      <c r="I840" s="103"/>
      <c r="J840" s="103"/>
      <c r="K840" s="103">
        <f>K841+K842</f>
        <v>23251.4</v>
      </c>
      <c r="L840" s="103">
        <f>L841+L842</f>
        <v>0</v>
      </c>
      <c r="M840" s="103"/>
      <c r="N840" s="760"/>
      <c r="O840" s="1032"/>
    </row>
    <row r="841" spans="1:61" ht="26.45" customHeight="1">
      <c r="A841" s="1034"/>
      <c r="B841" s="760" t="s">
        <v>10</v>
      </c>
      <c r="C841" s="760"/>
      <c r="D841" s="760"/>
      <c r="E841" s="760"/>
      <c r="F841" s="760"/>
      <c r="G841" s="103">
        <f t="shared" si="307"/>
        <v>23251.4</v>
      </c>
      <c r="H841" s="103"/>
      <c r="I841" s="103"/>
      <c r="J841" s="103"/>
      <c r="K841" s="103">
        <v>23251.4</v>
      </c>
      <c r="L841" s="103"/>
      <c r="M841" s="103"/>
      <c r="N841" s="760"/>
      <c r="O841" s="1032"/>
    </row>
    <row r="842" spans="1:61" ht="26.45" customHeight="1">
      <c r="A842" s="1035"/>
      <c r="B842" s="760" t="s">
        <v>502</v>
      </c>
      <c r="C842" s="760"/>
      <c r="D842" s="760"/>
      <c r="E842" s="760"/>
      <c r="F842" s="760"/>
      <c r="G842" s="103">
        <f t="shared" si="307"/>
        <v>0</v>
      </c>
      <c r="H842" s="103"/>
      <c r="I842" s="103"/>
      <c r="J842" s="103"/>
      <c r="K842" s="103"/>
      <c r="L842" s="103"/>
      <c r="M842" s="103"/>
      <c r="N842" s="760"/>
      <c r="O842" s="1031"/>
    </row>
    <row r="843" spans="1:61" ht="26.45" customHeight="1">
      <c r="A843" s="1052" t="s">
        <v>151</v>
      </c>
      <c r="B843" s="643" t="s">
        <v>89</v>
      </c>
      <c r="C843" s="643"/>
      <c r="D843" s="643"/>
      <c r="E843" s="643"/>
      <c r="F843" s="643"/>
      <c r="G843" s="103">
        <f>K843</f>
        <v>0</v>
      </c>
      <c r="H843" s="103"/>
      <c r="I843" s="103"/>
      <c r="J843" s="103"/>
      <c r="K843" s="103"/>
      <c r="L843" s="103"/>
      <c r="M843" s="103">
        <v>5</v>
      </c>
      <c r="N843" s="703"/>
      <c r="O843" s="1030" t="s">
        <v>1013</v>
      </c>
    </row>
    <row r="844" spans="1:61" ht="26.45" customHeight="1">
      <c r="A844" s="1053"/>
      <c r="B844" s="643" t="s">
        <v>25</v>
      </c>
      <c r="C844" s="643"/>
      <c r="D844" s="643"/>
      <c r="E844" s="643"/>
      <c r="F844" s="643"/>
      <c r="G844" s="103">
        <f t="shared" ref="G844:G846" si="308">K844</f>
        <v>0</v>
      </c>
      <c r="H844" s="103"/>
      <c r="I844" s="103"/>
      <c r="J844" s="103"/>
      <c r="K844" s="103">
        <f>K845+K846</f>
        <v>0</v>
      </c>
      <c r="L844" s="103">
        <f>L845+L846</f>
        <v>0</v>
      </c>
      <c r="M844" s="103">
        <f>M845</f>
        <v>70000</v>
      </c>
      <c r="N844" s="703"/>
      <c r="O844" s="1032"/>
    </row>
    <row r="845" spans="1:61" ht="26.45" customHeight="1">
      <c r="A845" s="1053"/>
      <c r="B845" s="643" t="s">
        <v>10</v>
      </c>
      <c r="C845" s="643"/>
      <c r="D845" s="643"/>
      <c r="E845" s="643"/>
      <c r="F845" s="643"/>
      <c r="G845" s="103">
        <f t="shared" si="308"/>
        <v>0</v>
      </c>
      <c r="H845" s="103"/>
      <c r="I845" s="103"/>
      <c r="J845" s="103"/>
      <c r="K845" s="103"/>
      <c r="L845" s="103"/>
      <c r="M845" s="103">
        <v>70000</v>
      </c>
      <c r="N845" s="703"/>
      <c r="O845" s="1032"/>
    </row>
    <row r="846" spans="1:61" ht="26.45" customHeight="1">
      <c r="A846" s="1054"/>
      <c r="B846" s="643" t="s">
        <v>502</v>
      </c>
      <c r="C846" s="643"/>
      <c r="D846" s="643"/>
      <c r="E846" s="643"/>
      <c r="F846" s="643"/>
      <c r="G846" s="103">
        <f t="shared" si="308"/>
        <v>0</v>
      </c>
      <c r="H846" s="103"/>
      <c r="I846" s="103"/>
      <c r="J846" s="103"/>
      <c r="K846" s="103"/>
      <c r="L846" s="103"/>
      <c r="M846" s="103"/>
      <c r="N846" s="703"/>
      <c r="O846" s="1031"/>
    </row>
    <row r="847" spans="1:61" ht="24.6" customHeight="1">
      <c r="A847" s="1038" t="s">
        <v>153</v>
      </c>
      <c r="B847" s="62" t="s">
        <v>89</v>
      </c>
      <c r="C847" s="62"/>
      <c r="D847" s="62"/>
      <c r="E847" s="62"/>
      <c r="F847" s="62"/>
      <c r="G847" s="102">
        <f t="shared" ref="G847:M848" si="309">G849+G851+G853+G855+G857</f>
        <v>0</v>
      </c>
      <c r="H847" s="102"/>
      <c r="I847" s="102"/>
      <c r="J847" s="102"/>
      <c r="K847" s="102"/>
      <c r="L847" s="102">
        <f t="shared" si="309"/>
        <v>8.5</v>
      </c>
      <c r="M847" s="102">
        <f t="shared" si="309"/>
        <v>0</v>
      </c>
      <c r="N847" s="703"/>
      <c r="O847" s="709"/>
    </row>
    <row r="848" spans="1:61" ht="30" customHeight="1">
      <c r="A848" s="1038"/>
      <c r="B848" s="62" t="s">
        <v>248</v>
      </c>
      <c r="C848" s="62"/>
      <c r="D848" s="62"/>
      <c r="E848" s="62"/>
      <c r="F848" s="62"/>
      <c r="G848" s="102">
        <f t="shared" si="309"/>
        <v>0</v>
      </c>
      <c r="H848" s="102">
        <f t="shared" si="309"/>
        <v>0</v>
      </c>
      <c r="I848" s="102">
        <f t="shared" si="309"/>
        <v>0</v>
      </c>
      <c r="J848" s="102">
        <f t="shared" si="309"/>
        <v>0</v>
      </c>
      <c r="K848" s="102">
        <f t="shared" si="309"/>
        <v>0</v>
      </c>
      <c r="L848" s="102">
        <f t="shared" si="309"/>
        <v>100621.6</v>
      </c>
      <c r="M848" s="102">
        <f t="shared" si="309"/>
        <v>0</v>
      </c>
      <c r="N848" s="703"/>
      <c r="O848" s="709"/>
    </row>
    <row r="849" spans="1:61" ht="24.6" hidden="1" customHeight="1">
      <c r="A849" s="1039" t="s">
        <v>152</v>
      </c>
      <c r="B849" s="643" t="s">
        <v>89</v>
      </c>
      <c r="C849" s="643">
        <v>176</v>
      </c>
      <c r="D849" s="643" t="s">
        <v>15</v>
      </c>
      <c r="E849" s="643">
        <v>6100404</v>
      </c>
      <c r="F849" s="643">
        <v>244</v>
      </c>
      <c r="G849" s="103">
        <v>0</v>
      </c>
      <c r="H849" s="103"/>
      <c r="I849" s="103"/>
      <c r="J849" s="103"/>
      <c r="K849" s="103"/>
      <c r="L849" s="103"/>
      <c r="M849" s="103"/>
      <c r="N849" s="703"/>
      <c r="O849" s="1037" t="s">
        <v>229</v>
      </c>
    </row>
    <row r="850" spans="1:61" ht="24" hidden="1" customHeight="1">
      <c r="A850" s="1039"/>
      <c r="B850" s="643" t="s">
        <v>248</v>
      </c>
      <c r="C850" s="643"/>
      <c r="D850" s="643"/>
      <c r="E850" s="643"/>
      <c r="F850" s="643"/>
      <c r="G850" s="103"/>
      <c r="H850" s="103"/>
      <c r="I850" s="103"/>
      <c r="J850" s="103"/>
      <c r="K850" s="103"/>
      <c r="L850" s="103"/>
      <c r="M850" s="103"/>
      <c r="N850" s="703"/>
      <c r="O850" s="1037"/>
    </row>
    <row r="851" spans="1:61" ht="24.6" customHeight="1">
      <c r="A851" s="1039" t="s">
        <v>588</v>
      </c>
      <c r="B851" s="643" t="s">
        <v>89</v>
      </c>
      <c r="C851" s="643">
        <v>176</v>
      </c>
      <c r="D851" s="643" t="s">
        <v>15</v>
      </c>
      <c r="E851" s="643">
        <v>6100404</v>
      </c>
      <c r="F851" s="643">
        <v>244</v>
      </c>
      <c r="G851" s="103"/>
      <c r="H851" s="103"/>
      <c r="I851" s="103"/>
      <c r="J851" s="103"/>
      <c r="K851" s="103"/>
      <c r="L851" s="103">
        <v>8.5</v>
      </c>
      <c r="M851" s="103"/>
      <c r="N851" s="703"/>
      <c r="O851" s="1037" t="s">
        <v>589</v>
      </c>
    </row>
    <row r="852" spans="1:61" ht="24.6" customHeight="1">
      <c r="A852" s="1039"/>
      <c r="B852" s="643" t="s">
        <v>248</v>
      </c>
      <c r="C852" s="643"/>
      <c r="D852" s="643"/>
      <c r="E852" s="643"/>
      <c r="F852" s="643"/>
      <c r="G852" s="103"/>
      <c r="H852" s="103"/>
      <c r="I852" s="103"/>
      <c r="J852" s="103"/>
      <c r="K852" s="103"/>
      <c r="L852" s="103">
        <v>100621.6</v>
      </c>
      <c r="M852" s="103"/>
      <c r="N852" s="703"/>
      <c r="O852" s="1037"/>
    </row>
    <row r="853" spans="1:61" ht="0.6" customHeight="1">
      <c r="A853" s="1039" t="s">
        <v>123</v>
      </c>
      <c r="B853" s="643" t="s">
        <v>89</v>
      </c>
      <c r="C853" s="643">
        <v>176</v>
      </c>
      <c r="D853" s="643" t="s">
        <v>15</v>
      </c>
      <c r="E853" s="643">
        <v>6100404</v>
      </c>
      <c r="F853" s="643">
        <v>243</v>
      </c>
      <c r="G853" s="103"/>
      <c r="H853" s="103"/>
      <c r="I853" s="103"/>
      <c r="J853" s="103"/>
      <c r="K853" s="103"/>
      <c r="L853" s="103"/>
      <c r="M853" s="103"/>
      <c r="N853" s="703"/>
      <c r="O853" s="1037" t="s">
        <v>256</v>
      </c>
    </row>
    <row r="854" spans="1:61" ht="25.15" hidden="1" customHeight="1">
      <c r="A854" s="1039"/>
      <c r="B854" s="643" t="s">
        <v>248</v>
      </c>
      <c r="C854" s="643"/>
      <c r="D854" s="643"/>
      <c r="E854" s="643"/>
      <c r="F854" s="643"/>
      <c r="G854" s="103"/>
      <c r="H854" s="103"/>
      <c r="I854" s="103"/>
      <c r="J854" s="103"/>
      <c r="K854" s="103"/>
      <c r="L854" s="103"/>
      <c r="M854" s="103"/>
      <c r="N854" s="703"/>
      <c r="O854" s="1037"/>
    </row>
    <row r="855" spans="1:61" ht="25.15" hidden="1" customHeight="1">
      <c r="A855" s="1039" t="s">
        <v>159</v>
      </c>
      <c r="B855" s="643" t="s">
        <v>89</v>
      </c>
      <c r="C855" s="643"/>
      <c r="D855" s="643"/>
      <c r="E855" s="643"/>
      <c r="F855" s="643"/>
      <c r="G855" s="103"/>
      <c r="H855" s="103"/>
      <c r="I855" s="103"/>
      <c r="J855" s="103"/>
      <c r="K855" s="103"/>
      <c r="L855" s="103"/>
      <c r="M855" s="103"/>
      <c r="N855" s="703"/>
      <c r="O855" s="1037" t="s">
        <v>295</v>
      </c>
    </row>
    <row r="856" spans="1:61" s="45" customFormat="1" ht="24.95" hidden="1" customHeight="1">
      <c r="A856" s="1039"/>
      <c r="B856" s="643" t="s">
        <v>248</v>
      </c>
      <c r="C856" s="643"/>
      <c r="D856" s="643"/>
      <c r="E856" s="643"/>
      <c r="F856" s="643"/>
      <c r="G856" s="103">
        <f>J856</f>
        <v>0</v>
      </c>
      <c r="H856" s="103"/>
      <c r="I856" s="103"/>
      <c r="J856" s="103"/>
      <c r="K856" s="103"/>
      <c r="L856" s="103"/>
      <c r="M856" s="103"/>
      <c r="N856" s="703"/>
      <c r="O856" s="1037"/>
      <c r="AJ856" s="113"/>
      <c r="AK856" s="113"/>
      <c r="AL856" s="113"/>
      <c r="AM856" s="113"/>
      <c r="AN856" s="113"/>
      <c r="AO856" s="113"/>
      <c r="AP856" s="113"/>
      <c r="AQ856" s="113"/>
      <c r="AR856" s="113"/>
      <c r="AS856" s="113"/>
      <c r="AT856" s="113"/>
      <c r="AU856" s="113"/>
      <c r="AV856" s="113"/>
      <c r="AW856" s="113"/>
      <c r="AX856" s="113"/>
      <c r="AY856" s="113"/>
      <c r="AZ856" s="113"/>
      <c r="BA856" s="113"/>
      <c r="BB856" s="113"/>
      <c r="BC856" s="113"/>
      <c r="BD856" s="113"/>
      <c r="BE856" s="113"/>
      <c r="BF856" s="113"/>
      <c r="BG856" s="113"/>
      <c r="BH856" s="113"/>
      <c r="BI856" s="113"/>
    </row>
    <row r="857" spans="1:61" s="45" customFormat="1" ht="24.95" hidden="1" customHeight="1">
      <c r="A857" s="1050" t="s">
        <v>257</v>
      </c>
      <c r="B857" s="643" t="s">
        <v>89</v>
      </c>
      <c r="C857" s="643"/>
      <c r="D857" s="643"/>
      <c r="E857" s="643"/>
      <c r="F857" s="643"/>
      <c r="G857" s="103"/>
      <c r="H857" s="103"/>
      <c r="I857" s="103"/>
      <c r="J857" s="103"/>
      <c r="K857" s="103"/>
      <c r="L857" s="103"/>
      <c r="M857" s="103"/>
      <c r="N857" s="703"/>
      <c r="O857" s="1037"/>
      <c r="AJ857" s="113"/>
      <c r="AK857" s="113"/>
      <c r="AL857" s="113"/>
      <c r="AM857" s="113"/>
      <c r="AN857" s="113"/>
      <c r="AO857" s="113"/>
      <c r="AP857" s="113"/>
      <c r="AQ857" s="113"/>
      <c r="AR857" s="113"/>
      <c r="AS857" s="113"/>
      <c r="AT857" s="113"/>
      <c r="AU857" s="113"/>
      <c r="AV857" s="113"/>
      <c r="AW857" s="113"/>
      <c r="AX857" s="113"/>
      <c r="AY857" s="113"/>
      <c r="AZ857" s="113"/>
      <c r="BA857" s="113"/>
      <c r="BB857" s="113"/>
      <c r="BC857" s="113"/>
      <c r="BD857" s="113"/>
      <c r="BE857" s="113"/>
      <c r="BF857" s="113"/>
      <c r="BG857" s="113"/>
      <c r="BH857" s="113"/>
      <c r="BI857" s="113"/>
    </row>
    <row r="858" spans="1:61" ht="24.95" hidden="1" customHeight="1">
      <c r="A858" s="1051"/>
      <c r="B858" s="643" t="s">
        <v>248</v>
      </c>
      <c r="C858" s="643"/>
      <c r="D858" s="643"/>
      <c r="E858" s="643"/>
      <c r="F858" s="643"/>
      <c r="G858" s="103"/>
      <c r="H858" s="103"/>
      <c r="I858" s="103"/>
      <c r="J858" s="103"/>
      <c r="K858" s="103"/>
      <c r="L858" s="103">
        <f>18250-18250</f>
        <v>0</v>
      </c>
      <c r="M858" s="103"/>
      <c r="N858" s="703"/>
      <c r="O858" s="1037"/>
    </row>
    <row r="859" spans="1:61" ht="24.6" customHeight="1">
      <c r="A859" s="1038" t="s">
        <v>119</v>
      </c>
      <c r="B859" s="62" t="s">
        <v>89</v>
      </c>
      <c r="C859" s="62"/>
      <c r="D859" s="62"/>
      <c r="E859" s="62"/>
      <c r="F859" s="62"/>
      <c r="G859" s="102">
        <f>G861+G863</f>
        <v>3</v>
      </c>
      <c r="H859" s="102">
        <f t="shared" ref="H859:M859" si="310">H861+H863</f>
        <v>0</v>
      </c>
      <c r="I859" s="102">
        <f t="shared" si="310"/>
        <v>0</v>
      </c>
      <c r="J859" s="102">
        <f t="shared" si="310"/>
        <v>0</v>
      </c>
      <c r="K859" s="102">
        <f t="shared" si="310"/>
        <v>3</v>
      </c>
      <c r="L859" s="102">
        <f t="shared" si="310"/>
        <v>0</v>
      </c>
      <c r="M859" s="102">
        <f t="shared" si="310"/>
        <v>0</v>
      </c>
      <c r="N859" s="703"/>
      <c r="O859" s="709"/>
    </row>
    <row r="860" spans="1:61" s="45" customFormat="1" ht="24.6" customHeight="1">
      <c r="A860" s="1038"/>
      <c r="B860" s="62" t="s">
        <v>248</v>
      </c>
      <c r="C860" s="62"/>
      <c r="D860" s="62"/>
      <c r="E860" s="62"/>
      <c r="F860" s="62"/>
      <c r="G860" s="102">
        <f>G862+G864</f>
        <v>16440.599999999999</v>
      </c>
      <c r="H860" s="102">
        <f t="shared" ref="H860:M860" si="311">H862+H864</f>
        <v>0</v>
      </c>
      <c r="I860" s="102">
        <f t="shared" si="311"/>
        <v>0</v>
      </c>
      <c r="J860" s="102">
        <f t="shared" si="311"/>
        <v>0</v>
      </c>
      <c r="K860" s="102">
        <f t="shared" si="311"/>
        <v>16440.599999999999</v>
      </c>
      <c r="L860" s="102">
        <f t="shared" si="311"/>
        <v>0</v>
      </c>
      <c r="M860" s="102">
        <f t="shared" si="311"/>
        <v>0</v>
      </c>
      <c r="N860" s="703"/>
      <c r="O860" s="709"/>
      <c r="AJ860" s="113"/>
      <c r="AK860" s="113"/>
      <c r="AL860" s="113"/>
      <c r="AM860" s="113"/>
      <c r="AN860" s="113"/>
      <c r="AO860" s="113"/>
      <c r="AP860" s="113"/>
      <c r="AQ860" s="113"/>
      <c r="AR860" s="113"/>
      <c r="AS860" s="113"/>
      <c r="AT860" s="113"/>
      <c r="AU860" s="113"/>
      <c r="AV860" s="113"/>
      <c r="AW860" s="113"/>
      <c r="AX860" s="113"/>
      <c r="AY860" s="113"/>
      <c r="AZ860" s="113"/>
      <c r="BA860" s="113"/>
      <c r="BB860" s="113"/>
      <c r="BC860" s="113"/>
      <c r="BD860" s="113"/>
      <c r="BE860" s="113"/>
      <c r="BF860" s="113"/>
      <c r="BG860" s="113"/>
      <c r="BH860" s="113"/>
      <c r="BI860" s="113"/>
    </row>
    <row r="861" spans="1:61" s="45" customFormat="1" ht="24.6" hidden="1" customHeight="1">
      <c r="A861" s="1039" t="s">
        <v>154</v>
      </c>
      <c r="B861" s="643" t="s">
        <v>89</v>
      </c>
      <c r="C861" s="643">
        <v>176</v>
      </c>
      <c r="D861" s="643" t="s">
        <v>15</v>
      </c>
      <c r="E861" s="643">
        <v>6100404</v>
      </c>
      <c r="F861" s="643">
        <v>244</v>
      </c>
      <c r="G861" s="103">
        <f>K861</f>
        <v>0</v>
      </c>
      <c r="H861" s="103"/>
      <c r="I861" s="103"/>
      <c r="J861" s="103"/>
      <c r="K861" s="103">
        <v>0</v>
      </c>
      <c r="L861" s="103"/>
      <c r="M861" s="103"/>
      <c r="N861" s="703"/>
      <c r="O861" s="1037" t="s">
        <v>877</v>
      </c>
      <c r="AJ861" s="113"/>
      <c r="AK861" s="113"/>
      <c r="AL861" s="113"/>
      <c r="AM861" s="113"/>
      <c r="AN861" s="113"/>
      <c r="AO861" s="113"/>
      <c r="AP861" s="113"/>
      <c r="AQ861" s="113"/>
      <c r="AR861" s="113"/>
      <c r="AS861" s="113"/>
      <c r="AT861" s="113"/>
      <c r="AU861" s="113"/>
      <c r="AV861" s="113"/>
      <c r="AW861" s="113"/>
      <c r="AX861" s="113"/>
      <c r="AY861" s="113"/>
      <c r="AZ861" s="113"/>
      <c r="BA861" s="113"/>
      <c r="BB861" s="113"/>
      <c r="BC861" s="113"/>
      <c r="BD861" s="113"/>
      <c r="BE861" s="113"/>
      <c r="BF861" s="113"/>
      <c r="BG861" s="113"/>
      <c r="BH861" s="113"/>
      <c r="BI861" s="113"/>
    </row>
    <row r="862" spans="1:61" ht="24.6" hidden="1" customHeight="1">
      <c r="A862" s="1039"/>
      <c r="B862" s="643" t="s">
        <v>248</v>
      </c>
      <c r="C862" s="643"/>
      <c r="D862" s="643"/>
      <c r="E862" s="643"/>
      <c r="F862" s="643"/>
      <c r="G862" s="103">
        <f>K862</f>
        <v>0</v>
      </c>
      <c r="H862" s="103"/>
      <c r="I862" s="103"/>
      <c r="J862" s="103"/>
      <c r="K862" s="103">
        <v>0</v>
      </c>
      <c r="L862" s="103"/>
      <c r="M862" s="103"/>
      <c r="N862" s="703"/>
      <c r="O862" s="1037"/>
    </row>
    <row r="863" spans="1:61" ht="24.6" customHeight="1">
      <c r="A863" s="1028" t="s">
        <v>590</v>
      </c>
      <c r="B863" s="643" t="s">
        <v>89</v>
      </c>
      <c r="C863" s="643"/>
      <c r="D863" s="643"/>
      <c r="E863" s="643"/>
      <c r="F863" s="643"/>
      <c r="G863" s="103">
        <f>K863</f>
        <v>3</v>
      </c>
      <c r="H863" s="103"/>
      <c r="I863" s="103"/>
      <c r="J863" s="103"/>
      <c r="K863" s="103">
        <v>3</v>
      </c>
      <c r="L863" s="103"/>
      <c r="M863" s="103"/>
      <c r="N863" s="703"/>
      <c r="O863" s="1030" t="s">
        <v>537</v>
      </c>
    </row>
    <row r="864" spans="1:61" ht="24.6" customHeight="1">
      <c r="A864" s="1029"/>
      <c r="B864" s="643" t="s">
        <v>248</v>
      </c>
      <c r="C864" s="643"/>
      <c r="D864" s="643"/>
      <c r="E864" s="643"/>
      <c r="F864" s="643"/>
      <c r="G864" s="103">
        <f>K864</f>
        <v>16440.599999999999</v>
      </c>
      <c r="H864" s="103"/>
      <c r="I864" s="103"/>
      <c r="J864" s="103"/>
      <c r="K864" s="103">
        <v>16440.599999999999</v>
      </c>
      <c r="L864" s="103"/>
      <c r="M864" s="103"/>
      <c r="N864" s="703"/>
      <c r="O864" s="1031"/>
    </row>
    <row r="865" spans="1:61" ht="22.15" customHeight="1">
      <c r="A865" s="1038" t="s">
        <v>124</v>
      </c>
      <c r="B865" s="62" t="s">
        <v>89</v>
      </c>
      <c r="C865" s="62"/>
      <c r="D865" s="62"/>
      <c r="E865" s="62"/>
      <c r="F865" s="62"/>
      <c r="G865" s="102">
        <f>G867+G869+G871+G873+G875</f>
        <v>3</v>
      </c>
      <c r="H865" s="102">
        <f t="shared" ref="H865:M865" si="312">H867+H869+H871+H873+H875</f>
        <v>0</v>
      </c>
      <c r="I865" s="102">
        <f t="shared" si="312"/>
        <v>0</v>
      </c>
      <c r="J865" s="102">
        <f t="shared" si="312"/>
        <v>0</v>
      </c>
      <c r="K865" s="102">
        <f t="shared" si="312"/>
        <v>3</v>
      </c>
      <c r="L865" s="102">
        <f t="shared" si="312"/>
        <v>6</v>
      </c>
      <c r="M865" s="102">
        <f t="shared" si="312"/>
        <v>6.1</v>
      </c>
      <c r="N865" s="703"/>
      <c r="O865" s="709"/>
    </row>
    <row r="866" spans="1:61" ht="27.6" customHeight="1">
      <c r="A866" s="1038"/>
      <c r="B866" s="62" t="s">
        <v>248</v>
      </c>
      <c r="C866" s="62"/>
      <c r="D866" s="62"/>
      <c r="E866" s="62"/>
      <c r="F866" s="62"/>
      <c r="G866" s="102">
        <f>G868+G870+G872+G874+G876</f>
        <v>26394.5</v>
      </c>
      <c r="H866" s="102">
        <f t="shared" ref="H866:M866" si="313">H868+H870+H872+H874+H876</f>
        <v>0</v>
      </c>
      <c r="I866" s="102">
        <f t="shared" si="313"/>
        <v>0</v>
      </c>
      <c r="J866" s="102">
        <f t="shared" si="313"/>
        <v>0</v>
      </c>
      <c r="K866" s="102">
        <f t="shared" si="313"/>
        <v>26394.5</v>
      </c>
      <c r="L866" s="102">
        <f t="shared" si="313"/>
        <v>70011</v>
      </c>
      <c r="M866" s="102">
        <f t="shared" si="313"/>
        <v>89400</v>
      </c>
      <c r="N866" s="703"/>
      <c r="O866" s="709"/>
    </row>
    <row r="867" spans="1:61" ht="24.6" customHeight="1">
      <c r="A867" s="1039" t="s">
        <v>964</v>
      </c>
      <c r="B867" s="643" t="s">
        <v>89</v>
      </c>
      <c r="C867" s="643">
        <v>176</v>
      </c>
      <c r="D867" s="643" t="s">
        <v>15</v>
      </c>
      <c r="E867" s="643">
        <v>6100404</v>
      </c>
      <c r="F867" s="643">
        <v>244</v>
      </c>
      <c r="G867" s="103">
        <f>K867</f>
        <v>0</v>
      </c>
      <c r="H867" s="103"/>
      <c r="I867" s="103"/>
      <c r="J867" s="103"/>
      <c r="K867" s="103"/>
      <c r="L867" s="103"/>
      <c r="M867" s="103">
        <v>0.3</v>
      </c>
      <c r="N867" s="703"/>
      <c r="O867" s="1037" t="s">
        <v>613</v>
      </c>
    </row>
    <row r="868" spans="1:61" s="45" customFormat="1" ht="24" customHeight="1">
      <c r="A868" s="1039"/>
      <c r="B868" s="643" t="s">
        <v>248</v>
      </c>
      <c r="C868" s="643"/>
      <c r="D868" s="643"/>
      <c r="E868" s="643"/>
      <c r="F868" s="643"/>
      <c r="G868" s="103">
        <f>K868</f>
        <v>0</v>
      </c>
      <c r="H868" s="103"/>
      <c r="I868" s="103"/>
      <c r="J868" s="103"/>
      <c r="K868" s="103"/>
      <c r="L868" s="103"/>
      <c r="M868" s="103">
        <v>5200</v>
      </c>
      <c r="N868" s="703"/>
      <c r="O868" s="1037"/>
      <c r="AJ868" s="113"/>
      <c r="AK868" s="113"/>
      <c r="AL868" s="113"/>
      <c r="AM868" s="113"/>
      <c r="AN868" s="113"/>
      <c r="AO868" s="113"/>
      <c r="AP868" s="113"/>
      <c r="AQ868" s="113"/>
      <c r="AR868" s="113"/>
      <c r="AS868" s="113"/>
      <c r="AT868" s="113"/>
      <c r="AU868" s="113"/>
      <c r="AV868" s="113"/>
      <c r="AW868" s="113"/>
      <c r="AX868" s="113"/>
      <c r="AY868" s="113"/>
      <c r="AZ868" s="113"/>
      <c r="BA868" s="113"/>
      <c r="BB868" s="113"/>
      <c r="BC868" s="113"/>
      <c r="BD868" s="113"/>
      <c r="BE868" s="113"/>
      <c r="BF868" s="113"/>
      <c r="BG868" s="113"/>
      <c r="BH868" s="113"/>
      <c r="BI868" s="113"/>
    </row>
    <row r="869" spans="1:61" s="45" customFormat="1" ht="24.6" customHeight="1">
      <c r="A869" s="1039" t="s">
        <v>591</v>
      </c>
      <c r="B869" s="643" t="s">
        <v>89</v>
      </c>
      <c r="C869" s="643">
        <v>176</v>
      </c>
      <c r="D869" s="643" t="s">
        <v>15</v>
      </c>
      <c r="E869" s="643">
        <v>6100404</v>
      </c>
      <c r="F869" s="643">
        <v>244</v>
      </c>
      <c r="G869" s="103"/>
      <c r="H869" s="103"/>
      <c r="I869" s="103"/>
      <c r="J869" s="103"/>
      <c r="K869" s="103"/>
      <c r="L869" s="103">
        <v>4</v>
      </c>
      <c r="M869" s="103"/>
      <c r="N869" s="703"/>
      <c r="O869" s="1030" t="s">
        <v>595</v>
      </c>
      <c r="AJ869" s="113"/>
      <c r="AK869" s="113"/>
      <c r="AL869" s="113"/>
      <c r="AM869" s="113"/>
      <c r="AN869" s="113"/>
      <c r="AO869" s="113"/>
      <c r="AP869" s="113"/>
      <c r="AQ869" s="113"/>
      <c r="AR869" s="113"/>
      <c r="AS869" s="113"/>
      <c r="AT869" s="113"/>
      <c r="AU869" s="113"/>
      <c r="AV869" s="113"/>
      <c r="AW869" s="113"/>
      <c r="AX869" s="113"/>
      <c r="AY869" s="113"/>
      <c r="AZ869" s="113"/>
      <c r="BA869" s="113"/>
      <c r="BB869" s="113"/>
      <c r="BC869" s="113"/>
      <c r="BD869" s="113"/>
      <c r="BE869" s="113"/>
      <c r="BF869" s="113"/>
      <c r="BG869" s="113"/>
      <c r="BH869" s="113"/>
      <c r="BI869" s="113"/>
    </row>
    <row r="870" spans="1:61" ht="24.6" customHeight="1">
      <c r="A870" s="1039"/>
      <c r="B870" s="643" t="s">
        <v>248</v>
      </c>
      <c r="C870" s="643"/>
      <c r="D870" s="643"/>
      <c r="E870" s="643"/>
      <c r="F870" s="643"/>
      <c r="G870" s="103"/>
      <c r="H870" s="103"/>
      <c r="I870" s="103"/>
      <c r="J870" s="103"/>
      <c r="K870" s="103"/>
      <c r="L870" s="103">
        <v>44000</v>
      </c>
      <c r="M870" s="103"/>
      <c r="N870" s="703"/>
      <c r="O870" s="1032"/>
    </row>
    <row r="871" spans="1:61" ht="24.6" customHeight="1">
      <c r="A871" s="1028" t="s">
        <v>592</v>
      </c>
      <c r="B871" s="643" t="s">
        <v>89</v>
      </c>
      <c r="C871" s="643"/>
      <c r="D871" s="643"/>
      <c r="E871" s="643"/>
      <c r="F871" s="643"/>
      <c r="G871" s="103">
        <f>K871</f>
        <v>3</v>
      </c>
      <c r="H871" s="103"/>
      <c r="I871" s="103"/>
      <c r="J871" s="103"/>
      <c r="K871" s="103">
        <v>3</v>
      </c>
      <c r="L871" s="103"/>
      <c r="M871" s="103">
        <v>1.8</v>
      </c>
      <c r="N871" s="703"/>
      <c r="O871" s="1037" t="s">
        <v>965</v>
      </c>
    </row>
    <row r="872" spans="1:61" ht="24.6" customHeight="1">
      <c r="A872" s="1029"/>
      <c r="B872" s="643" t="s">
        <v>248</v>
      </c>
      <c r="C872" s="643"/>
      <c r="D872" s="643"/>
      <c r="E872" s="643"/>
      <c r="F872" s="643"/>
      <c r="G872" s="103">
        <f>K872</f>
        <v>26394.5</v>
      </c>
      <c r="H872" s="103"/>
      <c r="I872" s="103"/>
      <c r="J872" s="103"/>
      <c r="K872" s="103">
        <v>26394.5</v>
      </c>
      <c r="L872" s="103"/>
      <c r="M872" s="103">
        <v>24200</v>
      </c>
      <c r="N872" s="703"/>
      <c r="O872" s="1037"/>
    </row>
    <row r="873" spans="1:61" ht="24.6" hidden="1" customHeight="1">
      <c r="A873" s="1028" t="s">
        <v>593</v>
      </c>
      <c r="B873" s="643" t="s">
        <v>89</v>
      </c>
      <c r="C873" s="643"/>
      <c r="D873" s="643"/>
      <c r="E873" s="643"/>
      <c r="F873" s="643"/>
      <c r="G873" s="103"/>
      <c r="H873" s="103"/>
      <c r="I873" s="103"/>
      <c r="J873" s="103"/>
      <c r="K873" s="103">
        <v>0</v>
      </c>
      <c r="L873" s="103"/>
      <c r="M873" s="103"/>
      <c r="N873" s="703"/>
      <c r="O873" s="1040" t="s">
        <v>596</v>
      </c>
    </row>
    <row r="874" spans="1:61" ht="24.6" hidden="1" customHeight="1">
      <c r="A874" s="1029"/>
      <c r="B874" s="643" t="s">
        <v>248</v>
      </c>
      <c r="C874" s="643"/>
      <c r="D874" s="643"/>
      <c r="E874" s="643"/>
      <c r="F874" s="643"/>
      <c r="G874" s="103"/>
      <c r="H874" s="103"/>
      <c r="I874" s="103"/>
      <c r="J874" s="103"/>
      <c r="K874" s="103">
        <v>0</v>
      </c>
      <c r="L874" s="103"/>
      <c r="M874" s="103"/>
      <c r="N874" s="703"/>
      <c r="O874" s="1040"/>
    </row>
    <row r="875" spans="1:61" ht="24.6" customHeight="1">
      <c r="A875" s="1028" t="s">
        <v>594</v>
      </c>
      <c r="B875" s="643" t="s">
        <v>89</v>
      </c>
      <c r="C875" s="643"/>
      <c r="D875" s="643"/>
      <c r="E875" s="643"/>
      <c r="F875" s="643"/>
      <c r="G875" s="103"/>
      <c r="H875" s="103"/>
      <c r="I875" s="103"/>
      <c r="J875" s="103"/>
      <c r="K875" s="103"/>
      <c r="L875" s="103">
        <v>2</v>
      </c>
      <c r="M875" s="103">
        <v>4</v>
      </c>
      <c r="N875" s="703"/>
      <c r="O875" s="1030" t="s">
        <v>963</v>
      </c>
    </row>
    <row r="876" spans="1:61" ht="24.6" customHeight="1">
      <c r="A876" s="1029"/>
      <c r="B876" s="643" t="s">
        <v>248</v>
      </c>
      <c r="C876" s="643"/>
      <c r="D876" s="643"/>
      <c r="E876" s="643"/>
      <c r="F876" s="643"/>
      <c r="G876" s="103"/>
      <c r="H876" s="103"/>
      <c r="I876" s="103"/>
      <c r="J876" s="103"/>
      <c r="K876" s="103"/>
      <c r="L876" s="103">
        <v>26011</v>
      </c>
      <c r="M876" s="103">
        <v>60000</v>
      </c>
      <c r="N876" s="703"/>
      <c r="O876" s="1031"/>
    </row>
    <row r="877" spans="1:61" ht="24.95" customHeight="1">
      <c r="A877" s="985" t="s">
        <v>122</v>
      </c>
      <c r="B877" s="62" t="s">
        <v>89</v>
      </c>
      <c r="C877" s="62"/>
      <c r="D877" s="62"/>
      <c r="E877" s="62"/>
      <c r="F877" s="62"/>
      <c r="G877" s="102">
        <f>G881+G885+G889</f>
        <v>4</v>
      </c>
      <c r="H877" s="102">
        <f t="shared" ref="H877:M877" si="314">H881+H885+H889</f>
        <v>0</v>
      </c>
      <c r="I877" s="102">
        <f t="shared" si="314"/>
        <v>0</v>
      </c>
      <c r="J877" s="102">
        <f t="shared" si="314"/>
        <v>0</v>
      </c>
      <c r="K877" s="102">
        <f t="shared" si="314"/>
        <v>4</v>
      </c>
      <c r="L877" s="102">
        <f t="shared" si="314"/>
        <v>2</v>
      </c>
      <c r="M877" s="102">
        <f t="shared" si="314"/>
        <v>4.5</v>
      </c>
      <c r="N877" s="703"/>
      <c r="O877" s="709"/>
    </row>
    <row r="878" spans="1:61" s="45" customFormat="1" ht="24.95" customHeight="1">
      <c r="A878" s="986"/>
      <c r="B878" s="62" t="s">
        <v>25</v>
      </c>
      <c r="C878" s="62"/>
      <c r="D878" s="62"/>
      <c r="E878" s="62"/>
      <c r="F878" s="62"/>
      <c r="G878" s="102">
        <f>G879+G880</f>
        <v>53000</v>
      </c>
      <c r="H878" s="102">
        <f t="shared" ref="H878:M878" si="315">H879+H880</f>
        <v>0</v>
      </c>
      <c r="I878" s="102">
        <f t="shared" si="315"/>
        <v>0</v>
      </c>
      <c r="J878" s="102">
        <f t="shared" si="315"/>
        <v>0</v>
      </c>
      <c r="K878" s="102">
        <f t="shared" si="315"/>
        <v>53000</v>
      </c>
      <c r="L878" s="102">
        <f t="shared" si="315"/>
        <v>24000</v>
      </c>
      <c r="M878" s="102">
        <f t="shared" si="315"/>
        <v>60000</v>
      </c>
      <c r="N878" s="703"/>
      <c r="O878" s="709"/>
      <c r="AJ878" s="113"/>
      <c r="AK878" s="113"/>
      <c r="AL878" s="113"/>
      <c r="AM878" s="113"/>
      <c r="AN878" s="113"/>
      <c r="AO878" s="113"/>
      <c r="AP878" s="113"/>
      <c r="AQ878" s="113"/>
      <c r="AR878" s="113"/>
      <c r="AS878" s="113"/>
      <c r="AT878" s="113"/>
      <c r="AU878" s="113"/>
      <c r="AV878" s="113"/>
      <c r="AW878" s="113"/>
      <c r="AX878" s="113"/>
      <c r="AY878" s="113"/>
      <c r="AZ878" s="113"/>
      <c r="BA878" s="113"/>
      <c r="BB878" s="113"/>
      <c r="BC878" s="113"/>
      <c r="BD878" s="113"/>
      <c r="BE878" s="113"/>
      <c r="BF878" s="113"/>
      <c r="BG878" s="113"/>
      <c r="BH878" s="113"/>
      <c r="BI878" s="113"/>
    </row>
    <row r="879" spans="1:61" s="45" customFormat="1" ht="24.95" customHeight="1">
      <c r="A879" s="986"/>
      <c r="B879" s="62" t="s">
        <v>10</v>
      </c>
      <c r="C879" s="62"/>
      <c r="D879" s="62"/>
      <c r="E879" s="62"/>
      <c r="F879" s="62"/>
      <c r="G879" s="102">
        <f>G883+G887+G891</f>
        <v>53000</v>
      </c>
      <c r="H879" s="102">
        <f t="shared" ref="H879:M879" si="316">H883+H887+H891</f>
        <v>0</v>
      </c>
      <c r="I879" s="102">
        <f t="shared" si="316"/>
        <v>0</v>
      </c>
      <c r="J879" s="102">
        <f t="shared" si="316"/>
        <v>0</v>
      </c>
      <c r="K879" s="102">
        <f t="shared" si="316"/>
        <v>53000</v>
      </c>
      <c r="L879" s="102">
        <f t="shared" si="316"/>
        <v>24000</v>
      </c>
      <c r="M879" s="102">
        <f t="shared" si="316"/>
        <v>60000</v>
      </c>
      <c r="N879" s="703"/>
      <c r="O879" s="709"/>
      <c r="AJ879" s="113"/>
      <c r="AK879" s="113"/>
      <c r="AL879" s="113"/>
      <c r="AM879" s="113"/>
      <c r="AN879" s="113"/>
      <c r="AO879" s="113"/>
      <c r="AP879" s="113"/>
      <c r="AQ879" s="113"/>
      <c r="AR879" s="113"/>
      <c r="AS879" s="113"/>
      <c r="AT879" s="113"/>
      <c r="AU879" s="113"/>
      <c r="AV879" s="113"/>
      <c r="AW879" s="113"/>
      <c r="AX879" s="113"/>
      <c r="AY879" s="113"/>
      <c r="AZ879" s="113"/>
      <c r="BA879" s="113"/>
      <c r="BB879" s="113"/>
      <c r="BC879" s="113"/>
      <c r="BD879" s="113"/>
      <c r="BE879" s="113"/>
      <c r="BF879" s="113"/>
      <c r="BG879" s="113"/>
      <c r="BH879" s="113"/>
      <c r="BI879" s="113"/>
    </row>
    <row r="880" spans="1:61" s="45" customFormat="1" ht="24.95" customHeight="1">
      <c r="A880" s="987"/>
      <c r="B880" s="62" t="s">
        <v>502</v>
      </c>
      <c r="C880" s="62"/>
      <c r="D880" s="62"/>
      <c r="E880" s="62"/>
      <c r="F880" s="62"/>
      <c r="G880" s="102">
        <f>G884+G888+G892</f>
        <v>0</v>
      </c>
      <c r="H880" s="102">
        <f t="shared" ref="H880:M880" si="317">H884+H888+H892</f>
        <v>0</v>
      </c>
      <c r="I880" s="102">
        <f t="shared" si="317"/>
        <v>0</v>
      </c>
      <c r="J880" s="102">
        <f t="shared" si="317"/>
        <v>0</v>
      </c>
      <c r="K880" s="102">
        <f t="shared" si="317"/>
        <v>0</v>
      </c>
      <c r="L880" s="102">
        <f t="shared" si="317"/>
        <v>0</v>
      </c>
      <c r="M880" s="102">
        <f t="shared" si="317"/>
        <v>0</v>
      </c>
      <c r="N880" s="703"/>
      <c r="O880" s="709"/>
      <c r="AJ880" s="113"/>
      <c r="AK880" s="113"/>
      <c r="AL880" s="113"/>
      <c r="AM880" s="113"/>
      <c r="AN880" s="113"/>
      <c r="AO880" s="113"/>
      <c r="AP880" s="113"/>
      <c r="AQ880" s="113"/>
      <c r="AR880" s="113"/>
      <c r="AS880" s="113"/>
      <c r="AT880" s="113"/>
      <c r="AU880" s="113"/>
      <c r="AV880" s="113"/>
      <c r="AW880" s="113"/>
      <c r="AX880" s="113"/>
      <c r="AY880" s="113"/>
      <c r="AZ880" s="113"/>
      <c r="BA880" s="113"/>
      <c r="BB880" s="113"/>
      <c r="BC880" s="113"/>
      <c r="BD880" s="113"/>
      <c r="BE880" s="113"/>
      <c r="BF880" s="113"/>
      <c r="BG880" s="113"/>
      <c r="BH880" s="113"/>
      <c r="BI880" s="113"/>
    </row>
    <row r="881" spans="1:61" s="45" customFormat="1" ht="22.5" customHeight="1">
      <c r="A881" s="134" t="s">
        <v>281</v>
      </c>
      <c r="B881" s="643" t="s">
        <v>89</v>
      </c>
      <c r="C881" s="643">
        <v>176</v>
      </c>
      <c r="D881" s="643" t="s">
        <v>15</v>
      </c>
      <c r="E881" s="643">
        <v>6100404</v>
      </c>
      <c r="F881" s="643">
        <v>244</v>
      </c>
      <c r="G881" s="103">
        <f>K881</f>
        <v>4</v>
      </c>
      <c r="H881" s="103"/>
      <c r="I881" s="103"/>
      <c r="J881" s="103"/>
      <c r="K881" s="103">
        <v>4</v>
      </c>
      <c r="L881" s="103">
        <v>0</v>
      </c>
      <c r="M881" s="103"/>
      <c r="N881" s="703"/>
      <c r="O881" s="1037" t="s">
        <v>966</v>
      </c>
      <c r="AJ881" s="113"/>
      <c r="AK881" s="113"/>
      <c r="AL881" s="113"/>
      <c r="AM881" s="113"/>
      <c r="AN881" s="113"/>
      <c r="AO881" s="113"/>
      <c r="AP881" s="113"/>
      <c r="AQ881" s="113"/>
      <c r="AR881" s="113"/>
      <c r="AS881" s="113"/>
      <c r="AT881" s="113"/>
      <c r="AU881" s="113"/>
      <c r="AV881" s="113"/>
      <c r="AW881" s="113"/>
      <c r="AX881" s="113"/>
      <c r="AY881" s="113"/>
      <c r="AZ881" s="113"/>
      <c r="BA881" s="113"/>
      <c r="BB881" s="113"/>
      <c r="BC881" s="113"/>
      <c r="BD881" s="113"/>
      <c r="BE881" s="113"/>
      <c r="BF881" s="113"/>
      <c r="BG881" s="113"/>
      <c r="BH881" s="113"/>
      <c r="BI881" s="113"/>
    </row>
    <row r="882" spans="1:61" s="45" customFormat="1" ht="20.25" customHeight="1">
      <c r="A882" s="135"/>
      <c r="B882" s="643" t="s">
        <v>25</v>
      </c>
      <c r="C882" s="643"/>
      <c r="D882" s="643"/>
      <c r="E882" s="643"/>
      <c r="F882" s="643"/>
      <c r="G882" s="114">
        <f>G883+G884</f>
        <v>53000</v>
      </c>
      <c r="H882" s="114">
        <f t="shared" ref="H882:M882" si="318">H883+H884</f>
        <v>0</v>
      </c>
      <c r="I882" s="114">
        <f t="shared" si="318"/>
        <v>0</v>
      </c>
      <c r="J882" s="114">
        <f t="shared" si="318"/>
        <v>0</v>
      </c>
      <c r="K882" s="114">
        <f t="shared" si="318"/>
        <v>53000</v>
      </c>
      <c r="L882" s="114">
        <f t="shared" si="318"/>
        <v>0</v>
      </c>
      <c r="M882" s="114">
        <f t="shared" si="318"/>
        <v>0</v>
      </c>
      <c r="N882" s="703"/>
      <c r="O882" s="1037"/>
      <c r="AJ882" s="113"/>
      <c r="AK882" s="113"/>
      <c r="AL882" s="113"/>
      <c r="AM882" s="113"/>
      <c r="AN882" s="113"/>
      <c r="AO882" s="113"/>
      <c r="AP882" s="113"/>
      <c r="AQ882" s="113"/>
      <c r="AR882" s="113"/>
      <c r="AS882" s="113"/>
      <c r="AT882" s="113"/>
      <c r="AU882" s="113"/>
      <c r="AV882" s="113"/>
      <c r="AW882" s="113"/>
      <c r="AX882" s="113"/>
      <c r="AY882" s="113"/>
      <c r="AZ882" s="113"/>
      <c r="BA882" s="113"/>
      <c r="BB882" s="113"/>
      <c r="BC882" s="113"/>
      <c r="BD882" s="113"/>
      <c r="BE882" s="113"/>
      <c r="BF882" s="113"/>
      <c r="BG882" s="113"/>
      <c r="BH882" s="113"/>
      <c r="BI882" s="113"/>
    </row>
    <row r="883" spans="1:61" s="45" customFormat="1" ht="21" customHeight="1">
      <c r="A883" s="135"/>
      <c r="B883" s="643" t="s">
        <v>10</v>
      </c>
      <c r="C883" s="643"/>
      <c r="D883" s="643"/>
      <c r="E883" s="643"/>
      <c r="F883" s="643"/>
      <c r="G883" s="114">
        <f>K883</f>
        <v>53000</v>
      </c>
      <c r="H883" s="114"/>
      <c r="I883" s="114"/>
      <c r="J883" s="114"/>
      <c r="K883" s="114">
        <v>53000</v>
      </c>
      <c r="L883" s="114">
        <v>0</v>
      </c>
      <c r="M883" s="103"/>
      <c r="N883" s="703"/>
      <c r="O883" s="1037"/>
      <c r="AJ883" s="113"/>
      <c r="AK883" s="113"/>
      <c r="AL883" s="113"/>
      <c r="AM883" s="113"/>
      <c r="AN883" s="113"/>
      <c r="AO883" s="113"/>
      <c r="AP883" s="113"/>
      <c r="AQ883" s="113"/>
      <c r="AR883" s="113"/>
      <c r="AS883" s="113"/>
      <c r="AT883" s="113"/>
      <c r="AU883" s="113"/>
      <c r="AV883" s="113"/>
      <c r="AW883" s="113"/>
      <c r="AX883" s="113"/>
      <c r="AY883" s="113"/>
      <c r="AZ883" s="113"/>
      <c r="BA883" s="113"/>
      <c r="BB883" s="113"/>
      <c r="BC883" s="113"/>
      <c r="BD883" s="113"/>
      <c r="BE883" s="113"/>
      <c r="BF883" s="113"/>
      <c r="BG883" s="113"/>
      <c r="BH883" s="113"/>
      <c r="BI883" s="113"/>
    </row>
    <row r="884" spans="1:61" ht="24.75" customHeight="1">
      <c r="A884" s="136"/>
      <c r="B884" s="643" t="s">
        <v>502</v>
      </c>
      <c r="C884" s="643"/>
      <c r="D884" s="643"/>
      <c r="E884" s="643"/>
      <c r="F884" s="643"/>
      <c r="G884" s="103"/>
      <c r="H884" s="103"/>
      <c r="I884" s="103"/>
      <c r="J884" s="103"/>
      <c r="K884" s="103"/>
      <c r="L884" s="103"/>
      <c r="M884" s="103"/>
      <c r="N884" s="703"/>
      <c r="O884" s="1037"/>
    </row>
    <row r="885" spans="1:61" ht="23.25" customHeight="1">
      <c r="A885" s="1028" t="s">
        <v>597</v>
      </c>
      <c r="B885" s="643" t="s">
        <v>89</v>
      </c>
      <c r="C885" s="643"/>
      <c r="D885" s="643"/>
      <c r="E885" s="643"/>
      <c r="F885" s="643"/>
      <c r="G885" s="103">
        <f>K885</f>
        <v>0</v>
      </c>
      <c r="H885" s="103"/>
      <c r="I885" s="103"/>
      <c r="J885" s="103"/>
      <c r="K885" s="103"/>
      <c r="L885" s="103"/>
      <c r="M885" s="103">
        <v>2.5</v>
      </c>
      <c r="N885" s="703"/>
      <c r="O885" s="1037" t="s">
        <v>967</v>
      </c>
    </row>
    <row r="886" spans="1:61" ht="22.5" customHeight="1">
      <c r="A886" s="1036"/>
      <c r="B886" s="643" t="s">
        <v>25</v>
      </c>
      <c r="C886" s="643"/>
      <c r="D886" s="643"/>
      <c r="E886" s="643"/>
      <c r="F886" s="643"/>
      <c r="G886" s="103">
        <f t="shared" ref="G886:G888" si="319">K886</f>
        <v>0</v>
      </c>
      <c r="H886" s="103"/>
      <c r="I886" s="103"/>
      <c r="J886" s="103"/>
      <c r="K886" s="103">
        <f>K887+K888</f>
        <v>0</v>
      </c>
      <c r="L886" s="103">
        <f t="shared" ref="L886:M886" si="320">L887+L888</f>
        <v>0</v>
      </c>
      <c r="M886" s="103">
        <f t="shared" si="320"/>
        <v>35000</v>
      </c>
      <c r="N886" s="703"/>
      <c r="O886" s="1037"/>
    </row>
    <row r="887" spans="1:61" ht="22.5" customHeight="1">
      <c r="A887" s="1036"/>
      <c r="B887" s="643" t="s">
        <v>10</v>
      </c>
      <c r="C887" s="643"/>
      <c r="D887" s="643"/>
      <c r="E887" s="643"/>
      <c r="F887" s="643"/>
      <c r="G887" s="103">
        <f t="shared" si="319"/>
        <v>0</v>
      </c>
      <c r="H887" s="103"/>
      <c r="I887" s="103"/>
      <c r="J887" s="103"/>
      <c r="K887" s="103"/>
      <c r="L887" s="103"/>
      <c r="M887" s="103">
        <v>35000</v>
      </c>
      <c r="N887" s="703"/>
      <c r="O887" s="1037"/>
    </row>
    <row r="888" spans="1:61" ht="21.75" customHeight="1">
      <c r="A888" s="1036"/>
      <c r="B888" s="643" t="s">
        <v>502</v>
      </c>
      <c r="C888" s="643"/>
      <c r="D888" s="643"/>
      <c r="E888" s="643"/>
      <c r="F888" s="643"/>
      <c r="G888" s="103">
        <f t="shared" si="319"/>
        <v>0</v>
      </c>
      <c r="H888" s="103"/>
      <c r="I888" s="103"/>
      <c r="J888" s="103"/>
      <c r="K888" s="103"/>
      <c r="L888" s="103"/>
      <c r="M888" s="103"/>
      <c r="N888" s="703"/>
      <c r="O888" s="1037"/>
    </row>
    <row r="889" spans="1:61" ht="22.5" customHeight="1">
      <c r="A889" s="1028" t="s">
        <v>598</v>
      </c>
      <c r="B889" s="643" t="s">
        <v>89</v>
      </c>
      <c r="C889" s="643"/>
      <c r="D889" s="643"/>
      <c r="E889" s="643"/>
      <c r="F889" s="643"/>
      <c r="G889" s="103"/>
      <c r="H889" s="103"/>
      <c r="I889" s="103"/>
      <c r="J889" s="103"/>
      <c r="K889" s="103"/>
      <c r="L889" s="103">
        <v>2</v>
      </c>
      <c r="M889" s="103">
        <v>2</v>
      </c>
      <c r="N889" s="703"/>
      <c r="O889" s="1030" t="s">
        <v>968</v>
      </c>
    </row>
    <row r="890" spans="1:61" ht="24.95" customHeight="1">
      <c r="A890" s="1036"/>
      <c r="B890" s="643" t="s">
        <v>25</v>
      </c>
      <c r="C890" s="643"/>
      <c r="D890" s="643"/>
      <c r="E890" s="643"/>
      <c r="F890" s="643"/>
      <c r="G890" s="103"/>
      <c r="H890" s="103"/>
      <c r="I890" s="103"/>
      <c r="J890" s="103"/>
      <c r="K890" s="103"/>
      <c r="L890" s="103">
        <f>L891+L892</f>
        <v>24000</v>
      </c>
      <c r="M890" s="103">
        <f>M891+M892</f>
        <v>25000</v>
      </c>
      <c r="N890" s="703"/>
      <c r="O890" s="1032"/>
    </row>
    <row r="891" spans="1:61" ht="24.95" customHeight="1">
      <c r="A891" s="1036"/>
      <c r="B891" s="643" t="s">
        <v>10</v>
      </c>
      <c r="C891" s="643"/>
      <c r="D891" s="643"/>
      <c r="E891" s="643"/>
      <c r="F891" s="643"/>
      <c r="G891" s="103"/>
      <c r="H891" s="103"/>
      <c r="I891" s="103"/>
      <c r="J891" s="103"/>
      <c r="K891" s="103"/>
      <c r="L891" s="103">
        <v>24000</v>
      </c>
      <c r="M891" s="103">
        <v>25000</v>
      </c>
      <c r="N891" s="703"/>
      <c r="O891" s="1032"/>
    </row>
    <row r="892" spans="1:61" ht="24.95" customHeight="1">
      <c r="A892" s="1029"/>
      <c r="B892" s="643" t="s">
        <v>502</v>
      </c>
      <c r="C892" s="643"/>
      <c r="D892" s="643"/>
      <c r="E892" s="643"/>
      <c r="F892" s="643"/>
      <c r="G892" s="103"/>
      <c r="H892" s="103"/>
      <c r="I892" s="103"/>
      <c r="J892" s="103"/>
      <c r="K892" s="103"/>
      <c r="L892" s="103"/>
      <c r="M892" s="103"/>
      <c r="N892" s="703"/>
      <c r="O892" s="1031"/>
    </row>
    <row r="893" spans="1:61" ht="24.95" customHeight="1">
      <c r="A893" s="985" t="s">
        <v>101</v>
      </c>
      <c r="B893" s="62" t="s">
        <v>89</v>
      </c>
      <c r="C893" s="62"/>
      <c r="D893" s="62"/>
      <c r="E893" s="62"/>
      <c r="F893" s="62"/>
      <c r="G893" s="102">
        <f>G897+G901+G904+G906+G908</f>
        <v>0</v>
      </c>
      <c r="H893" s="102">
        <f t="shared" ref="H893:M893" si="321">H897+H901+H904+H906+H908</f>
        <v>0</v>
      </c>
      <c r="I893" s="102">
        <f t="shared" si="321"/>
        <v>0</v>
      </c>
      <c r="J893" s="102">
        <f t="shared" si="321"/>
        <v>0</v>
      </c>
      <c r="K893" s="102">
        <f t="shared" si="321"/>
        <v>0</v>
      </c>
      <c r="L893" s="102">
        <f t="shared" si="321"/>
        <v>6.5</v>
      </c>
      <c r="M893" s="102">
        <f t="shared" si="321"/>
        <v>4.5999999999999996</v>
      </c>
      <c r="N893" s="703"/>
      <c r="O893" s="709"/>
    </row>
    <row r="894" spans="1:61" ht="24.95" customHeight="1">
      <c r="A894" s="986"/>
      <c r="B894" s="62" t="s">
        <v>25</v>
      </c>
      <c r="C894" s="62"/>
      <c r="D894" s="62"/>
      <c r="E894" s="62"/>
      <c r="F894" s="62"/>
      <c r="G894" s="102">
        <f>G895+G896</f>
        <v>0</v>
      </c>
      <c r="H894" s="102">
        <f t="shared" ref="H894:M894" si="322">H895+H896</f>
        <v>0</v>
      </c>
      <c r="I894" s="102">
        <f t="shared" si="322"/>
        <v>0</v>
      </c>
      <c r="J894" s="102">
        <f t="shared" si="322"/>
        <v>0</v>
      </c>
      <c r="K894" s="102">
        <f t="shared" si="322"/>
        <v>0</v>
      </c>
      <c r="L894" s="102">
        <f t="shared" si="322"/>
        <v>77880</v>
      </c>
      <c r="M894" s="102">
        <f t="shared" si="322"/>
        <v>66000</v>
      </c>
      <c r="N894" s="703"/>
      <c r="O894" s="709"/>
    </row>
    <row r="895" spans="1:61" ht="24.95" customHeight="1">
      <c r="A895" s="986"/>
      <c r="B895" s="62" t="s">
        <v>10</v>
      </c>
      <c r="C895" s="62"/>
      <c r="D895" s="62"/>
      <c r="E895" s="62"/>
      <c r="F895" s="62"/>
      <c r="G895" s="102">
        <f>G899+G903+G905+G907+G909</f>
        <v>0</v>
      </c>
      <c r="H895" s="102">
        <f t="shared" ref="H895:M895" si="323">H899+H903+H905+H907+H909</f>
        <v>0</v>
      </c>
      <c r="I895" s="102">
        <f t="shared" si="323"/>
        <v>0</v>
      </c>
      <c r="J895" s="102">
        <f t="shared" si="323"/>
        <v>0</v>
      </c>
      <c r="K895" s="102">
        <f t="shared" si="323"/>
        <v>0</v>
      </c>
      <c r="L895" s="102">
        <f t="shared" si="323"/>
        <v>77880</v>
      </c>
      <c r="M895" s="102">
        <f t="shared" si="323"/>
        <v>66000</v>
      </c>
      <c r="N895" s="703"/>
      <c r="O895" s="709"/>
    </row>
    <row r="896" spans="1:61" s="45" customFormat="1" ht="24.95" customHeight="1">
      <c r="A896" s="987"/>
      <c r="B896" s="62" t="s">
        <v>502</v>
      </c>
      <c r="C896" s="62"/>
      <c r="D896" s="62"/>
      <c r="E896" s="62"/>
      <c r="F896" s="62"/>
      <c r="G896" s="102">
        <f>G900</f>
        <v>0</v>
      </c>
      <c r="H896" s="102">
        <f t="shared" ref="H896:M896" si="324">H900</f>
        <v>0</v>
      </c>
      <c r="I896" s="102">
        <f t="shared" si="324"/>
        <v>0</v>
      </c>
      <c r="J896" s="102">
        <f t="shared" si="324"/>
        <v>0</v>
      </c>
      <c r="K896" s="102">
        <f t="shared" si="324"/>
        <v>0</v>
      </c>
      <c r="L896" s="102">
        <f t="shared" si="324"/>
        <v>0</v>
      </c>
      <c r="M896" s="102">
        <f t="shared" si="324"/>
        <v>0</v>
      </c>
      <c r="N896" s="703"/>
      <c r="O896" s="709"/>
      <c r="AJ896" s="113"/>
      <c r="AK896" s="113"/>
      <c r="AL896" s="113"/>
      <c r="AM896" s="113"/>
      <c r="AN896" s="113"/>
      <c r="AO896" s="113"/>
      <c r="AP896" s="113"/>
      <c r="AQ896" s="113"/>
      <c r="AR896" s="113"/>
      <c r="AS896" s="113"/>
      <c r="AT896" s="113"/>
      <c r="AU896" s="113"/>
      <c r="AV896" s="113"/>
      <c r="AW896" s="113"/>
      <c r="AX896" s="113"/>
      <c r="AY896" s="113"/>
      <c r="AZ896" s="113"/>
      <c r="BA896" s="113"/>
      <c r="BB896" s="113"/>
      <c r="BC896" s="113"/>
      <c r="BD896" s="113"/>
      <c r="BE896" s="113"/>
      <c r="BF896" s="113"/>
      <c r="BG896" s="113"/>
      <c r="BH896" s="113"/>
      <c r="BI896" s="113"/>
    </row>
    <row r="897" spans="1:61" s="45" customFormat="1" ht="24.95" customHeight="1">
      <c r="A897" s="1039" t="s">
        <v>485</v>
      </c>
      <c r="B897" s="643" t="s">
        <v>89</v>
      </c>
      <c r="C897" s="643">
        <v>176</v>
      </c>
      <c r="D897" s="643" t="s">
        <v>15</v>
      </c>
      <c r="E897" s="643">
        <v>6100404</v>
      </c>
      <c r="F897" s="643">
        <v>244</v>
      </c>
      <c r="G897" s="103">
        <f>K897</f>
        <v>0</v>
      </c>
      <c r="H897" s="103"/>
      <c r="I897" s="103"/>
      <c r="J897" s="103"/>
      <c r="K897" s="103"/>
      <c r="L897" s="103">
        <v>2.5</v>
      </c>
      <c r="M897" s="103"/>
      <c r="N897" s="703"/>
      <c r="O897" s="1037" t="s">
        <v>880</v>
      </c>
      <c r="AJ897" s="113"/>
      <c r="AK897" s="113"/>
      <c r="AL897" s="113"/>
      <c r="AM897" s="113"/>
      <c r="AN897" s="113"/>
      <c r="AO897" s="113"/>
      <c r="AP897" s="113"/>
      <c r="AQ897" s="113"/>
      <c r="AR897" s="113"/>
      <c r="AS897" s="113"/>
      <c r="AT897" s="113"/>
      <c r="AU897" s="113"/>
      <c r="AV897" s="113"/>
      <c r="AW897" s="113"/>
      <c r="AX897" s="113"/>
      <c r="AY897" s="113"/>
      <c r="AZ897" s="113"/>
      <c r="BA897" s="113"/>
      <c r="BB897" s="113"/>
      <c r="BC897" s="113"/>
      <c r="BD897" s="113"/>
      <c r="BE897" s="113"/>
      <c r="BF897" s="113"/>
      <c r="BG897" s="113"/>
      <c r="BH897" s="113"/>
      <c r="BI897" s="113"/>
    </row>
    <row r="898" spans="1:61" s="45" customFormat="1" ht="24.95" customHeight="1">
      <c r="A898" s="1039"/>
      <c r="B898" s="643" t="s">
        <v>25</v>
      </c>
      <c r="C898" s="643"/>
      <c r="D898" s="643"/>
      <c r="E898" s="643"/>
      <c r="F898" s="643"/>
      <c r="G898" s="103">
        <f t="shared" ref="G898:G899" si="325">K898</f>
        <v>0</v>
      </c>
      <c r="H898" s="103"/>
      <c r="I898" s="103"/>
      <c r="J898" s="103"/>
      <c r="K898" s="103">
        <f>K899+K900</f>
        <v>0</v>
      </c>
      <c r="L898" s="103">
        <f>L899</f>
        <v>29880</v>
      </c>
      <c r="M898" s="103"/>
      <c r="N898" s="703"/>
      <c r="O898" s="1037"/>
      <c r="AJ898" s="113"/>
      <c r="AK898" s="113"/>
      <c r="AL898" s="113"/>
      <c r="AM898" s="113"/>
      <c r="AN898" s="113"/>
      <c r="AO898" s="113"/>
      <c r="AP898" s="113"/>
      <c r="AQ898" s="113"/>
      <c r="AR898" s="113"/>
      <c r="AS898" s="113"/>
      <c r="AT898" s="113"/>
      <c r="AU898" s="113"/>
      <c r="AV898" s="113"/>
      <c r="AW898" s="113"/>
      <c r="AX898" s="113"/>
      <c r="AY898" s="113"/>
      <c r="AZ898" s="113"/>
      <c r="BA898" s="113"/>
      <c r="BB898" s="113"/>
      <c r="BC898" s="113"/>
      <c r="BD898" s="113"/>
      <c r="BE898" s="113"/>
      <c r="BF898" s="113"/>
      <c r="BG898" s="113"/>
      <c r="BH898" s="113"/>
      <c r="BI898" s="113"/>
    </row>
    <row r="899" spans="1:61" s="45" customFormat="1" ht="24.95" customHeight="1">
      <c r="A899" s="1039"/>
      <c r="B899" s="643" t="s">
        <v>10</v>
      </c>
      <c r="C899" s="643"/>
      <c r="D899" s="643"/>
      <c r="E899" s="643"/>
      <c r="F899" s="643"/>
      <c r="G899" s="103">
        <f t="shared" si="325"/>
        <v>0</v>
      </c>
      <c r="H899" s="103"/>
      <c r="I899" s="103"/>
      <c r="J899" s="103"/>
      <c r="K899" s="103"/>
      <c r="L899" s="103">
        <v>29880</v>
      </c>
      <c r="M899" s="103"/>
      <c r="N899" s="703"/>
      <c r="O899" s="1037"/>
      <c r="AJ899" s="113"/>
      <c r="AK899" s="113"/>
      <c r="AL899" s="113"/>
      <c r="AM899" s="113"/>
      <c r="AN899" s="113"/>
      <c r="AO899" s="113"/>
      <c r="AP899" s="113"/>
      <c r="AQ899" s="113"/>
      <c r="AR899" s="113"/>
      <c r="AS899" s="113"/>
      <c r="AT899" s="113"/>
      <c r="AU899" s="113"/>
      <c r="AV899" s="113"/>
      <c r="AW899" s="113"/>
      <c r="AX899" s="113"/>
      <c r="AY899" s="113"/>
      <c r="AZ899" s="113"/>
      <c r="BA899" s="113"/>
      <c r="BB899" s="113"/>
      <c r="BC899" s="113"/>
      <c r="BD899" s="113"/>
      <c r="BE899" s="113"/>
      <c r="BF899" s="113"/>
      <c r="BG899" s="113"/>
      <c r="BH899" s="113"/>
      <c r="BI899" s="113"/>
    </row>
    <row r="900" spans="1:61" s="45" customFormat="1" ht="25.15" hidden="1" customHeight="1">
      <c r="A900" s="1039"/>
      <c r="B900" s="643" t="s">
        <v>502</v>
      </c>
      <c r="C900" s="643"/>
      <c r="D900" s="643"/>
      <c r="E900" s="643"/>
      <c r="F900" s="643"/>
      <c r="G900" s="103">
        <f>K900</f>
        <v>0</v>
      </c>
      <c r="H900" s="103"/>
      <c r="I900" s="103"/>
      <c r="J900" s="103"/>
      <c r="K900" s="103"/>
      <c r="L900" s="103"/>
      <c r="M900" s="102"/>
      <c r="N900" s="709"/>
      <c r="O900" s="1037"/>
      <c r="AJ900" s="113"/>
      <c r="AK900" s="113"/>
      <c r="AL900" s="113"/>
      <c r="AM900" s="113"/>
      <c r="AN900" s="113"/>
      <c r="AO900" s="113"/>
      <c r="AP900" s="113"/>
      <c r="AQ900" s="113"/>
      <c r="AR900" s="113"/>
      <c r="AS900" s="113"/>
      <c r="AT900" s="113"/>
      <c r="AU900" s="113"/>
      <c r="AV900" s="113"/>
      <c r="AW900" s="113"/>
      <c r="AX900" s="113"/>
      <c r="AY900" s="113"/>
      <c r="AZ900" s="113"/>
      <c r="BA900" s="113"/>
      <c r="BB900" s="113"/>
      <c r="BC900" s="113"/>
      <c r="BD900" s="113"/>
      <c r="BE900" s="113"/>
      <c r="BF900" s="113"/>
      <c r="BG900" s="113"/>
      <c r="BH900" s="113"/>
      <c r="BI900" s="113"/>
    </row>
    <row r="901" spans="1:61" s="45" customFormat="1" ht="25.15" customHeight="1">
      <c r="A901" s="1028" t="s">
        <v>733</v>
      </c>
      <c r="B901" s="643" t="s">
        <v>89</v>
      </c>
      <c r="C901" s="643"/>
      <c r="D901" s="643"/>
      <c r="E901" s="643"/>
      <c r="F901" s="643"/>
      <c r="G901" s="103">
        <f>K901</f>
        <v>0</v>
      </c>
      <c r="H901" s="103"/>
      <c r="I901" s="103"/>
      <c r="J901" s="103"/>
      <c r="K901" s="103"/>
      <c r="L901" s="103">
        <v>0</v>
      </c>
      <c r="M901" s="103">
        <v>1.5</v>
      </c>
      <c r="N901" s="709"/>
      <c r="O901" s="1037" t="s">
        <v>626</v>
      </c>
      <c r="AJ901" s="113"/>
      <c r="AK901" s="113"/>
      <c r="AL901" s="113"/>
      <c r="AM901" s="113"/>
      <c r="AN901" s="113"/>
      <c r="AO901" s="113"/>
      <c r="AP901" s="113"/>
      <c r="AQ901" s="113"/>
      <c r="AR901" s="113"/>
      <c r="AS901" s="113"/>
      <c r="AT901" s="113"/>
      <c r="AU901" s="113"/>
      <c r="AV901" s="113"/>
      <c r="AW901" s="113"/>
      <c r="AX901" s="113"/>
      <c r="AY901" s="113"/>
      <c r="AZ901" s="113"/>
      <c r="BA901" s="113"/>
      <c r="BB901" s="113"/>
      <c r="BC901" s="113"/>
      <c r="BD901" s="113"/>
      <c r="BE901" s="113"/>
      <c r="BF901" s="113"/>
      <c r="BG901" s="113"/>
      <c r="BH901" s="113"/>
      <c r="BI901" s="113"/>
    </row>
    <row r="902" spans="1:61" s="45" customFormat="1" ht="25.15" customHeight="1">
      <c r="A902" s="1036"/>
      <c r="B902" s="643" t="s">
        <v>335</v>
      </c>
      <c r="C902" s="643"/>
      <c r="D902" s="643"/>
      <c r="E902" s="643"/>
      <c r="F902" s="643"/>
      <c r="G902" s="103">
        <f t="shared" ref="G902:G903" si="326">K902</f>
        <v>0</v>
      </c>
      <c r="H902" s="103">
        <f t="shared" ref="H902:J902" si="327">H903</f>
        <v>0</v>
      </c>
      <c r="I902" s="103">
        <f t="shared" si="327"/>
        <v>0</v>
      </c>
      <c r="J902" s="103">
        <f t="shared" si="327"/>
        <v>0</v>
      </c>
      <c r="K902" s="103">
        <f>K903</f>
        <v>0</v>
      </c>
      <c r="L902" s="103">
        <f>L903</f>
        <v>0</v>
      </c>
      <c r="M902" s="103">
        <f>M903</f>
        <v>20000</v>
      </c>
      <c r="N902" s="709"/>
      <c r="O902" s="1037"/>
      <c r="AJ902" s="113"/>
      <c r="AK902" s="113"/>
      <c r="AL902" s="113"/>
      <c r="AM902" s="113"/>
      <c r="AN902" s="113"/>
      <c r="AO902" s="113"/>
      <c r="AP902" s="113"/>
      <c r="AQ902" s="113"/>
      <c r="AR902" s="113"/>
      <c r="AS902" s="113"/>
      <c r="AT902" s="113"/>
      <c r="AU902" s="113"/>
      <c r="AV902" s="113"/>
      <c r="AW902" s="113"/>
      <c r="AX902" s="113"/>
      <c r="AY902" s="113"/>
      <c r="AZ902" s="113"/>
      <c r="BA902" s="113"/>
      <c r="BB902" s="113"/>
      <c r="BC902" s="113"/>
      <c r="BD902" s="113"/>
      <c r="BE902" s="113"/>
      <c r="BF902" s="113"/>
      <c r="BG902" s="113"/>
      <c r="BH902" s="113"/>
      <c r="BI902" s="113"/>
    </row>
    <row r="903" spans="1:61" s="45" customFormat="1" ht="25.15" customHeight="1">
      <c r="A903" s="1029"/>
      <c r="B903" s="643" t="s">
        <v>343</v>
      </c>
      <c r="C903" s="643"/>
      <c r="D903" s="643"/>
      <c r="E903" s="643"/>
      <c r="F903" s="643"/>
      <c r="G903" s="103">
        <f t="shared" si="326"/>
        <v>0</v>
      </c>
      <c r="H903" s="103"/>
      <c r="I903" s="103"/>
      <c r="J903" s="103"/>
      <c r="K903" s="103"/>
      <c r="L903" s="103">
        <v>0</v>
      </c>
      <c r="M903" s="103">
        <v>20000</v>
      </c>
      <c r="N903" s="709"/>
      <c r="O903" s="1037"/>
      <c r="AJ903" s="113"/>
      <c r="AK903" s="113"/>
      <c r="AL903" s="113"/>
      <c r="AM903" s="113"/>
      <c r="AN903" s="113"/>
      <c r="AO903" s="113"/>
      <c r="AP903" s="113"/>
      <c r="AQ903" s="113"/>
      <c r="AR903" s="113"/>
      <c r="AS903" s="113"/>
      <c r="AT903" s="113"/>
      <c r="AU903" s="113"/>
      <c r="AV903" s="113"/>
      <c r="AW903" s="113"/>
      <c r="AX903" s="113"/>
      <c r="AY903" s="113"/>
      <c r="AZ903" s="113"/>
      <c r="BA903" s="113"/>
      <c r="BB903" s="113"/>
      <c r="BC903" s="113"/>
      <c r="BD903" s="113"/>
      <c r="BE903" s="113"/>
      <c r="BF903" s="113"/>
      <c r="BG903" s="113"/>
      <c r="BH903" s="113"/>
      <c r="BI903" s="113"/>
    </row>
    <row r="904" spans="1:61" ht="24.6" customHeight="1">
      <c r="A904" s="1028" t="s">
        <v>970</v>
      </c>
      <c r="B904" s="643" t="s">
        <v>89</v>
      </c>
      <c r="C904" s="643"/>
      <c r="D904" s="643"/>
      <c r="E904" s="643"/>
      <c r="F904" s="643"/>
      <c r="G904" s="103">
        <f>K904</f>
        <v>0</v>
      </c>
      <c r="H904" s="103"/>
      <c r="I904" s="103"/>
      <c r="J904" s="103"/>
      <c r="K904" s="103"/>
      <c r="L904" s="103"/>
      <c r="M904" s="103">
        <v>1</v>
      </c>
      <c r="N904" s="703"/>
      <c r="O904" s="1030" t="s">
        <v>584</v>
      </c>
    </row>
    <row r="905" spans="1:61" ht="24.6" customHeight="1">
      <c r="A905" s="1036"/>
      <c r="B905" s="643" t="s">
        <v>248</v>
      </c>
      <c r="C905" s="643"/>
      <c r="D905" s="643"/>
      <c r="E905" s="643"/>
      <c r="F905" s="643"/>
      <c r="G905" s="103">
        <f>K905</f>
        <v>0</v>
      </c>
      <c r="H905" s="103"/>
      <c r="I905" s="103"/>
      <c r="J905" s="103"/>
      <c r="K905" s="103"/>
      <c r="L905" s="103"/>
      <c r="M905" s="103">
        <v>15000</v>
      </c>
      <c r="N905" s="703"/>
      <c r="O905" s="1032"/>
    </row>
    <row r="906" spans="1:61" s="45" customFormat="1" ht="24.6" customHeight="1">
      <c r="A906" s="1028" t="s">
        <v>600</v>
      </c>
      <c r="B906" s="643" t="s">
        <v>89</v>
      </c>
      <c r="C906" s="643"/>
      <c r="D906" s="643"/>
      <c r="E906" s="643"/>
      <c r="F906" s="643"/>
      <c r="G906" s="103"/>
      <c r="H906" s="103"/>
      <c r="I906" s="103"/>
      <c r="J906" s="103"/>
      <c r="K906" s="103"/>
      <c r="L906" s="103">
        <v>2</v>
      </c>
      <c r="M906" s="103">
        <v>1.1000000000000001</v>
      </c>
      <c r="N906" s="703"/>
      <c r="O906" s="1037" t="s">
        <v>969</v>
      </c>
      <c r="AJ906" s="113"/>
      <c r="AK906" s="113"/>
      <c r="AL906" s="113"/>
      <c r="AM906" s="113"/>
      <c r="AN906" s="113"/>
      <c r="AO906" s="113"/>
      <c r="AP906" s="113"/>
      <c r="AQ906" s="113"/>
      <c r="AR906" s="113"/>
      <c r="AS906" s="113"/>
      <c r="AT906" s="113"/>
      <c r="AU906" s="113"/>
      <c r="AV906" s="113"/>
      <c r="AW906" s="113"/>
      <c r="AX906" s="113"/>
      <c r="AY906" s="113"/>
      <c r="AZ906" s="113"/>
      <c r="BA906" s="113"/>
      <c r="BB906" s="113"/>
      <c r="BC906" s="113"/>
      <c r="BD906" s="113"/>
      <c r="BE906" s="113"/>
      <c r="BF906" s="113"/>
      <c r="BG906" s="113"/>
      <c r="BH906" s="113"/>
      <c r="BI906" s="113"/>
    </row>
    <row r="907" spans="1:61" ht="24.6" customHeight="1">
      <c r="A907" s="1029"/>
      <c r="B907" s="643" t="s">
        <v>248</v>
      </c>
      <c r="C907" s="643"/>
      <c r="D907" s="643"/>
      <c r="E907" s="643"/>
      <c r="F907" s="643"/>
      <c r="G907" s="103"/>
      <c r="H907" s="103"/>
      <c r="I907" s="103"/>
      <c r="J907" s="103"/>
      <c r="K907" s="103"/>
      <c r="L907" s="103">
        <v>24000</v>
      </c>
      <c r="M907" s="103">
        <v>16000</v>
      </c>
      <c r="N907" s="703"/>
      <c r="O907" s="1037"/>
    </row>
    <row r="908" spans="1:61" ht="24.6" customHeight="1">
      <c r="A908" s="1028" t="s">
        <v>602</v>
      </c>
      <c r="B908" s="643" t="s">
        <v>89</v>
      </c>
      <c r="C908" s="643"/>
      <c r="D908" s="643"/>
      <c r="E908" s="643"/>
      <c r="F908" s="643"/>
      <c r="G908" s="103"/>
      <c r="H908" s="103"/>
      <c r="I908" s="103"/>
      <c r="J908" s="103"/>
      <c r="K908" s="103"/>
      <c r="L908" s="103">
        <v>2</v>
      </c>
      <c r="M908" s="103">
        <v>1</v>
      </c>
      <c r="N908" s="703"/>
      <c r="O908" s="1030" t="s">
        <v>537</v>
      </c>
    </row>
    <row r="909" spans="1:61" ht="24.6" customHeight="1">
      <c r="A909" s="1029"/>
      <c r="B909" s="643" t="s">
        <v>248</v>
      </c>
      <c r="C909" s="643"/>
      <c r="D909" s="643"/>
      <c r="E909" s="643"/>
      <c r="F909" s="643"/>
      <c r="G909" s="103"/>
      <c r="H909" s="103"/>
      <c r="I909" s="103"/>
      <c r="J909" s="103"/>
      <c r="K909" s="103"/>
      <c r="L909" s="103">
        <v>24000</v>
      </c>
      <c r="M909" s="103">
        <v>15000</v>
      </c>
      <c r="N909" s="703"/>
      <c r="O909" s="1031"/>
    </row>
    <row r="910" spans="1:61" ht="25.5" customHeight="1">
      <c r="A910" s="985" t="s">
        <v>155</v>
      </c>
      <c r="B910" s="62" t="s">
        <v>89</v>
      </c>
      <c r="C910" s="62"/>
      <c r="D910" s="62"/>
      <c r="E910" s="62"/>
      <c r="F910" s="62"/>
      <c r="G910" s="102">
        <f>G914+G918+G920</f>
        <v>3</v>
      </c>
      <c r="H910" s="102">
        <f t="shared" ref="H910:M910" si="328">H914+H918+H920</f>
        <v>0</v>
      </c>
      <c r="I910" s="102">
        <f t="shared" si="328"/>
        <v>0</v>
      </c>
      <c r="J910" s="102">
        <f t="shared" si="328"/>
        <v>0</v>
      </c>
      <c r="K910" s="102">
        <f t="shared" si="328"/>
        <v>3</v>
      </c>
      <c r="L910" s="102">
        <f>L914+L918+L920+L916</f>
        <v>7</v>
      </c>
      <c r="M910" s="102">
        <f t="shared" si="328"/>
        <v>8</v>
      </c>
      <c r="N910" s="703"/>
      <c r="O910" s="709"/>
    </row>
    <row r="911" spans="1:61" ht="25.5" customHeight="1">
      <c r="A911" s="986"/>
      <c r="B911" s="62" t="s">
        <v>25</v>
      </c>
      <c r="C911" s="62"/>
      <c r="D911" s="62"/>
      <c r="E911" s="62"/>
      <c r="F911" s="62"/>
      <c r="G911" s="102">
        <f>G912+G913</f>
        <v>37992.400000000001</v>
      </c>
      <c r="H911" s="102">
        <f t="shared" ref="H911:M911" si="329">H912+H913</f>
        <v>0</v>
      </c>
      <c r="I911" s="102">
        <f t="shared" si="329"/>
        <v>0</v>
      </c>
      <c r="J911" s="102">
        <f t="shared" si="329"/>
        <v>0</v>
      </c>
      <c r="K911" s="102">
        <f t="shared" si="329"/>
        <v>37992.400000000001</v>
      </c>
      <c r="L911" s="102">
        <f t="shared" si="329"/>
        <v>87450.9</v>
      </c>
      <c r="M911" s="102">
        <f t="shared" si="329"/>
        <v>106938</v>
      </c>
      <c r="N911" s="703"/>
      <c r="O911" s="709"/>
    </row>
    <row r="912" spans="1:61" ht="25.5" customHeight="1">
      <c r="A912" s="986"/>
      <c r="B912" s="62" t="s">
        <v>10</v>
      </c>
      <c r="C912" s="62"/>
      <c r="D912" s="62"/>
      <c r="E912" s="62"/>
      <c r="F912" s="62"/>
      <c r="G912" s="102">
        <f>G915+G919+G922</f>
        <v>37992.400000000001</v>
      </c>
      <c r="H912" s="102">
        <f t="shared" ref="H912:M912" si="330">H915+H919+H922</f>
        <v>0</v>
      </c>
      <c r="I912" s="102">
        <f t="shared" si="330"/>
        <v>0</v>
      </c>
      <c r="J912" s="102">
        <f t="shared" si="330"/>
        <v>0</v>
      </c>
      <c r="K912" s="102">
        <f t="shared" si="330"/>
        <v>37992.400000000001</v>
      </c>
      <c r="L912" s="102">
        <f>L915+L919+L922+L917</f>
        <v>87450.9</v>
      </c>
      <c r="M912" s="102">
        <f t="shared" si="330"/>
        <v>106938</v>
      </c>
      <c r="N912" s="703"/>
      <c r="O912" s="709"/>
    </row>
    <row r="913" spans="1:61" ht="25.5" customHeight="1">
      <c r="A913" s="987"/>
      <c r="B913" s="62" t="s">
        <v>502</v>
      </c>
      <c r="C913" s="62"/>
      <c r="D913" s="62"/>
      <c r="E913" s="62"/>
      <c r="F913" s="62"/>
      <c r="G913" s="102">
        <f>G923</f>
        <v>0</v>
      </c>
      <c r="H913" s="102">
        <f t="shared" ref="H913:M913" si="331">H923</f>
        <v>0</v>
      </c>
      <c r="I913" s="102">
        <f t="shared" si="331"/>
        <v>0</v>
      </c>
      <c r="J913" s="102">
        <f t="shared" si="331"/>
        <v>0</v>
      </c>
      <c r="K913" s="102">
        <f t="shared" si="331"/>
        <v>0</v>
      </c>
      <c r="L913" s="102">
        <f t="shared" si="331"/>
        <v>0</v>
      </c>
      <c r="M913" s="102">
        <f t="shared" si="331"/>
        <v>0</v>
      </c>
      <c r="N913" s="703"/>
      <c r="O913" s="709"/>
    </row>
    <row r="914" spans="1:61" ht="25.5" customHeight="1">
      <c r="A914" s="1039" t="s">
        <v>154</v>
      </c>
      <c r="B914" s="643" t="s">
        <v>89</v>
      </c>
      <c r="C914" s="643">
        <v>176</v>
      </c>
      <c r="D914" s="643" t="s">
        <v>15</v>
      </c>
      <c r="E914" s="643">
        <v>6100404</v>
      </c>
      <c r="F914" s="643">
        <v>244</v>
      </c>
      <c r="G914" s="103">
        <f>K914</f>
        <v>3</v>
      </c>
      <c r="H914" s="103"/>
      <c r="I914" s="103"/>
      <c r="J914" s="103"/>
      <c r="K914" s="103">
        <v>3</v>
      </c>
      <c r="L914" s="103">
        <v>5</v>
      </c>
      <c r="M914" s="103">
        <v>4.5</v>
      </c>
      <c r="N914" s="703"/>
      <c r="O914" s="1037" t="s">
        <v>971</v>
      </c>
    </row>
    <row r="915" spans="1:61" s="45" customFormat="1" ht="25.5" customHeight="1">
      <c r="A915" s="1039"/>
      <c r="B915" s="643" t="s">
        <v>248</v>
      </c>
      <c r="C915" s="643"/>
      <c r="D915" s="643"/>
      <c r="E915" s="643"/>
      <c r="F915" s="643"/>
      <c r="G915" s="103">
        <f>K915</f>
        <v>37992.400000000001</v>
      </c>
      <c r="H915" s="103"/>
      <c r="I915" s="103"/>
      <c r="J915" s="103"/>
      <c r="K915" s="103">
        <v>37992.400000000001</v>
      </c>
      <c r="L915" s="103">
        <v>62450.9</v>
      </c>
      <c r="M915" s="103">
        <v>56938</v>
      </c>
      <c r="N915" s="703"/>
      <c r="O915" s="1037"/>
      <c r="AJ915" s="113"/>
      <c r="AK915" s="113"/>
      <c r="AL915" s="113"/>
      <c r="AM915" s="113"/>
      <c r="AN915" s="113"/>
      <c r="AO915" s="113"/>
      <c r="AP915" s="113"/>
      <c r="AQ915" s="113"/>
      <c r="AR915" s="113"/>
      <c r="AS915" s="113"/>
      <c r="AT915" s="113"/>
      <c r="AU915" s="113"/>
      <c r="AV915" s="113"/>
      <c r="AW915" s="113"/>
      <c r="AX915" s="113"/>
      <c r="AY915" s="113"/>
      <c r="AZ915" s="113"/>
      <c r="BA915" s="113"/>
      <c r="BB915" s="113"/>
      <c r="BC915" s="113"/>
      <c r="BD915" s="113"/>
      <c r="BE915" s="113"/>
      <c r="BF915" s="113"/>
      <c r="BG915" s="113"/>
      <c r="BH915" s="113"/>
      <c r="BI915" s="113"/>
    </row>
    <row r="916" spans="1:61" s="45" customFormat="1" ht="25.5" customHeight="1">
      <c r="A916" s="1028" t="s">
        <v>258</v>
      </c>
      <c r="B916" s="760" t="s">
        <v>89</v>
      </c>
      <c r="C916" s="760">
        <v>176</v>
      </c>
      <c r="D916" s="760" t="s">
        <v>15</v>
      </c>
      <c r="E916" s="760">
        <v>6100404</v>
      </c>
      <c r="F916" s="760">
        <v>244</v>
      </c>
      <c r="G916" s="103">
        <f>J916</f>
        <v>0</v>
      </c>
      <c r="H916" s="103"/>
      <c r="I916" s="103"/>
      <c r="J916" s="103"/>
      <c r="K916" s="103"/>
      <c r="L916" s="103">
        <v>2</v>
      </c>
      <c r="M916" s="103"/>
      <c r="N916" s="760"/>
      <c r="O916" s="1030" t="s">
        <v>470</v>
      </c>
      <c r="AJ916" s="113"/>
      <c r="AK916" s="113"/>
      <c r="AL916" s="113"/>
      <c r="AM916" s="113"/>
      <c r="AN916" s="113"/>
      <c r="AO916" s="113"/>
      <c r="AP916" s="113"/>
      <c r="AQ916" s="113"/>
      <c r="AR916" s="113"/>
      <c r="AS916" s="113"/>
      <c r="AT916" s="113"/>
      <c r="AU916" s="113"/>
      <c r="AV916" s="113"/>
      <c r="AW916" s="113"/>
      <c r="AX916" s="113"/>
      <c r="AY916" s="113"/>
      <c r="AZ916" s="113"/>
      <c r="BA916" s="113"/>
      <c r="BB916" s="113"/>
      <c r="BC916" s="113"/>
      <c r="BD916" s="113"/>
      <c r="BE916" s="113"/>
      <c r="BF916" s="113"/>
      <c r="BG916" s="113"/>
      <c r="BH916" s="113"/>
      <c r="BI916" s="113"/>
    </row>
    <row r="917" spans="1:61" s="45" customFormat="1" ht="25.5" customHeight="1">
      <c r="A917" s="1029"/>
      <c r="B917" s="760" t="s">
        <v>248</v>
      </c>
      <c r="C917" s="760"/>
      <c r="D917" s="760"/>
      <c r="E917" s="760"/>
      <c r="F917" s="760"/>
      <c r="G917" s="103"/>
      <c r="H917" s="103"/>
      <c r="I917" s="103"/>
      <c r="J917" s="103"/>
      <c r="K917" s="103"/>
      <c r="L917" s="103">
        <v>25000</v>
      </c>
      <c r="M917" s="103"/>
      <c r="N917" s="760"/>
      <c r="O917" s="1031"/>
      <c r="AJ917" s="113"/>
      <c r="AK917" s="113"/>
      <c r="AL917" s="113"/>
      <c r="AM917" s="113"/>
      <c r="AN917" s="113"/>
      <c r="AO917" s="113"/>
      <c r="AP917" s="113"/>
      <c r="AQ917" s="113"/>
      <c r="AR917" s="113"/>
      <c r="AS917" s="113"/>
      <c r="AT917" s="113"/>
      <c r="AU917" s="113"/>
      <c r="AV917" s="113"/>
      <c r="AW917" s="113"/>
      <c r="AX917" s="113"/>
      <c r="AY917" s="113"/>
      <c r="AZ917" s="113"/>
      <c r="BA917" s="113"/>
      <c r="BB917" s="113"/>
      <c r="BC917" s="113"/>
      <c r="BD917" s="113"/>
      <c r="BE917" s="113"/>
      <c r="BF917" s="113"/>
      <c r="BG917" s="113"/>
      <c r="BH917" s="113"/>
      <c r="BI917" s="113"/>
    </row>
    <row r="918" spans="1:61" s="45" customFormat="1" ht="25.5" customHeight="1">
      <c r="A918" s="1028" t="s">
        <v>972</v>
      </c>
      <c r="B918" s="643" t="s">
        <v>89</v>
      </c>
      <c r="C918" s="643">
        <v>176</v>
      </c>
      <c r="D918" s="643" t="s">
        <v>15</v>
      </c>
      <c r="E918" s="643">
        <v>6100404</v>
      </c>
      <c r="F918" s="643">
        <v>244</v>
      </c>
      <c r="G918" s="103">
        <f>J918</f>
        <v>0</v>
      </c>
      <c r="H918" s="103"/>
      <c r="I918" s="103"/>
      <c r="J918" s="103"/>
      <c r="K918" s="103"/>
      <c r="L918" s="103"/>
      <c r="M918" s="103">
        <v>1.5</v>
      </c>
      <c r="N918" s="703"/>
      <c r="O918" s="1030" t="s">
        <v>626</v>
      </c>
      <c r="AJ918" s="113"/>
      <c r="AK918" s="113"/>
      <c r="AL918" s="113"/>
      <c r="AM918" s="113"/>
      <c r="AN918" s="113"/>
      <c r="AO918" s="113"/>
      <c r="AP918" s="113"/>
      <c r="AQ918" s="113"/>
      <c r="AR918" s="113"/>
      <c r="AS918" s="113"/>
      <c r="AT918" s="113"/>
      <c r="AU918" s="113"/>
      <c r="AV918" s="113"/>
      <c r="AW918" s="113"/>
      <c r="AX918" s="113"/>
      <c r="AY918" s="113"/>
      <c r="AZ918" s="113"/>
      <c r="BA918" s="113"/>
      <c r="BB918" s="113"/>
      <c r="BC918" s="113"/>
      <c r="BD918" s="113"/>
      <c r="BE918" s="113"/>
      <c r="BF918" s="113"/>
      <c r="BG918" s="113"/>
      <c r="BH918" s="113"/>
      <c r="BI918" s="113"/>
    </row>
    <row r="919" spans="1:61" s="45" customFormat="1" ht="25.5" customHeight="1">
      <c r="A919" s="1029"/>
      <c r="B919" s="643" t="s">
        <v>248</v>
      </c>
      <c r="C919" s="643"/>
      <c r="D919" s="643"/>
      <c r="E919" s="643"/>
      <c r="F919" s="643"/>
      <c r="G919" s="103"/>
      <c r="H919" s="103"/>
      <c r="I919" s="103"/>
      <c r="J919" s="103"/>
      <c r="K919" s="103"/>
      <c r="L919" s="103"/>
      <c r="M919" s="103">
        <v>20000</v>
      </c>
      <c r="N919" s="703"/>
      <c r="O919" s="1031"/>
      <c r="AJ919" s="113"/>
      <c r="AK919" s="113"/>
      <c r="AL919" s="113"/>
      <c r="AM919" s="113"/>
      <c r="AN919" s="113"/>
      <c r="AO919" s="113"/>
      <c r="AP919" s="113"/>
      <c r="AQ919" s="113"/>
      <c r="AR919" s="113"/>
      <c r="AS919" s="113"/>
      <c r="AT919" s="113"/>
      <c r="AU919" s="113"/>
      <c r="AV919" s="113"/>
      <c r="AW919" s="113"/>
      <c r="AX919" s="113"/>
      <c r="AY919" s="113"/>
      <c r="AZ919" s="113"/>
      <c r="BA919" s="113"/>
      <c r="BB919" s="113"/>
      <c r="BC919" s="113"/>
      <c r="BD919" s="113"/>
      <c r="BE919" s="113"/>
      <c r="BF919" s="113"/>
      <c r="BG919" s="113"/>
      <c r="BH919" s="113"/>
      <c r="BI919" s="113"/>
    </row>
    <row r="920" spans="1:61" s="45" customFormat="1" ht="25.5" customHeight="1">
      <c r="A920" s="1028" t="s">
        <v>973</v>
      </c>
      <c r="B920" s="643" t="s">
        <v>89</v>
      </c>
      <c r="C920" s="643"/>
      <c r="D920" s="643"/>
      <c r="E920" s="643"/>
      <c r="F920" s="643"/>
      <c r="G920" s="103">
        <f>K920</f>
        <v>0</v>
      </c>
      <c r="H920" s="103"/>
      <c r="I920" s="103"/>
      <c r="J920" s="103"/>
      <c r="K920" s="103"/>
      <c r="L920" s="103"/>
      <c r="M920" s="103">
        <v>2</v>
      </c>
      <c r="N920" s="703"/>
      <c r="O920" s="1059" t="s">
        <v>470</v>
      </c>
      <c r="AJ920" s="113"/>
      <c r="AK920" s="113"/>
      <c r="AL920" s="113"/>
      <c r="AM920" s="113"/>
      <c r="AN920" s="113"/>
      <c r="AO920" s="113"/>
      <c r="AP920" s="113"/>
      <c r="AQ920" s="113"/>
      <c r="AR920" s="113"/>
      <c r="AS920" s="113"/>
      <c r="AT920" s="113"/>
      <c r="AU920" s="113"/>
      <c r="AV920" s="113"/>
      <c r="AW920" s="113"/>
      <c r="AX920" s="113"/>
      <c r="AY920" s="113"/>
      <c r="AZ920" s="113"/>
      <c r="BA920" s="113"/>
      <c r="BB920" s="113"/>
      <c r="BC920" s="113"/>
      <c r="BD920" s="113"/>
      <c r="BE920" s="113"/>
      <c r="BF920" s="113"/>
      <c r="BG920" s="113"/>
      <c r="BH920" s="113"/>
      <c r="BI920" s="113"/>
    </row>
    <row r="921" spans="1:61" s="45" customFormat="1" ht="25.5" customHeight="1">
      <c r="A921" s="1036"/>
      <c r="B921" s="643" t="s">
        <v>25</v>
      </c>
      <c r="C921" s="643"/>
      <c r="D921" s="643"/>
      <c r="E921" s="643"/>
      <c r="F921" s="643"/>
      <c r="G921" s="103">
        <f t="shared" ref="G921:G923" si="332">K921</f>
        <v>0</v>
      </c>
      <c r="H921" s="103"/>
      <c r="I921" s="103"/>
      <c r="J921" s="103"/>
      <c r="K921" s="103">
        <f>K922+K923</f>
        <v>0</v>
      </c>
      <c r="L921" s="103"/>
      <c r="M921" s="103">
        <f>M922</f>
        <v>30000</v>
      </c>
      <c r="N921" s="703"/>
      <c r="O921" s="1060"/>
      <c r="AJ921" s="113"/>
      <c r="AK921" s="113"/>
      <c r="AL921" s="113"/>
      <c r="AM921" s="113"/>
      <c r="AN921" s="113"/>
      <c r="AO921" s="113"/>
      <c r="AP921" s="113"/>
      <c r="AQ921" s="113"/>
      <c r="AR921" s="113"/>
      <c r="AS921" s="113"/>
      <c r="AT921" s="113"/>
      <c r="AU921" s="113"/>
      <c r="AV921" s="113"/>
      <c r="AW921" s="113"/>
      <c r="AX921" s="113"/>
      <c r="AY921" s="113"/>
      <c r="AZ921" s="113"/>
      <c r="BA921" s="113"/>
      <c r="BB921" s="113"/>
      <c r="BC921" s="113"/>
      <c r="BD921" s="113"/>
      <c r="BE921" s="113"/>
      <c r="BF921" s="113"/>
      <c r="BG921" s="113"/>
      <c r="BH921" s="113"/>
      <c r="BI921" s="113"/>
    </row>
    <row r="922" spans="1:61" s="45" customFormat="1" ht="25.5" customHeight="1">
      <c r="A922" s="1036"/>
      <c r="B922" s="643" t="s">
        <v>10</v>
      </c>
      <c r="C922" s="643"/>
      <c r="D922" s="643"/>
      <c r="E922" s="643"/>
      <c r="F922" s="643"/>
      <c r="G922" s="103">
        <f t="shared" si="332"/>
        <v>0</v>
      </c>
      <c r="H922" s="103"/>
      <c r="I922" s="103"/>
      <c r="J922" s="103"/>
      <c r="K922" s="103"/>
      <c r="L922" s="103"/>
      <c r="M922" s="103">
        <v>30000</v>
      </c>
      <c r="N922" s="703"/>
      <c r="O922" s="1060"/>
      <c r="AJ922" s="113"/>
      <c r="AK922" s="113"/>
      <c r="AL922" s="113"/>
      <c r="AM922" s="113"/>
      <c r="AN922" s="113"/>
      <c r="AO922" s="113"/>
      <c r="AP922" s="113"/>
      <c r="AQ922" s="113"/>
      <c r="AR922" s="113"/>
      <c r="AS922" s="113"/>
      <c r="AT922" s="113"/>
      <c r="AU922" s="113"/>
      <c r="AV922" s="113"/>
      <c r="AW922" s="113"/>
      <c r="AX922" s="113"/>
      <c r="AY922" s="113"/>
      <c r="AZ922" s="113"/>
      <c r="BA922" s="113"/>
      <c r="BB922" s="113"/>
      <c r="BC922" s="113"/>
      <c r="BD922" s="113"/>
      <c r="BE922" s="113"/>
      <c r="BF922" s="113"/>
      <c r="BG922" s="113"/>
      <c r="BH922" s="113"/>
      <c r="BI922" s="113"/>
    </row>
    <row r="923" spans="1:61" s="45" customFormat="1" ht="25.5" hidden="1" customHeight="1">
      <c r="A923" s="1029"/>
      <c r="B923" s="643" t="s">
        <v>502</v>
      </c>
      <c r="C923" s="643"/>
      <c r="D923" s="643"/>
      <c r="E923" s="643"/>
      <c r="F923" s="643"/>
      <c r="G923" s="103">
        <f t="shared" si="332"/>
        <v>0</v>
      </c>
      <c r="H923" s="103"/>
      <c r="I923" s="103"/>
      <c r="J923" s="103"/>
      <c r="K923" s="103"/>
      <c r="L923" s="103"/>
      <c r="M923" s="103"/>
      <c r="N923" s="703"/>
      <c r="O923" s="1061"/>
      <c r="AJ923" s="113"/>
      <c r="AK923" s="113"/>
      <c r="AL923" s="113"/>
      <c r="AM923" s="113"/>
      <c r="AN923" s="113"/>
      <c r="AO923" s="113"/>
      <c r="AP923" s="113"/>
      <c r="AQ923" s="113"/>
      <c r="AR923" s="113"/>
      <c r="AS923" s="113"/>
      <c r="AT923" s="113"/>
      <c r="AU923" s="113"/>
      <c r="AV923" s="113"/>
      <c r="AW923" s="113"/>
      <c r="AX923" s="113"/>
      <c r="AY923" s="113"/>
      <c r="AZ923" s="113"/>
      <c r="BA923" s="113"/>
      <c r="BB923" s="113"/>
      <c r="BC923" s="113"/>
      <c r="BD923" s="113"/>
      <c r="BE923" s="113"/>
      <c r="BF923" s="113"/>
      <c r="BG923" s="113"/>
      <c r="BH923" s="113"/>
      <c r="BI923" s="113"/>
    </row>
    <row r="924" spans="1:61" s="45" customFormat="1" ht="25.5" customHeight="1">
      <c r="A924" s="985" t="s">
        <v>125</v>
      </c>
      <c r="B924" s="62" t="s">
        <v>89</v>
      </c>
      <c r="C924" s="643"/>
      <c r="D924" s="643"/>
      <c r="E924" s="643"/>
      <c r="F924" s="643"/>
      <c r="G924" s="102">
        <f t="shared" ref="G924:M924" si="333">G928+G932+G936</f>
        <v>0</v>
      </c>
      <c r="H924" s="102">
        <f t="shared" si="333"/>
        <v>0</v>
      </c>
      <c r="I924" s="102">
        <f t="shared" si="333"/>
        <v>0</v>
      </c>
      <c r="J924" s="102">
        <f t="shared" si="333"/>
        <v>0</v>
      </c>
      <c r="K924" s="102">
        <f t="shared" si="333"/>
        <v>0</v>
      </c>
      <c r="L924" s="102">
        <f t="shared" si="333"/>
        <v>11.2</v>
      </c>
      <c r="M924" s="102">
        <f t="shared" si="333"/>
        <v>3</v>
      </c>
      <c r="N924" s="703"/>
      <c r="O924" s="705"/>
      <c r="AJ924" s="113"/>
      <c r="AK924" s="113"/>
      <c r="AL924" s="113"/>
      <c r="AM924" s="113"/>
      <c r="AN924" s="113"/>
      <c r="AO924" s="113"/>
      <c r="AP924" s="113"/>
      <c r="AQ924" s="113"/>
      <c r="AR924" s="113"/>
      <c r="AS924" s="113"/>
      <c r="AT924" s="113"/>
      <c r="AU924" s="113"/>
      <c r="AV924" s="113"/>
      <c r="AW924" s="113"/>
      <c r="AX924" s="113"/>
      <c r="AY924" s="113"/>
      <c r="AZ924" s="113"/>
      <c r="BA924" s="113"/>
      <c r="BB924" s="113"/>
      <c r="BC924" s="113"/>
      <c r="BD924" s="113"/>
      <c r="BE924" s="113"/>
      <c r="BF924" s="113"/>
      <c r="BG924" s="113"/>
      <c r="BH924" s="113"/>
      <c r="BI924" s="113"/>
    </row>
    <row r="925" spans="1:61" s="45" customFormat="1" ht="25.5" customHeight="1">
      <c r="A925" s="986"/>
      <c r="B925" s="62" t="s">
        <v>25</v>
      </c>
      <c r="C925" s="643"/>
      <c r="D925" s="643"/>
      <c r="E925" s="643"/>
      <c r="F925" s="643"/>
      <c r="G925" s="102">
        <f>G926+G927</f>
        <v>0</v>
      </c>
      <c r="H925" s="102">
        <f t="shared" ref="H925:K925" si="334">H926+H927</f>
        <v>0</v>
      </c>
      <c r="I925" s="102">
        <f t="shared" si="334"/>
        <v>0</v>
      </c>
      <c r="J925" s="102">
        <f t="shared" si="334"/>
        <v>0</v>
      </c>
      <c r="K925" s="102">
        <f t="shared" si="334"/>
        <v>0</v>
      </c>
      <c r="L925" s="102">
        <f t="shared" ref="L925" si="335">L926+L927</f>
        <v>139034</v>
      </c>
      <c r="M925" s="102">
        <f t="shared" ref="M925" si="336">M926+M927</f>
        <v>36938</v>
      </c>
      <c r="N925" s="703"/>
      <c r="O925" s="705"/>
      <c r="AJ925" s="113"/>
      <c r="AK925" s="113"/>
      <c r="AL925" s="113"/>
      <c r="AM925" s="113"/>
      <c r="AN925" s="113"/>
      <c r="AO925" s="113"/>
      <c r="AP925" s="113"/>
      <c r="AQ925" s="113"/>
      <c r="AR925" s="113"/>
      <c r="AS925" s="113"/>
      <c r="AT925" s="113"/>
      <c r="AU925" s="113"/>
      <c r="AV925" s="113"/>
      <c r="AW925" s="113"/>
      <c r="AX925" s="113"/>
      <c r="AY925" s="113"/>
      <c r="AZ925" s="113"/>
      <c r="BA925" s="113"/>
      <c r="BB925" s="113"/>
      <c r="BC925" s="113"/>
      <c r="BD925" s="113"/>
      <c r="BE925" s="113"/>
      <c r="BF925" s="113"/>
      <c r="BG925" s="113"/>
      <c r="BH925" s="113"/>
      <c r="BI925" s="113"/>
    </row>
    <row r="926" spans="1:61" s="45" customFormat="1" ht="25.5" customHeight="1">
      <c r="A926" s="986"/>
      <c r="B926" s="62" t="s">
        <v>10</v>
      </c>
      <c r="C926" s="643"/>
      <c r="D926" s="643"/>
      <c r="E926" s="643"/>
      <c r="F926" s="643"/>
      <c r="G926" s="102">
        <f t="shared" ref="G926:M926" si="337">G930+G934+G937</f>
        <v>0</v>
      </c>
      <c r="H926" s="102">
        <f t="shared" si="337"/>
        <v>0</v>
      </c>
      <c r="I926" s="102">
        <f t="shared" si="337"/>
        <v>0</v>
      </c>
      <c r="J926" s="102">
        <f t="shared" si="337"/>
        <v>0</v>
      </c>
      <c r="K926" s="102">
        <f t="shared" si="337"/>
        <v>0</v>
      </c>
      <c r="L926" s="102">
        <f t="shared" si="337"/>
        <v>139034</v>
      </c>
      <c r="M926" s="102">
        <f t="shared" si="337"/>
        <v>36938</v>
      </c>
      <c r="N926" s="703"/>
      <c r="O926" s="705"/>
      <c r="AJ926" s="113"/>
      <c r="AK926" s="113"/>
      <c r="AL926" s="113"/>
      <c r="AM926" s="113"/>
      <c r="AN926" s="113"/>
      <c r="AO926" s="113"/>
      <c r="AP926" s="113"/>
      <c r="AQ926" s="113"/>
      <c r="AR926" s="113"/>
      <c r="AS926" s="113"/>
      <c r="AT926" s="113"/>
      <c r="AU926" s="113"/>
      <c r="AV926" s="113"/>
      <c r="AW926" s="113"/>
      <c r="AX926" s="113"/>
      <c r="AY926" s="113"/>
      <c r="AZ926" s="113"/>
      <c r="BA926" s="113"/>
      <c r="BB926" s="113"/>
      <c r="BC926" s="113"/>
      <c r="BD926" s="113"/>
      <c r="BE926" s="113"/>
      <c r="BF926" s="113"/>
      <c r="BG926" s="113"/>
      <c r="BH926" s="113"/>
      <c r="BI926" s="113"/>
    </row>
    <row r="927" spans="1:61" s="45" customFormat="1" ht="25.5" customHeight="1">
      <c r="A927" s="987"/>
      <c r="B927" s="62" t="s">
        <v>502</v>
      </c>
      <c r="C927" s="643"/>
      <c r="D927" s="643"/>
      <c r="E927" s="643"/>
      <c r="F927" s="643"/>
      <c r="G927" s="102">
        <f t="shared" ref="G927:M927" si="338">G931+G935</f>
        <v>0</v>
      </c>
      <c r="H927" s="102">
        <f t="shared" si="338"/>
        <v>0</v>
      </c>
      <c r="I927" s="102">
        <f t="shared" si="338"/>
        <v>0</v>
      </c>
      <c r="J927" s="102">
        <f t="shared" si="338"/>
        <v>0</v>
      </c>
      <c r="K927" s="102">
        <f t="shared" si="338"/>
        <v>0</v>
      </c>
      <c r="L927" s="102">
        <f t="shared" si="338"/>
        <v>0</v>
      </c>
      <c r="M927" s="102">
        <f t="shared" si="338"/>
        <v>0</v>
      </c>
      <c r="N927" s="703"/>
      <c r="O927" s="705"/>
      <c r="AJ927" s="113"/>
      <c r="AK927" s="113"/>
      <c r="AL927" s="113"/>
      <c r="AM927" s="113"/>
      <c r="AN927" s="113"/>
      <c r="AO927" s="113"/>
      <c r="AP927" s="113"/>
      <c r="AQ927" s="113"/>
      <c r="AR927" s="113"/>
      <c r="AS927" s="113"/>
      <c r="AT927" s="113"/>
      <c r="AU927" s="113"/>
      <c r="AV927" s="113"/>
      <c r="AW927" s="113"/>
      <c r="AX927" s="113"/>
      <c r="AY927" s="113"/>
      <c r="AZ927" s="113"/>
      <c r="BA927" s="113"/>
      <c r="BB927" s="113"/>
      <c r="BC927" s="113"/>
      <c r="BD927" s="113"/>
      <c r="BE927" s="113"/>
      <c r="BF927" s="113"/>
      <c r="BG927" s="113"/>
      <c r="BH927" s="113"/>
      <c r="BI927" s="113"/>
    </row>
    <row r="928" spans="1:61" s="45" customFormat="1" ht="25.5" customHeight="1">
      <c r="A928" s="1028" t="s">
        <v>603</v>
      </c>
      <c r="B928" s="643" t="s">
        <v>89</v>
      </c>
      <c r="C928" s="643"/>
      <c r="D928" s="643"/>
      <c r="E928" s="643"/>
      <c r="F928" s="643"/>
      <c r="G928" s="103">
        <f>K928</f>
        <v>0</v>
      </c>
      <c r="H928" s="103"/>
      <c r="I928" s="103"/>
      <c r="J928" s="103"/>
      <c r="K928" s="103"/>
      <c r="L928" s="103">
        <v>2</v>
      </c>
      <c r="M928" s="103"/>
      <c r="N928" s="703"/>
      <c r="O928" s="1059" t="s">
        <v>571</v>
      </c>
      <c r="AJ928" s="113"/>
      <c r="AK928" s="113"/>
      <c r="AL928" s="113"/>
      <c r="AM928" s="113"/>
      <c r="AN928" s="113"/>
      <c r="AO928" s="113"/>
      <c r="AP928" s="113"/>
      <c r="AQ928" s="113"/>
      <c r="AR928" s="113"/>
      <c r="AS928" s="113"/>
      <c r="AT928" s="113"/>
      <c r="AU928" s="113"/>
      <c r="AV928" s="113"/>
      <c r="AW928" s="113"/>
      <c r="AX928" s="113"/>
      <c r="AY928" s="113"/>
      <c r="AZ928" s="113"/>
      <c r="BA928" s="113"/>
      <c r="BB928" s="113"/>
      <c r="BC928" s="113"/>
      <c r="BD928" s="113"/>
      <c r="BE928" s="113"/>
      <c r="BF928" s="113"/>
      <c r="BG928" s="113"/>
      <c r="BH928" s="113"/>
      <c r="BI928" s="113"/>
    </row>
    <row r="929" spans="1:61" s="45" customFormat="1" ht="25.5" customHeight="1">
      <c r="A929" s="1036"/>
      <c r="B929" s="643" t="s">
        <v>25</v>
      </c>
      <c r="C929" s="643"/>
      <c r="D929" s="643"/>
      <c r="E929" s="643"/>
      <c r="F929" s="643"/>
      <c r="G929" s="103">
        <f t="shared" ref="G929:G931" si="339">K929</f>
        <v>0</v>
      </c>
      <c r="H929" s="103"/>
      <c r="I929" s="103"/>
      <c r="J929" s="103"/>
      <c r="K929" s="103">
        <f>K930+K931</f>
        <v>0</v>
      </c>
      <c r="L929" s="103">
        <f>L930+L931</f>
        <v>24000</v>
      </c>
      <c r="M929" s="103">
        <f>M930+M931</f>
        <v>0</v>
      </c>
      <c r="N929" s="703"/>
      <c r="O929" s="1060"/>
      <c r="AJ929" s="113"/>
      <c r="AK929" s="113"/>
      <c r="AL929" s="113"/>
      <c r="AM929" s="113"/>
      <c r="AN929" s="113"/>
      <c r="AO929" s="113"/>
      <c r="AP929" s="113"/>
      <c r="AQ929" s="113"/>
      <c r="AR929" s="113"/>
      <c r="AS929" s="113"/>
      <c r="AT929" s="113"/>
      <c r="AU929" s="113"/>
      <c r="AV929" s="113"/>
      <c r="AW929" s="113"/>
      <c r="AX929" s="113"/>
      <c r="AY929" s="113"/>
      <c r="AZ929" s="113"/>
      <c r="BA929" s="113"/>
      <c r="BB929" s="113"/>
      <c r="BC929" s="113"/>
      <c r="BD929" s="113"/>
      <c r="BE929" s="113"/>
      <c r="BF929" s="113"/>
      <c r="BG929" s="113"/>
      <c r="BH929" s="113"/>
      <c r="BI929" s="113"/>
    </row>
    <row r="930" spans="1:61" s="45" customFormat="1" ht="25.5" customHeight="1">
      <c r="A930" s="1036"/>
      <c r="B930" s="643" t="s">
        <v>10</v>
      </c>
      <c r="C930" s="643"/>
      <c r="D930" s="643"/>
      <c r="E930" s="643"/>
      <c r="F930" s="643"/>
      <c r="G930" s="103">
        <f t="shared" si="339"/>
        <v>0</v>
      </c>
      <c r="H930" s="103"/>
      <c r="I930" s="103"/>
      <c r="J930" s="103"/>
      <c r="K930" s="103"/>
      <c r="L930" s="103">
        <f>22000+2000</f>
        <v>24000</v>
      </c>
      <c r="M930" s="103"/>
      <c r="N930" s="703"/>
      <c r="O930" s="1060"/>
      <c r="AJ930" s="113"/>
      <c r="AK930" s="113"/>
      <c r="AL930" s="113"/>
      <c r="AM930" s="113"/>
      <c r="AN930" s="113"/>
      <c r="AO930" s="113"/>
      <c r="AP930" s="113"/>
      <c r="AQ930" s="113"/>
      <c r="AR930" s="113"/>
      <c r="AS930" s="113"/>
      <c r="AT930" s="113"/>
      <c r="AU930" s="113"/>
      <c r="AV930" s="113"/>
      <c r="AW930" s="113"/>
      <c r="AX930" s="113"/>
      <c r="AY930" s="113"/>
      <c r="AZ930" s="113"/>
      <c r="BA930" s="113"/>
      <c r="BB930" s="113"/>
      <c r="BC930" s="113"/>
      <c r="BD930" s="113"/>
      <c r="BE930" s="113"/>
      <c r="BF930" s="113"/>
      <c r="BG930" s="113"/>
      <c r="BH930" s="113"/>
      <c r="BI930" s="113"/>
    </row>
    <row r="931" spans="1:61" s="45" customFormat="1" ht="25.5" hidden="1" customHeight="1">
      <c r="A931" s="1029"/>
      <c r="B931" s="643" t="s">
        <v>502</v>
      </c>
      <c r="C931" s="643"/>
      <c r="D931" s="643"/>
      <c r="E931" s="643"/>
      <c r="F931" s="643"/>
      <c r="G931" s="103">
        <f t="shared" si="339"/>
        <v>0</v>
      </c>
      <c r="H931" s="103"/>
      <c r="I931" s="103"/>
      <c r="J931" s="103"/>
      <c r="K931" s="103"/>
      <c r="L931" s="103"/>
      <c r="M931" s="103"/>
      <c r="N931" s="703"/>
      <c r="O931" s="1061"/>
      <c r="AJ931" s="113"/>
      <c r="AK931" s="113"/>
      <c r="AL931" s="113"/>
      <c r="AM931" s="113"/>
      <c r="AN931" s="113"/>
      <c r="AO931" s="113"/>
      <c r="AP931" s="113"/>
      <c r="AQ931" s="113"/>
      <c r="AR931" s="113"/>
      <c r="AS931" s="113"/>
      <c r="AT931" s="113"/>
      <c r="AU931" s="113"/>
      <c r="AV931" s="113"/>
      <c r="AW931" s="113"/>
      <c r="AX931" s="113"/>
      <c r="AY931" s="113"/>
      <c r="AZ931" s="113"/>
      <c r="BA931" s="113"/>
      <c r="BB931" s="113"/>
      <c r="BC931" s="113"/>
      <c r="BD931" s="113"/>
      <c r="BE931" s="113"/>
      <c r="BF931" s="113"/>
      <c r="BG931" s="113"/>
      <c r="BH931" s="113"/>
      <c r="BI931" s="113"/>
    </row>
    <row r="932" spans="1:61" s="45" customFormat="1" ht="25.5" customHeight="1">
      <c r="A932" s="1028" t="s">
        <v>604</v>
      </c>
      <c r="B932" s="643" t="s">
        <v>89</v>
      </c>
      <c r="C932" s="643"/>
      <c r="D932" s="643"/>
      <c r="E932" s="643"/>
      <c r="F932" s="643"/>
      <c r="G932" s="103">
        <f>K932</f>
        <v>0</v>
      </c>
      <c r="H932" s="103"/>
      <c r="I932" s="103"/>
      <c r="J932" s="103"/>
      <c r="K932" s="103"/>
      <c r="L932" s="103">
        <v>5</v>
      </c>
      <c r="M932" s="103">
        <v>3</v>
      </c>
      <c r="N932" s="703"/>
      <c r="O932" s="1059" t="s">
        <v>974</v>
      </c>
      <c r="AJ932" s="113"/>
      <c r="AK932" s="113"/>
      <c r="AL932" s="113"/>
      <c r="AM932" s="113"/>
      <c r="AN932" s="113"/>
      <c r="AO932" s="113"/>
      <c r="AP932" s="113"/>
      <c r="AQ932" s="113"/>
      <c r="AR932" s="113"/>
      <c r="AS932" s="113"/>
      <c r="AT932" s="113"/>
      <c r="AU932" s="113"/>
      <c r="AV932" s="113"/>
      <c r="AW932" s="113"/>
      <c r="AX932" s="113"/>
      <c r="AY932" s="113"/>
      <c r="AZ932" s="113"/>
      <c r="BA932" s="113"/>
      <c r="BB932" s="113"/>
      <c r="BC932" s="113"/>
      <c r="BD932" s="113"/>
      <c r="BE932" s="113"/>
      <c r="BF932" s="113"/>
      <c r="BG932" s="113"/>
      <c r="BH932" s="113"/>
      <c r="BI932" s="113"/>
    </row>
    <row r="933" spans="1:61" s="45" customFormat="1" ht="25.5" customHeight="1">
      <c r="A933" s="1036"/>
      <c r="B933" s="643" t="s">
        <v>25</v>
      </c>
      <c r="C933" s="643"/>
      <c r="D933" s="643"/>
      <c r="E933" s="643"/>
      <c r="F933" s="643"/>
      <c r="G933" s="103">
        <f t="shared" ref="G933:G935" si="340">K933</f>
        <v>0</v>
      </c>
      <c r="H933" s="103"/>
      <c r="I933" s="103"/>
      <c r="J933" s="103"/>
      <c r="K933" s="103">
        <f>K934+K935</f>
        <v>0</v>
      </c>
      <c r="L933" s="103">
        <f t="shared" ref="L933:M933" si="341">L934+L935</f>
        <v>64850</v>
      </c>
      <c r="M933" s="103">
        <f t="shared" si="341"/>
        <v>36938</v>
      </c>
      <c r="N933" s="703"/>
      <c r="O933" s="1060"/>
      <c r="AJ933" s="113"/>
      <c r="AK933" s="113"/>
      <c r="AL933" s="113"/>
      <c r="AM933" s="113"/>
      <c r="AN933" s="113"/>
      <c r="AO933" s="113"/>
      <c r="AP933" s="113"/>
      <c r="AQ933" s="113"/>
      <c r="AR933" s="113"/>
      <c r="AS933" s="113"/>
      <c r="AT933" s="113"/>
      <c r="AU933" s="113"/>
      <c r="AV933" s="113"/>
      <c r="AW933" s="113"/>
      <c r="AX933" s="113"/>
      <c r="AY933" s="113"/>
      <c r="AZ933" s="113"/>
      <c r="BA933" s="113"/>
      <c r="BB933" s="113"/>
      <c r="BC933" s="113"/>
      <c r="BD933" s="113"/>
      <c r="BE933" s="113"/>
      <c r="BF933" s="113"/>
      <c r="BG933" s="113"/>
      <c r="BH933" s="113"/>
      <c r="BI933" s="113"/>
    </row>
    <row r="934" spans="1:61" s="45" customFormat="1" ht="25.5" customHeight="1">
      <c r="A934" s="1036"/>
      <c r="B934" s="643" t="s">
        <v>10</v>
      </c>
      <c r="C934" s="643"/>
      <c r="D934" s="643"/>
      <c r="E934" s="643"/>
      <c r="F934" s="643"/>
      <c r="G934" s="103">
        <f t="shared" si="340"/>
        <v>0</v>
      </c>
      <c r="H934" s="103"/>
      <c r="I934" s="103"/>
      <c r="J934" s="103"/>
      <c r="K934" s="103"/>
      <c r="L934" s="103">
        <v>64850</v>
      </c>
      <c r="M934" s="103">
        <v>36938</v>
      </c>
      <c r="N934" s="703"/>
      <c r="O934" s="1060"/>
      <c r="AJ934" s="113"/>
      <c r="AK934" s="113"/>
      <c r="AL934" s="113"/>
      <c r="AM934" s="113"/>
      <c r="AN934" s="113"/>
      <c r="AO934" s="113"/>
      <c r="AP934" s="113"/>
      <c r="AQ934" s="113"/>
      <c r="AR934" s="113"/>
      <c r="AS934" s="113"/>
      <c r="AT934" s="113"/>
      <c r="AU934" s="113"/>
      <c r="AV934" s="113"/>
      <c r="AW934" s="113"/>
      <c r="AX934" s="113"/>
      <c r="AY934" s="113"/>
      <c r="AZ934" s="113"/>
      <c r="BA934" s="113"/>
      <c r="BB934" s="113"/>
      <c r="BC934" s="113"/>
      <c r="BD934" s="113"/>
      <c r="BE934" s="113"/>
      <c r="BF934" s="113"/>
      <c r="BG934" s="113"/>
      <c r="BH934" s="113"/>
      <c r="BI934" s="113"/>
    </row>
    <row r="935" spans="1:61" s="45" customFormat="1" ht="25.5" hidden="1" customHeight="1">
      <c r="A935" s="1029"/>
      <c r="B935" s="643" t="s">
        <v>502</v>
      </c>
      <c r="C935" s="643"/>
      <c r="D935" s="643"/>
      <c r="E935" s="643"/>
      <c r="F935" s="643"/>
      <c r="G935" s="103">
        <f t="shared" si="340"/>
        <v>0</v>
      </c>
      <c r="H935" s="103"/>
      <c r="I935" s="103"/>
      <c r="J935" s="103"/>
      <c r="K935" s="103"/>
      <c r="L935" s="103"/>
      <c r="M935" s="103"/>
      <c r="N935" s="703"/>
      <c r="O935" s="1061"/>
      <c r="AJ935" s="113"/>
      <c r="AK935" s="113"/>
      <c r="AL935" s="113"/>
      <c r="AM935" s="113"/>
      <c r="AN935" s="113"/>
      <c r="AO935" s="113"/>
      <c r="AP935" s="113"/>
      <c r="AQ935" s="113"/>
      <c r="AR935" s="113"/>
      <c r="AS935" s="113"/>
      <c r="AT935" s="113"/>
      <c r="AU935" s="113"/>
      <c r="AV935" s="113"/>
      <c r="AW935" s="113"/>
      <c r="AX935" s="113"/>
      <c r="AY935" s="113"/>
      <c r="AZ935" s="113"/>
      <c r="BA935" s="113"/>
      <c r="BB935" s="113"/>
      <c r="BC935" s="113"/>
      <c r="BD935" s="113"/>
      <c r="BE935" s="113"/>
      <c r="BF935" s="113"/>
      <c r="BG935" s="113"/>
      <c r="BH935" s="113"/>
      <c r="BI935" s="113"/>
    </row>
    <row r="936" spans="1:61" s="45" customFormat="1" ht="25.5" customHeight="1">
      <c r="A936" s="1028" t="s">
        <v>605</v>
      </c>
      <c r="B936" s="643" t="s">
        <v>89</v>
      </c>
      <c r="C936" s="643"/>
      <c r="D936" s="643"/>
      <c r="E936" s="643"/>
      <c r="F936" s="643"/>
      <c r="G936" s="103"/>
      <c r="H936" s="103"/>
      <c r="I936" s="103"/>
      <c r="J936" s="103"/>
      <c r="K936" s="103"/>
      <c r="L936" s="103">
        <v>4.2</v>
      </c>
      <c r="M936" s="103"/>
      <c r="N936" s="703"/>
      <c r="O936" s="1059" t="s">
        <v>606</v>
      </c>
      <c r="AJ936" s="113"/>
      <c r="AK936" s="113"/>
      <c r="AL936" s="113"/>
      <c r="AM936" s="113"/>
      <c r="AN936" s="113"/>
      <c r="AO936" s="113"/>
      <c r="AP936" s="113"/>
      <c r="AQ936" s="113"/>
      <c r="AR936" s="113"/>
      <c r="AS936" s="113"/>
      <c r="AT936" s="113"/>
      <c r="AU936" s="113"/>
      <c r="AV936" s="113"/>
      <c r="AW936" s="113"/>
      <c r="AX936" s="113"/>
      <c r="AY936" s="113"/>
      <c r="AZ936" s="113"/>
      <c r="BA936" s="113"/>
      <c r="BB936" s="113"/>
      <c r="BC936" s="113"/>
      <c r="BD936" s="113"/>
      <c r="BE936" s="113"/>
      <c r="BF936" s="113"/>
      <c r="BG936" s="113"/>
      <c r="BH936" s="113"/>
      <c r="BI936" s="113"/>
    </row>
    <row r="937" spans="1:61" s="45" customFormat="1" ht="25.5" customHeight="1">
      <c r="A937" s="1029"/>
      <c r="B937" s="643" t="s">
        <v>248</v>
      </c>
      <c r="C937" s="643"/>
      <c r="D937" s="643"/>
      <c r="E937" s="643"/>
      <c r="F937" s="643"/>
      <c r="G937" s="103"/>
      <c r="H937" s="103"/>
      <c r="I937" s="103"/>
      <c r="J937" s="103"/>
      <c r="K937" s="103"/>
      <c r="L937" s="103">
        <v>50184</v>
      </c>
      <c r="M937" s="103"/>
      <c r="N937" s="703"/>
      <c r="O937" s="1061"/>
      <c r="AJ937" s="113"/>
      <c r="AK937" s="113"/>
      <c r="AL937" s="113"/>
      <c r="AM937" s="113"/>
      <c r="AN937" s="113"/>
      <c r="AO937" s="113"/>
      <c r="AP937" s="113"/>
      <c r="AQ937" s="113"/>
      <c r="AR937" s="113"/>
      <c r="AS937" s="113"/>
      <c r="AT937" s="113"/>
      <c r="AU937" s="113"/>
      <c r="AV937" s="113"/>
      <c r="AW937" s="113"/>
      <c r="AX937" s="113"/>
      <c r="AY937" s="113"/>
      <c r="AZ937" s="113"/>
      <c r="BA937" s="113"/>
      <c r="BB937" s="113"/>
      <c r="BC937" s="113"/>
      <c r="BD937" s="113"/>
      <c r="BE937" s="113"/>
      <c r="BF937" s="113"/>
      <c r="BG937" s="113"/>
      <c r="BH937" s="113"/>
      <c r="BI937" s="113"/>
    </row>
    <row r="938" spans="1:61" ht="21.75" customHeight="1">
      <c r="A938" s="1038" t="s">
        <v>127</v>
      </c>
      <c r="B938" s="62" t="s">
        <v>89</v>
      </c>
      <c r="C938" s="62"/>
      <c r="D938" s="62"/>
      <c r="E938" s="62"/>
      <c r="F938" s="62"/>
      <c r="G938" s="102">
        <f>G940+G942+G944+G946+G948+G950+G952</f>
        <v>5</v>
      </c>
      <c r="H938" s="102">
        <f t="shared" ref="H938:M938" si="342">H940+H942+H944+H946+H948+H950+H952</f>
        <v>0</v>
      </c>
      <c r="I938" s="102">
        <f t="shared" si="342"/>
        <v>0</v>
      </c>
      <c r="J938" s="102">
        <f t="shared" si="342"/>
        <v>0</v>
      </c>
      <c r="K938" s="102">
        <f t="shared" si="342"/>
        <v>5</v>
      </c>
      <c r="L938" s="102">
        <f t="shared" si="342"/>
        <v>16.3</v>
      </c>
      <c r="M938" s="102">
        <f t="shared" si="342"/>
        <v>0</v>
      </c>
      <c r="N938" s="703"/>
      <c r="O938" s="709"/>
    </row>
    <row r="939" spans="1:61" s="45" customFormat="1" ht="22.5" customHeight="1">
      <c r="A939" s="1038"/>
      <c r="B939" s="62" t="s">
        <v>248</v>
      </c>
      <c r="C939" s="62"/>
      <c r="D939" s="62"/>
      <c r="E939" s="62"/>
      <c r="F939" s="62"/>
      <c r="G939" s="102">
        <f>G941+G943+G945+G947+G949+G951+G953</f>
        <v>31209.3</v>
      </c>
      <c r="H939" s="102">
        <f t="shared" ref="H939:M939" si="343">H941+H943+H945+H947+H949+H951+H953</f>
        <v>0</v>
      </c>
      <c r="I939" s="102">
        <f t="shared" si="343"/>
        <v>0</v>
      </c>
      <c r="J939" s="102">
        <f t="shared" si="343"/>
        <v>0</v>
      </c>
      <c r="K939" s="102">
        <f t="shared" si="343"/>
        <v>31209.3</v>
      </c>
      <c r="L939" s="102">
        <f t="shared" si="343"/>
        <v>192000</v>
      </c>
      <c r="M939" s="102">
        <f t="shared" si="343"/>
        <v>0</v>
      </c>
      <c r="N939" s="703"/>
      <c r="O939" s="709"/>
      <c r="AJ939" s="113"/>
      <c r="AK939" s="113"/>
      <c r="AL939" s="113"/>
      <c r="AM939" s="113"/>
      <c r="AN939" s="113"/>
      <c r="AO939" s="113"/>
      <c r="AP939" s="113"/>
      <c r="AQ939" s="113"/>
      <c r="AR939" s="113"/>
      <c r="AS939" s="113"/>
      <c r="AT939" s="113"/>
      <c r="AU939" s="113"/>
      <c r="AV939" s="113"/>
      <c r="AW939" s="113"/>
      <c r="AX939" s="113"/>
      <c r="AY939" s="113"/>
      <c r="AZ939" s="113"/>
      <c r="BA939" s="113"/>
      <c r="BB939" s="113"/>
      <c r="BC939" s="113"/>
      <c r="BD939" s="113"/>
      <c r="BE939" s="113"/>
      <c r="BF939" s="113"/>
      <c r="BG939" s="113"/>
      <c r="BH939" s="113"/>
      <c r="BI939" s="113"/>
    </row>
    <row r="940" spans="1:61" ht="20.25" customHeight="1">
      <c r="A940" s="1039" t="s">
        <v>156</v>
      </c>
      <c r="B940" s="643" t="s">
        <v>89</v>
      </c>
      <c r="C940" s="643">
        <v>176</v>
      </c>
      <c r="D940" s="643" t="s">
        <v>15</v>
      </c>
      <c r="E940" s="643">
        <v>6100404</v>
      </c>
      <c r="F940" s="643">
        <v>244</v>
      </c>
      <c r="G940" s="103"/>
      <c r="H940" s="103"/>
      <c r="I940" s="103"/>
      <c r="J940" s="103"/>
      <c r="K940" s="103"/>
      <c r="L940" s="103">
        <v>5</v>
      </c>
      <c r="M940" s="103"/>
      <c r="N940" s="703"/>
      <c r="O940" s="1037" t="s">
        <v>255</v>
      </c>
    </row>
    <row r="941" spans="1:61" s="45" customFormat="1" ht="24.75" customHeight="1">
      <c r="A941" s="1039"/>
      <c r="B941" s="643" t="s">
        <v>248</v>
      </c>
      <c r="C941" s="643"/>
      <c r="D941" s="643"/>
      <c r="E941" s="643"/>
      <c r="F941" s="643"/>
      <c r="G941" s="103"/>
      <c r="H941" s="103"/>
      <c r="I941" s="103"/>
      <c r="J941" s="103"/>
      <c r="K941" s="103"/>
      <c r="L941" s="103">
        <v>60000</v>
      </c>
      <c r="M941" s="103"/>
      <c r="N941" s="703"/>
      <c r="O941" s="1037"/>
      <c r="AJ941" s="113"/>
      <c r="AK941" s="113"/>
      <c r="AL941" s="113"/>
      <c r="AM941" s="113"/>
      <c r="AN941" s="113"/>
      <c r="AO941" s="113"/>
      <c r="AP941" s="113"/>
      <c r="AQ941" s="113"/>
      <c r="AR941" s="113"/>
      <c r="AS941" s="113"/>
      <c r="AT941" s="113"/>
      <c r="AU941" s="113"/>
      <c r="AV941" s="113"/>
      <c r="AW941" s="113"/>
      <c r="AX941" s="113"/>
      <c r="AY941" s="113"/>
      <c r="AZ941" s="113"/>
      <c r="BA941" s="113"/>
      <c r="BB941" s="113"/>
      <c r="BC941" s="113"/>
      <c r="BD941" s="113"/>
      <c r="BE941" s="113"/>
      <c r="BF941" s="113"/>
      <c r="BG941" s="113"/>
      <c r="BH941" s="113"/>
      <c r="BI941" s="113"/>
    </row>
    <row r="942" spans="1:61" s="45" customFormat="1" ht="24.75" customHeight="1">
      <c r="A942" s="1028" t="s">
        <v>575</v>
      </c>
      <c r="B942" s="643" t="s">
        <v>89</v>
      </c>
      <c r="C942" s="643"/>
      <c r="D942" s="643"/>
      <c r="E942" s="643"/>
      <c r="F942" s="643"/>
      <c r="G942" s="103"/>
      <c r="H942" s="103"/>
      <c r="I942" s="103"/>
      <c r="J942" s="103"/>
      <c r="K942" s="103"/>
      <c r="L942" s="103">
        <v>0.3</v>
      </c>
      <c r="M942" s="103"/>
      <c r="N942" s="703"/>
      <c r="O942" s="1030" t="s">
        <v>613</v>
      </c>
      <c r="AJ942" s="113"/>
      <c r="AK942" s="113"/>
      <c r="AL942" s="113"/>
      <c r="AM942" s="113"/>
      <c r="AN942" s="113"/>
      <c r="AO942" s="113"/>
      <c r="AP942" s="113"/>
      <c r="AQ942" s="113"/>
      <c r="AR942" s="113"/>
      <c r="AS942" s="113"/>
      <c r="AT942" s="113"/>
      <c r="AU942" s="113"/>
      <c r="AV942" s="113"/>
      <c r="AW942" s="113"/>
      <c r="AX942" s="113"/>
      <c r="AY942" s="113"/>
      <c r="AZ942" s="113"/>
      <c r="BA942" s="113"/>
      <c r="BB942" s="113"/>
      <c r="BC942" s="113"/>
      <c r="BD942" s="113"/>
      <c r="BE942" s="113"/>
      <c r="BF942" s="113"/>
      <c r="BG942" s="113"/>
      <c r="BH942" s="113"/>
      <c r="BI942" s="113"/>
    </row>
    <row r="943" spans="1:61" s="45" customFormat="1" ht="25.5" customHeight="1">
      <c r="A943" s="1029"/>
      <c r="B943" s="643" t="s">
        <v>248</v>
      </c>
      <c r="C943" s="643"/>
      <c r="D943" s="643"/>
      <c r="E943" s="643"/>
      <c r="F943" s="643"/>
      <c r="G943" s="103"/>
      <c r="H943" s="103"/>
      <c r="I943" s="103"/>
      <c r="J943" s="103"/>
      <c r="K943" s="103"/>
      <c r="L943" s="103">
        <v>3150</v>
      </c>
      <c r="M943" s="103"/>
      <c r="N943" s="703"/>
      <c r="O943" s="1031"/>
      <c r="AJ943" s="113"/>
      <c r="AK943" s="113"/>
      <c r="AL943" s="113"/>
      <c r="AM943" s="113"/>
      <c r="AN943" s="113"/>
      <c r="AO943" s="113"/>
      <c r="AP943" s="113"/>
      <c r="AQ943" s="113"/>
      <c r="AR943" s="113"/>
      <c r="AS943" s="113"/>
      <c r="AT943" s="113"/>
      <c r="AU943" s="113"/>
      <c r="AV943" s="113"/>
      <c r="AW943" s="113"/>
      <c r="AX943" s="113"/>
      <c r="AY943" s="113"/>
      <c r="AZ943" s="113"/>
      <c r="BA943" s="113"/>
      <c r="BB943" s="113"/>
      <c r="BC943" s="113"/>
      <c r="BD943" s="113"/>
      <c r="BE943" s="113"/>
      <c r="BF943" s="113"/>
      <c r="BG943" s="113"/>
      <c r="BH943" s="113"/>
      <c r="BI943" s="113"/>
    </row>
    <row r="944" spans="1:61" s="45" customFormat="1" ht="23.25" customHeight="1">
      <c r="A944" s="1028" t="s">
        <v>608</v>
      </c>
      <c r="B944" s="643" t="s">
        <v>89</v>
      </c>
      <c r="C944" s="643"/>
      <c r="D944" s="643"/>
      <c r="E944" s="643"/>
      <c r="F944" s="643"/>
      <c r="G944" s="103"/>
      <c r="H944" s="103"/>
      <c r="I944" s="103"/>
      <c r="J944" s="103"/>
      <c r="K944" s="103"/>
      <c r="L944" s="103">
        <v>3</v>
      </c>
      <c r="M944" s="103"/>
      <c r="N944" s="703"/>
      <c r="O944" s="1030" t="s">
        <v>614</v>
      </c>
      <c r="AJ944" s="113"/>
      <c r="AK944" s="113"/>
      <c r="AL944" s="113"/>
      <c r="AM944" s="113"/>
      <c r="AN944" s="113"/>
      <c r="AO944" s="113"/>
      <c r="AP944" s="113"/>
      <c r="AQ944" s="113"/>
      <c r="AR944" s="113"/>
      <c r="AS944" s="113"/>
      <c r="AT944" s="113"/>
      <c r="AU944" s="113"/>
      <c r="AV944" s="113"/>
      <c r="AW944" s="113"/>
      <c r="AX944" s="113"/>
      <c r="AY944" s="113"/>
      <c r="AZ944" s="113"/>
      <c r="BA944" s="113"/>
      <c r="BB944" s="113"/>
      <c r="BC944" s="113"/>
      <c r="BD944" s="113"/>
      <c r="BE944" s="113"/>
      <c r="BF944" s="113"/>
      <c r="BG944" s="113"/>
      <c r="BH944" s="113"/>
      <c r="BI944" s="113"/>
    </row>
    <row r="945" spans="1:61" s="45" customFormat="1" ht="27" customHeight="1">
      <c r="A945" s="1029"/>
      <c r="B945" s="643" t="s">
        <v>248</v>
      </c>
      <c r="C945" s="643"/>
      <c r="D945" s="643"/>
      <c r="E945" s="643"/>
      <c r="F945" s="643"/>
      <c r="G945" s="103"/>
      <c r="H945" s="103"/>
      <c r="I945" s="103"/>
      <c r="J945" s="103"/>
      <c r="K945" s="103"/>
      <c r="L945" s="103">
        <v>36000</v>
      </c>
      <c r="M945" s="103"/>
      <c r="N945" s="703"/>
      <c r="O945" s="1031"/>
      <c r="AJ945" s="113"/>
      <c r="AK945" s="113"/>
      <c r="AL945" s="113"/>
      <c r="AM945" s="113"/>
      <c r="AN945" s="113"/>
      <c r="AO945" s="113"/>
      <c r="AP945" s="113"/>
      <c r="AQ945" s="113"/>
      <c r="AR945" s="113"/>
      <c r="AS945" s="113"/>
      <c r="AT945" s="113"/>
      <c r="AU945" s="113"/>
      <c r="AV945" s="113"/>
      <c r="AW945" s="113"/>
      <c r="AX945" s="113"/>
      <c r="AY945" s="113"/>
      <c r="AZ945" s="113"/>
      <c r="BA945" s="113"/>
      <c r="BB945" s="113"/>
      <c r="BC945" s="113"/>
      <c r="BD945" s="113"/>
      <c r="BE945" s="113"/>
      <c r="BF945" s="113"/>
      <c r="BG945" s="113"/>
      <c r="BH945" s="113"/>
      <c r="BI945" s="113"/>
    </row>
    <row r="946" spans="1:61" s="45" customFormat="1" ht="23.25" customHeight="1">
      <c r="A946" s="1039" t="s">
        <v>975</v>
      </c>
      <c r="B946" s="643" t="s">
        <v>89</v>
      </c>
      <c r="C946" s="643"/>
      <c r="D946" s="643"/>
      <c r="E946" s="643"/>
      <c r="F946" s="643"/>
      <c r="G946" s="103"/>
      <c r="H946" s="103"/>
      <c r="I946" s="103"/>
      <c r="J946" s="103"/>
      <c r="K946" s="103"/>
      <c r="L946" s="103">
        <v>2</v>
      </c>
      <c r="M946" s="103"/>
      <c r="N946" s="703"/>
      <c r="O946" s="1030" t="s">
        <v>615</v>
      </c>
      <c r="AJ946" s="113"/>
      <c r="AK946" s="113"/>
      <c r="AL946" s="113"/>
      <c r="AM946" s="113"/>
      <c r="AN946" s="113"/>
      <c r="AO946" s="113"/>
      <c r="AP946" s="113"/>
      <c r="AQ946" s="113"/>
      <c r="AR946" s="113"/>
      <c r="AS946" s="113"/>
      <c r="AT946" s="113"/>
      <c r="AU946" s="113"/>
      <c r="AV946" s="113"/>
      <c r="AW946" s="113"/>
      <c r="AX946" s="113"/>
      <c r="AY946" s="113"/>
      <c r="AZ946" s="113"/>
      <c r="BA946" s="113"/>
      <c r="BB946" s="113"/>
      <c r="BC946" s="113"/>
      <c r="BD946" s="113"/>
      <c r="BE946" s="113"/>
      <c r="BF946" s="113"/>
      <c r="BG946" s="113"/>
      <c r="BH946" s="113"/>
      <c r="BI946" s="113"/>
    </row>
    <row r="947" spans="1:61" s="45" customFormat="1" ht="24.75" customHeight="1">
      <c r="A947" s="1039"/>
      <c r="B947" s="643" t="s">
        <v>248</v>
      </c>
      <c r="C947" s="643"/>
      <c r="D947" s="643"/>
      <c r="E947" s="643"/>
      <c r="F947" s="643"/>
      <c r="G947" s="103"/>
      <c r="H947" s="103"/>
      <c r="I947" s="103"/>
      <c r="J947" s="103"/>
      <c r="K947" s="103"/>
      <c r="L947" s="103">
        <v>24000</v>
      </c>
      <c r="M947" s="103"/>
      <c r="N947" s="703"/>
      <c r="O947" s="1031"/>
      <c r="AJ947" s="113"/>
      <c r="AK947" s="113"/>
      <c r="AL947" s="113"/>
      <c r="AM947" s="113"/>
      <c r="AN947" s="113"/>
      <c r="AO947" s="113"/>
      <c r="AP947" s="113"/>
      <c r="AQ947" s="113"/>
      <c r="AR947" s="113"/>
      <c r="AS947" s="113"/>
      <c r="AT947" s="113"/>
      <c r="AU947" s="113"/>
      <c r="AV947" s="113"/>
      <c r="AW947" s="113"/>
      <c r="AX947" s="113"/>
      <c r="AY947" s="113"/>
      <c r="AZ947" s="113"/>
      <c r="BA947" s="113"/>
      <c r="BB947" s="113"/>
      <c r="BC947" s="113"/>
      <c r="BD947" s="113"/>
      <c r="BE947" s="113"/>
      <c r="BF947" s="113"/>
      <c r="BG947" s="113"/>
      <c r="BH947" s="113"/>
      <c r="BI947" s="113"/>
    </row>
    <row r="948" spans="1:61" s="45" customFormat="1" ht="21.75" customHeight="1">
      <c r="A948" s="1039" t="s">
        <v>610</v>
      </c>
      <c r="B948" s="643" t="s">
        <v>89</v>
      </c>
      <c r="C948" s="643"/>
      <c r="D948" s="643"/>
      <c r="E948" s="643"/>
      <c r="F948" s="643"/>
      <c r="G948" s="103">
        <f>K948</f>
        <v>5</v>
      </c>
      <c r="H948" s="103"/>
      <c r="I948" s="103"/>
      <c r="J948" s="103"/>
      <c r="K948" s="103">
        <v>5</v>
      </c>
      <c r="L948" s="103">
        <v>3</v>
      </c>
      <c r="M948" s="103"/>
      <c r="N948" s="703"/>
      <c r="O948" s="1030" t="s">
        <v>616</v>
      </c>
      <c r="AJ948" s="113"/>
      <c r="AK948" s="113"/>
      <c r="AL948" s="113"/>
      <c r="AM948" s="113"/>
      <c r="AN948" s="113"/>
      <c r="AO948" s="113"/>
      <c r="AP948" s="113"/>
      <c r="AQ948" s="113"/>
      <c r="AR948" s="113"/>
      <c r="AS948" s="113"/>
      <c r="AT948" s="113"/>
      <c r="AU948" s="113"/>
      <c r="AV948" s="113"/>
      <c r="AW948" s="113"/>
      <c r="AX948" s="113"/>
      <c r="AY948" s="113"/>
      <c r="AZ948" s="113"/>
      <c r="BA948" s="113"/>
      <c r="BB948" s="113"/>
      <c r="BC948" s="113"/>
      <c r="BD948" s="113"/>
      <c r="BE948" s="113"/>
      <c r="BF948" s="113"/>
      <c r="BG948" s="113"/>
      <c r="BH948" s="113"/>
      <c r="BI948" s="113"/>
    </row>
    <row r="949" spans="1:61" s="45" customFormat="1" ht="30" customHeight="1">
      <c r="A949" s="1039"/>
      <c r="B949" s="643" t="s">
        <v>248</v>
      </c>
      <c r="C949" s="643"/>
      <c r="D949" s="643"/>
      <c r="E949" s="643"/>
      <c r="F949" s="643"/>
      <c r="G949" s="103">
        <f>K949</f>
        <v>31209.3</v>
      </c>
      <c r="H949" s="103"/>
      <c r="I949" s="103"/>
      <c r="J949" s="103"/>
      <c r="K949" s="103">
        <v>31209.3</v>
      </c>
      <c r="L949" s="103">
        <v>32850</v>
      </c>
      <c r="M949" s="103"/>
      <c r="N949" s="703"/>
      <c r="O949" s="1031"/>
      <c r="AJ949" s="113"/>
      <c r="AK949" s="113"/>
      <c r="AL949" s="113"/>
      <c r="AM949" s="113"/>
      <c r="AN949" s="113"/>
      <c r="AO949" s="113"/>
      <c r="AP949" s="113"/>
      <c r="AQ949" s="113"/>
      <c r="AR949" s="113"/>
      <c r="AS949" s="113"/>
      <c r="AT949" s="113"/>
      <c r="AU949" s="113"/>
      <c r="AV949" s="113"/>
      <c r="AW949" s="113"/>
      <c r="AX949" s="113"/>
      <c r="AY949" s="113"/>
      <c r="AZ949" s="113"/>
      <c r="BA949" s="113"/>
      <c r="BB949" s="113"/>
      <c r="BC949" s="113"/>
      <c r="BD949" s="113"/>
      <c r="BE949" s="113"/>
      <c r="BF949" s="113"/>
      <c r="BG949" s="113"/>
      <c r="BH949" s="113"/>
      <c r="BI949" s="113"/>
    </row>
    <row r="950" spans="1:61" s="45" customFormat="1" ht="21" customHeight="1">
      <c r="A950" s="1028" t="s">
        <v>611</v>
      </c>
      <c r="B950" s="643" t="s">
        <v>89</v>
      </c>
      <c r="C950" s="643"/>
      <c r="D950" s="643"/>
      <c r="E950" s="643"/>
      <c r="F950" s="643"/>
      <c r="G950" s="103"/>
      <c r="H950" s="103"/>
      <c r="I950" s="103"/>
      <c r="J950" s="103"/>
      <c r="K950" s="103"/>
      <c r="L950" s="103">
        <v>3</v>
      </c>
      <c r="M950" s="103"/>
      <c r="N950" s="703"/>
      <c r="O950" s="1030" t="s">
        <v>614</v>
      </c>
      <c r="AJ950" s="113"/>
      <c r="AK950" s="113"/>
      <c r="AL950" s="113"/>
      <c r="AM950" s="113"/>
      <c r="AN950" s="113"/>
      <c r="AO950" s="113"/>
      <c r="AP950" s="113"/>
      <c r="AQ950" s="113"/>
      <c r="AR950" s="113"/>
      <c r="AS950" s="113"/>
      <c r="AT950" s="113"/>
      <c r="AU950" s="113"/>
      <c r="AV950" s="113"/>
      <c r="AW950" s="113"/>
      <c r="AX950" s="113"/>
      <c r="AY950" s="113"/>
      <c r="AZ950" s="113"/>
      <c r="BA950" s="113"/>
      <c r="BB950" s="113"/>
      <c r="BC950" s="113"/>
      <c r="BD950" s="113"/>
      <c r="BE950" s="113"/>
      <c r="BF950" s="113"/>
      <c r="BG950" s="113"/>
      <c r="BH950" s="113"/>
      <c r="BI950" s="113"/>
    </row>
    <row r="951" spans="1:61" s="45" customFormat="1" ht="30" customHeight="1">
      <c r="A951" s="1029"/>
      <c r="B951" s="643" t="s">
        <v>248</v>
      </c>
      <c r="C951" s="643"/>
      <c r="D951" s="643"/>
      <c r="E951" s="643"/>
      <c r="F951" s="643"/>
      <c r="G951" s="103"/>
      <c r="H951" s="103"/>
      <c r="I951" s="103"/>
      <c r="J951" s="103"/>
      <c r="K951" s="103"/>
      <c r="L951" s="103">
        <v>36000</v>
      </c>
      <c r="M951" s="103"/>
      <c r="N951" s="703"/>
      <c r="O951" s="1031"/>
      <c r="AJ951" s="113"/>
      <c r="AK951" s="113"/>
      <c r="AL951" s="113"/>
      <c r="AM951" s="113"/>
      <c r="AN951" s="113"/>
      <c r="AO951" s="113"/>
      <c r="AP951" s="113"/>
      <c r="AQ951" s="113"/>
      <c r="AR951" s="113"/>
      <c r="AS951" s="113"/>
      <c r="AT951" s="113"/>
      <c r="AU951" s="113"/>
      <c r="AV951" s="113"/>
      <c r="AW951" s="113"/>
      <c r="AX951" s="113"/>
      <c r="AY951" s="113"/>
      <c r="AZ951" s="113"/>
      <c r="BA951" s="113"/>
      <c r="BB951" s="113"/>
      <c r="BC951" s="113"/>
      <c r="BD951" s="113"/>
      <c r="BE951" s="113"/>
      <c r="BF951" s="113"/>
      <c r="BG951" s="113"/>
      <c r="BH951" s="113"/>
      <c r="BI951" s="113"/>
    </row>
    <row r="952" spans="1:61" s="45" customFormat="1" ht="22.5" hidden="1" customHeight="1">
      <c r="A952" s="1028" t="s">
        <v>612</v>
      </c>
      <c r="B952" s="643" t="s">
        <v>89</v>
      </c>
      <c r="C952" s="643"/>
      <c r="D952" s="643"/>
      <c r="E952" s="643"/>
      <c r="F952" s="643"/>
      <c r="G952" s="103">
        <f>K952</f>
        <v>0</v>
      </c>
      <c r="H952" s="103"/>
      <c r="I952" s="103"/>
      <c r="J952" s="103"/>
      <c r="K952" s="103"/>
      <c r="L952" s="103"/>
      <c r="M952" s="103"/>
      <c r="N952" s="703"/>
      <c r="O952" s="1030" t="s">
        <v>40</v>
      </c>
      <c r="AJ952" s="113"/>
      <c r="AK952" s="113"/>
      <c r="AL952" s="113"/>
      <c r="AM952" s="113"/>
      <c r="AN952" s="113"/>
      <c r="AO952" s="113"/>
      <c r="AP952" s="113"/>
      <c r="AQ952" s="113"/>
      <c r="AR952" s="113"/>
      <c r="AS952" s="113"/>
      <c r="AT952" s="113"/>
      <c r="AU952" s="113"/>
      <c r="AV952" s="113"/>
      <c r="AW952" s="113"/>
      <c r="AX952" s="113"/>
      <c r="AY952" s="113"/>
      <c r="AZ952" s="113"/>
      <c r="BA952" s="113"/>
      <c r="BB952" s="113"/>
      <c r="BC952" s="113"/>
      <c r="BD952" s="113"/>
      <c r="BE952" s="113"/>
      <c r="BF952" s="113"/>
      <c r="BG952" s="113"/>
      <c r="BH952" s="113"/>
      <c r="BI952" s="113"/>
    </row>
    <row r="953" spans="1:61" s="45" customFormat="1" ht="30" hidden="1" customHeight="1">
      <c r="A953" s="1029"/>
      <c r="B953" s="643" t="s">
        <v>248</v>
      </c>
      <c r="C953" s="643"/>
      <c r="D953" s="643"/>
      <c r="E953" s="643"/>
      <c r="F953" s="643"/>
      <c r="G953" s="103">
        <f>K953</f>
        <v>0</v>
      </c>
      <c r="H953" s="103"/>
      <c r="I953" s="103"/>
      <c r="J953" s="103"/>
      <c r="K953" s="103"/>
      <c r="L953" s="103"/>
      <c r="M953" s="103"/>
      <c r="N953" s="703"/>
      <c r="O953" s="1031"/>
      <c r="AJ953" s="113"/>
      <c r="AK953" s="113"/>
      <c r="AL953" s="113"/>
      <c r="AM953" s="113"/>
      <c r="AN953" s="113"/>
      <c r="AO953" s="113"/>
      <c r="AP953" s="113"/>
      <c r="AQ953" s="113"/>
      <c r="AR953" s="113"/>
      <c r="AS953" s="113"/>
      <c r="AT953" s="113"/>
      <c r="AU953" s="113"/>
      <c r="AV953" s="113"/>
      <c r="AW953" s="113"/>
      <c r="AX953" s="113"/>
      <c r="AY953" s="113"/>
      <c r="AZ953" s="113"/>
      <c r="BA953" s="113"/>
      <c r="BB953" s="113"/>
      <c r="BC953" s="113"/>
      <c r="BD953" s="113"/>
      <c r="BE953" s="113"/>
      <c r="BF953" s="113"/>
      <c r="BG953" s="113"/>
      <c r="BH953" s="113"/>
      <c r="BI953" s="113"/>
    </row>
    <row r="954" spans="1:61" s="45" customFormat="1" ht="30" hidden="1" customHeight="1">
      <c r="A954" s="1078"/>
      <c r="B954" s="643"/>
      <c r="C954" s="643"/>
      <c r="D954" s="643"/>
      <c r="E954" s="643"/>
      <c r="F954" s="643"/>
      <c r="G954" s="103"/>
      <c r="H954" s="103"/>
      <c r="I954" s="103"/>
      <c r="J954" s="103"/>
      <c r="K954" s="103"/>
      <c r="L954" s="103"/>
      <c r="M954" s="103"/>
      <c r="N954" s="703"/>
      <c r="O954" s="1030" t="s">
        <v>607</v>
      </c>
      <c r="AJ954" s="113"/>
      <c r="AK954" s="113"/>
      <c r="AL954" s="113"/>
      <c r="AM954" s="113"/>
      <c r="AN954" s="113"/>
      <c r="AO954" s="113"/>
      <c r="AP954" s="113"/>
      <c r="AQ954" s="113"/>
      <c r="AR954" s="113"/>
      <c r="AS954" s="113"/>
      <c r="AT954" s="113"/>
      <c r="AU954" s="113"/>
      <c r="AV954" s="113"/>
      <c r="AW954" s="113"/>
      <c r="AX954" s="113"/>
      <c r="AY954" s="113"/>
      <c r="AZ954" s="113"/>
      <c r="BA954" s="113"/>
      <c r="BB954" s="113"/>
      <c r="BC954" s="113"/>
      <c r="BD954" s="113"/>
      <c r="BE954" s="113"/>
      <c r="BF954" s="113"/>
      <c r="BG954" s="113"/>
      <c r="BH954" s="113"/>
      <c r="BI954" s="113"/>
    </row>
    <row r="955" spans="1:61" s="45" customFormat="1" ht="30" hidden="1" customHeight="1">
      <c r="A955" s="1080"/>
      <c r="B955" s="643"/>
      <c r="C955" s="643"/>
      <c r="D955" s="643"/>
      <c r="E955" s="643"/>
      <c r="F955" s="643"/>
      <c r="G955" s="103"/>
      <c r="H955" s="103"/>
      <c r="I955" s="103"/>
      <c r="J955" s="103"/>
      <c r="K955" s="103"/>
      <c r="L955" s="103"/>
      <c r="M955" s="103"/>
      <c r="N955" s="703"/>
      <c r="O955" s="1031"/>
      <c r="AJ955" s="113"/>
      <c r="AK955" s="113"/>
      <c r="AL955" s="113"/>
      <c r="AM955" s="113"/>
      <c r="AN955" s="113"/>
      <c r="AO955" s="113"/>
      <c r="AP955" s="113"/>
      <c r="AQ955" s="113"/>
      <c r="AR955" s="113"/>
      <c r="AS955" s="113"/>
      <c r="AT955" s="113"/>
      <c r="AU955" s="113"/>
      <c r="AV955" s="113"/>
      <c r="AW955" s="113"/>
      <c r="AX955" s="113"/>
      <c r="AY955" s="113"/>
      <c r="AZ955" s="113"/>
      <c r="BA955" s="113"/>
      <c r="BB955" s="113"/>
      <c r="BC955" s="113"/>
      <c r="BD955" s="113"/>
      <c r="BE955" s="113"/>
      <c r="BF955" s="113"/>
      <c r="BG955" s="113"/>
      <c r="BH955" s="113"/>
      <c r="BI955" s="113"/>
    </row>
    <row r="956" spans="1:61" s="45" customFormat="1" ht="21" customHeight="1">
      <c r="A956" s="985" t="s">
        <v>129</v>
      </c>
      <c r="B956" s="62" t="s">
        <v>89</v>
      </c>
      <c r="C956" s="643"/>
      <c r="D956" s="643"/>
      <c r="E956" s="643"/>
      <c r="F956" s="643"/>
      <c r="G956" s="102">
        <f>G960</f>
        <v>2</v>
      </c>
      <c r="H956" s="102">
        <f t="shared" ref="H956:M956" si="344">H960</f>
        <v>0</v>
      </c>
      <c r="I956" s="102">
        <f t="shared" si="344"/>
        <v>0</v>
      </c>
      <c r="J956" s="102">
        <f t="shared" si="344"/>
        <v>0</v>
      </c>
      <c r="K956" s="102">
        <f t="shared" si="344"/>
        <v>2</v>
      </c>
      <c r="L956" s="102">
        <f t="shared" si="344"/>
        <v>12</v>
      </c>
      <c r="M956" s="102">
        <f t="shared" si="344"/>
        <v>0</v>
      </c>
      <c r="N956" s="703"/>
      <c r="O956" s="703"/>
      <c r="AJ956" s="113"/>
      <c r="AK956" s="113"/>
      <c r="AL956" s="113"/>
      <c r="AM956" s="113"/>
      <c r="AN956" s="113"/>
      <c r="AO956" s="113"/>
      <c r="AP956" s="113"/>
      <c r="AQ956" s="113"/>
      <c r="AR956" s="113"/>
      <c r="AS956" s="113"/>
      <c r="AT956" s="113"/>
      <c r="AU956" s="113"/>
      <c r="AV956" s="113"/>
      <c r="AW956" s="113"/>
      <c r="AX956" s="113"/>
      <c r="AY956" s="113"/>
      <c r="AZ956" s="113"/>
      <c r="BA956" s="113"/>
      <c r="BB956" s="113"/>
      <c r="BC956" s="113"/>
      <c r="BD956" s="113"/>
      <c r="BE956" s="113"/>
      <c r="BF956" s="113"/>
      <c r="BG956" s="113"/>
      <c r="BH956" s="113"/>
      <c r="BI956" s="113"/>
    </row>
    <row r="957" spans="1:61" s="45" customFormat="1" ht="21" customHeight="1">
      <c r="A957" s="986"/>
      <c r="B957" s="62" t="s">
        <v>25</v>
      </c>
      <c r="C957" s="643"/>
      <c r="D957" s="643"/>
      <c r="E957" s="643"/>
      <c r="F957" s="643"/>
      <c r="G957" s="102">
        <f>G961</f>
        <v>28234.400000000001</v>
      </c>
      <c r="H957" s="102">
        <f t="shared" ref="H957:M957" si="345">H961</f>
        <v>0</v>
      </c>
      <c r="I957" s="102">
        <f t="shared" si="345"/>
        <v>0</v>
      </c>
      <c r="J957" s="102">
        <f t="shared" si="345"/>
        <v>0</v>
      </c>
      <c r="K957" s="102">
        <f t="shared" si="345"/>
        <v>28234.400000000001</v>
      </c>
      <c r="L957" s="102">
        <f t="shared" si="345"/>
        <v>157000</v>
      </c>
      <c r="M957" s="102">
        <f t="shared" si="345"/>
        <v>0</v>
      </c>
      <c r="N957" s="703"/>
      <c r="O957" s="703"/>
      <c r="AJ957" s="113"/>
      <c r="AK957" s="113"/>
      <c r="AL957" s="113"/>
      <c r="AM957" s="113"/>
      <c r="AN957" s="113"/>
      <c r="AO957" s="113"/>
      <c r="AP957" s="113"/>
      <c r="AQ957" s="113"/>
      <c r="AR957" s="113"/>
      <c r="AS957" s="113"/>
      <c r="AT957" s="113"/>
      <c r="AU957" s="113"/>
      <c r="AV957" s="113"/>
      <c r="AW957" s="113"/>
      <c r="AX957" s="113"/>
      <c r="AY957" s="113"/>
      <c r="AZ957" s="113"/>
      <c r="BA957" s="113"/>
      <c r="BB957" s="113"/>
      <c r="BC957" s="113"/>
      <c r="BD957" s="113"/>
      <c r="BE957" s="113"/>
      <c r="BF957" s="113"/>
      <c r="BG957" s="113"/>
      <c r="BH957" s="113"/>
      <c r="BI957" s="113"/>
    </row>
    <row r="958" spans="1:61" s="45" customFormat="1" ht="20.25" customHeight="1">
      <c r="A958" s="986"/>
      <c r="B958" s="62" t="s">
        <v>10</v>
      </c>
      <c r="C958" s="643"/>
      <c r="D958" s="643"/>
      <c r="E958" s="643"/>
      <c r="F958" s="643"/>
      <c r="G958" s="102">
        <f>G962</f>
        <v>28234.400000000001</v>
      </c>
      <c r="H958" s="102">
        <f t="shared" ref="H958:M958" si="346">H962</f>
        <v>0</v>
      </c>
      <c r="I958" s="102">
        <f t="shared" si="346"/>
        <v>0</v>
      </c>
      <c r="J958" s="102">
        <f t="shared" si="346"/>
        <v>0</v>
      </c>
      <c r="K958" s="102">
        <f t="shared" si="346"/>
        <v>28234.400000000001</v>
      </c>
      <c r="L958" s="102">
        <f t="shared" si="346"/>
        <v>157000</v>
      </c>
      <c r="M958" s="102">
        <f t="shared" si="346"/>
        <v>0</v>
      </c>
      <c r="N958" s="703"/>
      <c r="O958" s="703"/>
      <c r="AJ958" s="113"/>
      <c r="AK958" s="113"/>
      <c r="AL958" s="113"/>
      <c r="AM958" s="113"/>
      <c r="AN958" s="113"/>
      <c r="AO958" s="113"/>
      <c r="AP958" s="113"/>
      <c r="AQ958" s="113"/>
      <c r="AR958" s="113"/>
      <c r="AS958" s="113"/>
      <c r="AT958" s="113"/>
      <c r="AU958" s="113"/>
      <c r="AV958" s="113"/>
      <c r="AW958" s="113"/>
      <c r="AX958" s="113"/>
      <c r="AY958" s="113"/>
      <c r="AZ958" s="113"/>
      <c r="BA958" s="113"/>
      <c r="BB958" s="113"/>
      <c r="BC958" s="113"/>
      <c r="BD958" s="113"/>
      <c r="BE958" s="113"/>
      <c r="BF958" s="113"/>
      <c r="BG958" s="113"/>
      <c r="BH958" s="113"/>
      <c r="BI958" s="113"/>
    </row>
    <row r="959" spans="1:61" s="45" customFormat="1" ht="19.5" customHeight="1">
      <c r="A959" s="987"/>
      <c r="B959" s="62" t="s">
        <v>502</v>
      </c>
      <c r="C959" s="62"/>
      <c r="D959" s="62"/>
      <c r="E959" s="62"/>
      <c r="F959" s="62"/>
      <c r="G959" s="102">
        <v>0</v>
      </c>
      <c r="H959" s="102">
        <v>0</v>
      </c>
      <c r="I959" s="102">
        <v>0</v>
      </c>
      <c r="J959" s="102">
        <v>0</v>
      </c>
      <c r="K959" s="102">
        <v>0</v>
      </c>
      <c r="L959" s="102">
        <v>0</v>
      </c>
      <c r="M959" s="102">
        <v>0</v>
      </c>
      <c r="N959" s="703"/>
      <c r="O959" s="709"/>
      <c r="AJ959" s="113"/>
      <c r="AK959" s="113"/>
      <c r="AL959" s="113"/>
      <c r="AM959" s="113"/>
      <c r="AN959" s="113"/>
      <c r="AO959" s="113"/>
      <c r="AP959" s="113"/>
      <c r="AQ959" s="113"/>
      <c r="AR959" s="113"/>
      <c r="AS959" s="113"/>
      <c r="AT959" s="113"/>
      <c r="AU959" s="113"/>
      <c r="AV959" s="113"/>
      <c r="AW959" s="113"/>
      <c r="AX959" s="113"/>
      <c r="AY959" s="113"/>
      <c r="AZ959" s="113"/>
      <c r="BA959" s="113"/>
      <c r="BB959" s="113"/>
      <c r="BC959" s="113"/>
      <c r="BD959" s="113"/>
      <c r="BE959" s="113"/>
      <c r="BF959" s="113"/>
      <c r="BG959" s="113"/>
      <c r="BH959" s="113"/>
      <c r="BI959" s="113"/>
    </row>
    <row r="960" spans="1:61" s="45" customFormat="1" ht="26.25" customHeight="1">
      <c r="A960" s="1028" t="s">
        <v>157</v>
      </c>
      <c r="B960" s="760" t="s">
        <v>89</v>
      </c>
      <c r="C960" s="761"/>
      <c r="D960" s="761"/>
      <c r="E960" s="761"/>
      <c r="F960" s="761"/>
      <c r="G960" s="103">
        <f t="shared" ref="G960" si="347">K960</f>
        <v>2</v>
      </c>
      <c r="H960" s="103"/>
      <c r="I960" s="103"/>
      <c r="J960" s="103"/>
      <c r="K960" s="103">
        <v>2</v>
      </c>
      <c r="L960" s="103">
        <v>12</v>
      </c>
      <c r="M960" s="103"/>
      <c r="N960" s="760"/>
      <c r="O960" s="1037" t="s">
        <v>895</v>
      </c>
      <c r="AJ960" s="113"/>
      <c r="AK960" s="113"/>
      <c r="AL960" s="113"/>
      <c r="AM960" s="113"/>
      <c r="AN960" s="113"/>
      <c r="AO960" s="113"/>
      <c r="AP960" s="113"/>
      <c r="AQ960" s="113"/>
      <c r="AR960" s="113"/>
      <c r="AS960" s="113"/>
      <c r="AT960" s="113"/>
      <c r="AU960" s="113"/>
      <c r="AV960" s="113"/>
      <c r="AW960" s="113"/>
      <c r="AX960" s="113"/>
      <c r="AY960" s="113"/>
      <c r="AZ960" s="113"/>
      <c r="BA960" s="113"/>
      <c r="BB960" s="113"/>
      <c r="BC960" s="113"/>
      <c r="BD960" s="113"/>
      <c r="BE960" s="113"/>
      <c r="BF960" s="113"/>
      <c r="BG960" s="113"/>
      <c r="BH960" s="113"/>
      <c r="BI960" s="113"/>
    </row>
    <row r="961" spans="1:61" s="45" customFormat="1" ht="23.25" customHeight="1">
      <c r="A961" s="1036"/>
      <c r="B961" s="760" t="s">
        <v>25</v>
      </c>
      <c r="C961" s="761"/>
      <c r="D961" s="761"/>
      <c r="E961" s="761"/>
      <c r="F961" s="761"/>
      <c r="G961" s="103">
        <f>G962</f>
        <v>28234.400000000001</v>
      </c>
      <c r="H961" s="103">
        <f t="shared" ref="H961" si="348">H962</f>
        <v>0</v>
      </c>
      <c r="I961" s="103">
        <f t="shared" ref="I961" si="349">I962</f>
        <v>0</v>
      </c>
      <c r="J961" s="103">
        <f t="shared" ref="J961" si="350">J962</f>
        <v>0</v>
      </c>
      <c r="K961" s="103">
        <f t="shared" ref="K961" si="351">K962</f>
        <v>28234.400000000001</v>
      </c>
      <c r="L961" s="103">
        <f t="shared" ref="L961" si="352">L962</f>
        <v>157000</v>
      </c>
      <c r="M961" s="103">
        <f t="shared" ref="M961" si="353">M962</f>
        <v>0</v>
      </c>
      <c r="N961" s="760"/>
      <c r="O961" s="1037"/>
      <c r="AJ961" s="113"/>
      <c r="AK961" s="113"/>
      <c r="AL961" s="113"/>
      <c r="AM961" s="113"/>
      <c r="AN961" s="113"/>
      <c r="AO961" s="113"/>
      <c r="AP961" s="113"/>
      <c r="AQ961" s="113"/>
      <c r="AR961" s="113"/>
      <c r="AS961" s="113"/>
      <c r="AT961" s="113"/>
      <c r="AU961" s="113"/>
      <c r="AV961" s="113"/>
      <c r="AW961" s="113"/>
      <c r="AX961" s="113"/>
      <c r="AY961" s="113"/>
      <c r="AZ961" s="113"/>
      <c r="BA961" s="113"/>
      <c r="BB961" s="113"/>
      <c r="BC961" s="113"/>
      <c r="BD961" s="113"/>
      <c r="BE961" s="113"/>
      <c r="BF961" s="113"/>
      <c r="BG961" s="113"/>
      <c r="BH961" s="113"/>
      <c r="BI961" s="113"/>
    </row>
    <row r="962" spans="1:61" s="45" customFormat="1" ht="26.25" customHeight="1">
      <c r="A962" s="1036"/>
      <c r="B962" s="760" t="s">
        <v>10</v>
      </c>
      <c r="C962" s="761"/>
      <c r="D962" s="761"/>
      <c r="E962" s="761"/>
      <c r="F962" s="761"/>
      <c r="G962" s="103">
        <f t="shared" ref="G962" si="354">K962</f>
        <v>28234.400000000001</v>
      </c>
      <c r="H962" s="103"/>
      <c r="I962" s="103"/>
      <c r="J962" s="103"/>
      <c r="K962" s="103">
        <v>28234.400000000001</v>
      </c>
      <c r="L962" s="103">
        <v>157000</v>
      </c>
      <c r="M962" s="103">
        <v>0</v>
      </c>
      <c r="N962" s="760"/>
      <c r="O962" s="1037"/>
      <c r="AJ962" s="113"/>
      <c r="AK962" s="113"/>
      <c r="AL962" s="113"/>
      <c r="AM962" s="113"/>
      <c r="AN962" s="113"/>
      <c r="AO962" s="113"/>
      <c r="AP962" s="113"/>
      <c r="AQ962" s="113"/>
      <c r="AR962" s="113"/>
      <c r="AS962" s="113"/>
      <c r="AT962" s="113"/>
      <c r="AU962" s="113"/>
      <c r="AV962" s="113"/>
      <c r="AW962" s="113"/>
      <c r="AX962" s="113"/>
      <c r="AY962" s="113"/>
      <c r="AZ962" s="113"/>
      <c r="BA962" s="113"/>
      <c r="BB962" s="113"/>
      <c r="BC962" s="113"/>
      <c r="BD962" s="113"/>
      <c r="BE962" s="113"/>
      <c r="BF962" s="113"/>
      <c r="BG962" s="113"/>
      <c r="BH962" s="113"/>
      <c r="BI962" s="113"/>
    </row>
    <row r="963" spans="1:61" ht="24.75" customHeight="1">
      <c r="A963" s="1038" t="s">
        <v>102</v>
      </c>
      <c r="B963" s="62" t="s">
        <v>89</v>
      </c>
      <c r="C963" s="62"/>
      <c r="D963" s="62"/>
      <c r="E963" s="62"/>
      <c r="F963" s="62"/>
      <c r="G963" s="102">
        <f t="shared" ref="G963:K964" si="355">G965+G967</f>
        <v>2.7</v>
      </c>
      <c r="H963" s="102">
        <f t="shared" si="355"/>
        <v>0</v>
      </c>
      <c r="I963" s="102">
        <f t="shared" si="355"/>
        <v>0</v>
      </c>
      <c r="J963" s="102">
        <f t="shared" si="355"/>
        <v>0</v>
      </c>
      <c r="K963" s="102">
        <f t="shared" si="355"/>
        <v>2.7</v>
      </c>
      <c r="L963" s="102">
        <f>L965+L967+L969</f>
        <v>12</v>
      </c>
      <c r="M963" s="102">
        <f>M965+M967+M969</f>
        <v>0</v>
      </c>
      <c r="N963" s="703"/>
      <c r="O963" s="709"/>
    </row>
    <row r="964" spans="1:61" ht="24.75" customHeight="1">
      <c r="A964" s="1038"/>
      <c r="B964" s="62" t="s">
        <v>248</v>
      </c>
      <c r="C964" s="62"/>
      <c r="D964" s="62"/>
      <c r="E964" s="62"/>
      <c r="F964" s="62"/>
      <c r="G964" s="102">
        <f t="shared" si="355"/>
        <v>26903.599999999999</v>
      </c>
      <c r="H964" s="102">
        <f t="shared" si="355"/>
        <v>0</v>
      </c>
      <c r="I964" s="102">
        <f t="shared" si="355"/>
        <v>0</v>
      </c>
      <c r="J964" s="102">
        <f t="shared" si="355"/>
        <v>0</v>
      </c>
      <c r="K964" s="102">
        <f t="shared" si="355"/>
        <v>26903.599999999999</v>
      </c>
      <c r="L964" s="102">
        <f>L966+L968+L970</f>
        <v>158000</v>
      </c>
      <c r="M964" s="102">
        <f>M966+M968+M970</f>
        <v>0</v>
      </c>
      <c r="N964" s="703"/>
      <c r="O964" s="709"/>
    </row>
    <row r="965" spans="1:61" ht="24" customHeight="1">
      <c r="A965" s="1039" t="s">
        <v>158</v>
      </c>
      <c r="B965" s="643" t="s">
        <v>89</v>
      </c>
      <c r="C965" s="643">
        <v>176</v>
      </c>
      <c r="D965" s="643" t="s">
        <v>15</v>
      </c>
      <c r="E965" s="643">
        <v>6100404</v>
      </c>
      <c r="F965" s="643">
        <v>244</v>
      </c>
      <c r="G965" s="103"/>
      <c r="H965" s="103"/>
      <c r="I965" s="103"/>
      <c r="J965" s="103"/>
      <c r="K965" s="103"/>
      <c r="L965" s="103">
        <v>1.1000000000000001</v>
      </c>
      <c r="M965" s="103"/>
      <c r="N965" s="703"/>
      <c r="O965" s="1037" t="s">
        <v>976</v>
      </c>
    </row>
    <row r="966" spans="1:61" s="45" customFormat="1" ht="24" customHeight="1">
      <c r="A966" s="1039"/>
      <c r="B966" s="643" t="s">
        <v>248</v>
      </c>
      <c r="C966" s="643"/>
      <c r="D966" s="643"/>
      <c r="E966" s="643"/>
      <c r="F966" s="643"/>
      <c r="G966" s="103"/>
      <c r="H966" s="103"/>
      <c r="I966" s="103"/>
      <c r="J966" s="103"/>
      <c r="K966" s="103"/>
      <c r="L966" s="103">
        <v>16000</v>
      </c>
      <c r="M966" s="103"/>
      <c r="N966" s="703"/>
      <c r="O966" s="1037"/>
      <c r="AJ966" s="113"/>
      <c r="AK966" s="113"/>
      <c r="AL966" s="113"/>
      <c r="AM966" s="113"/>
      <c r="AN966" s="113"/>
      <c r="AO966" s="113"/>
      <c r="AP966" s="113"/>
      <c r="AQ966" s="113"/>
      <c r="AR966" s="113"/>
      <c r="AS966" s="113"/>
      <c r="AT966" s="113"/>
      <c r="AU966" s="113"/>
      <c r="AV966" s="113"/>
      <c r="AW966" s="113"/>
      <c r="AX966" s="113"/>
      <c r="AY966" s="113"/>
      <c r="AZ966" s="113"/>
      <c r="BA966" s="113"/>
      <c r="BB966" s="113"/>
      <c r="BC966" s="113"/>
      <c r="BD966" s="113"/>
      <c r="BE966" s="113"/>
      <c r="BF966" s="113"/>
      <c r="BG966" s="113"/>
      <c r="BH966" s="113"/>
      <c r="BI966" s="113"/>
    </row>
    <row r="967" spans="1:61" s="45" customFormat="1" ht="24.6" customHeight="1">
      <c r="A967" s="1028" t="s">
        <v>617</v>
      </c>
      <c r="B967" s="643" t="s">
        <v>89</v>
      </c>
      <c r="C967" s="643"/>
      <c r="D967" s="643"/>
      <c r="E967" s="643"/>
      <c r="F967" s="643"/>
      <c r="G967" s="103">
        <f>K967</f>
        <v>2.7</v>
      </c>
      <c r="H967" s="103"/>
      <c r="I967" s="103"/>
      <c r="J967" s="103"/>
      <c r="K967" s="103">
        <f>2.7</f>
        <v>2.7</v>
      </c>
      <c r="L967" s="103">
        <v>5</v>
      </c>
      <c r="M967" s="103"/>
      <c r="N967" s="703"/>
      <c r="O967" s="1037" t="s">
        <v>618</v>
      </c>
      <c r="AJ967" s="113"/>
      <c r="AK967" s="113"/>
      <c r="AL967" s="113"/>
      <c r="AM967" s="113"/>
      <c r="AN967" s="113"/>
      <c r="AO967" s="113"/>
      <c r="AP967" s="113"/>
      <c r="AQ967" s="113"/>
      <c r="AR967" s="113"/>
      <c r="AS967" s="113"/>
      <c r="AT967" s="113"/>
      <c r="AU967" s="113"/>
      <c r="AV967" s="113"/>
      <c r="AW967" s="113"/>
      <c r="AX967" s="113"/>
      <c r="AY967" s="113"/>
      <c r="AZ967" s="113"/>
      <c r="BA967" s="113"/>
      <c r="BB967" s="113"/>
      <c r="BC967" s="113"/>
      <c r="BD967" s="113"/>
      <c r="BE967" s="113"/>
      <c r="BF967" s="113"/>
      <c r="BG967" s="113"/>
      <c r="BH967" s="113"/>
      <c r="BI967" s="113"/>
    </row>
    <row r="968" spans="1:61" ht="24.6" customHeight="1">
      <c r="A968" s="1029"/>
      <c r="B968" s="643" t="s">
        <v>248</v>
      </c>
      <c r="C968" s="643"/>
      <c r="D968" s="643"/>
      <c r="E968" s="643"/>
      <c r="F968" s="643"/>
      <c r="G968" s="103">
        <f>K968</f>
        <v>26903.599999999999</v>
      </c>
      <c r="H968" s="103"/>
      <c r="I968" s="103"/>
      <c r="J968" s="103"/>
      <c r="K968" s="103">
        <v>26903.599999999999</v>
      </c>
      <c r="L968" s="103">
        <v>65000</v>
      </c>
      <c r="M968" s="103"/>
      <c r="N968" s="703"/>
      <c r="O968" s="1037"/>
    </row>
    <row r="969" spans="1:61" ht="24.6" customHeight="1">
      <c r="A969" s="1028" t="s">
        <v>621</v>
      </c>
      <c r="B969" s="643" t="s">
        <v>89</v>
      </c>
      <c r="C969" s="643"/>
      <c r="D969" s="643"/>
      <c r="E969" s="643"/>
      <c r="F969" s="643"/>
      <c r="G969" s="103"/>
      <c r="H969" s="103"/>
      <c r="I969" s="103"/>
      <c r="J969" s="103"/>
      <c r="K969" s="103"/>
      <c r="L969" s="103">
        <v>5.9</v>
      </c>
      <c r="M969" s="103"/>
      <c r="N969" s="703"/>
      <c r="O969" s="1030" t="s">
        <v>977</v>
      </c>
    </row>
    <row r="970" spans="1:61" ht="24.6" customHeight="1">
      <c r="A970" s="1029"/>
      <c r="B970" s="643" t="s">
        <v>248</v>
      </c>
      <c r="C970" s="643"/>
      <c r="D970" s="643"/>
      <c r="E970" s="643"/>
      <c r="F970" s="643"/>
      <c r="G970" s="103"/>
      <c r="H970" s="103"/>
      <c r="I970" s="103"/>
      <c r="J970" s="103"/>
      <c r="K970" s="103"/>
      <c r="L970" s="103">
        <v>77000</v>
      </c>
      <c r="M970" s="103"/>
      <c r="N970" s="703"/>
      <c r="O970" s="1031"/>
    </row>
    <row r="971" spans="1:61" ht="24.6" customHeight="1">
      <c r="A971" s="1038" t="s">
        <v>132</v>
      </c>
      <c r="B971" s="62" t="s">
        <v>89</v>
      </c>
      <c r="C971" s="62"/>
      <c r="D971" s="62"/>
      <c r="E971" s="62"/>
      <c r="F971" s="62"/>
      <c r="G971" s="102">
        <f>G975+G977+G983</f>
        <v>0</v>
      </c>
      <c r="H971" s="102">
        <f t="shared" ref="H971:M971" si="356">H975+H977+H983</f>
        <v>0</v>
      </c>
      <c r="I971" s="102">
        <f t="shared" si="356"/>
        <v>0</v>
      </c>
      <c r="J971" s="102">
        <f t="shared" si="356"/>
        <v>0</v>
      </c>
      <c r="K971" s="102">
        <f t="shared" si="356"/>
        <v>0</v>
      </c>
      <c r="L971" s="102">
        <f>L975+L977+L983+L981</f>
        <v>5.5</v>
      </c>
      <c r="M971" s="102">
        <f t="shared" si="356"/>
        <v>5</v>
      </c>
      <c r="N971" s="703"/>
      <c r="O971" s="709"/>
    </row>
    <row r="972" spans="1:61" ht="24.6" customHeight="1">
      <c r="A972" s="1038"/>
      <c r="B972" s="62" t="s">
        <v>25</v>
      </c>
      <c r="C972" s="62"/>
      <c r="D972" s="62"/>
      <c r="E972" s="62"/>
      <c r="F972" s="62"/>
      <c r="G972" s="102">
        <f>G973+G974</f>
        <v>0</v>
      </c>
      <c r="H972" s="102">
        <f t="shared" ref="H972:M972" si="357">H973+H974</f>
        <v>0</v>
      </c>
      <c r="I972" s="102">
        <f t="shared" si="357"/>
        <v>0</v>
      </c>
      <c r="J972" s="102">
        <f t="shared" si="357"/>
        <v>0</v>
      </c>
      <c r="K972" s="102">
        <f t="shared" si="357"/>
        <v>0</v>
      </c>
      <c r="L972" s="102">
        <f t="shared" si="357"/>
        <v>68657.100000000006</v>
      </c>
      <c r="M972" s="102">
        <f t="shared" si="357"/>
        <v>80000</v>
      </c>
      <c r="N972" s="703"/>
      <c r="O972" s="709"/>
    </row>
    <row r="973" spans="1:61" ht="24.6" customHeight="1">
      <c r="A973" s="1038"/>
      <c r="B973" s="62" t="s">
        <v>10</v>
      </c>
      <c r="C973" s="62"/>
      <c r="D973" s="62"/>
      <c r="E973" s="62"/>
      <c r="F973" s="62"/>
      <c r="G973" s="102">
        <f>G976+G979+G984</f>
        <v>0</v>
      </c>
      <c r="H973" s="102">
        <f t="shared" ref="H973:M973" si="358">H976+H979+H984</f>
        <v>0</v>
      </c>
      <c r="I973" s="102">
        <f t="shared" si="358"/>
        <v>0</v>
      </c>
      <c r="J973" s="102">
        <f t="shared" si="358"/>
        <v>0</v>
      </c>
      <c r="K973" s="102">
        <f t="shared" si="358"/>
        <v>0</v>
      </c>
      <c r="L973" s="102">
        <f>L976+L979+L984+L982</f>
        <v>68657.100000000006</v>
      </c>
      <c r="M973" s="102">
        <f t="shared" si="358"/>
        <v>80000</v>
      </c>
      <c r="N973" s="703"/>
      <c r="O973" s="709"/>
    </row>
    <row r="974" spans="1:61" s="45" customFormat="1" ht="24.6" customHeight="1">
      <c r="A974" s="1038"/>
      <c r="B974" s="62" t="s">
        <v>502</v>
      </c>
      <c r="C974" s="62"/>
      <c r="D974" s="62"/>
      <c r="E974" s="62"/>
      <c r="F974" s="62"/>
      <c r="G974" s="102">
        <f>G980</f>
        <v>0</v>
      </c>
      <c r="H974" s="102">
        <f t="shared" ref="H974:M974" si="359">H980</f>
        <v>0</v>
      </c>
      <c r="I974" s="102">
        <f t="shared" si="359"/>
        <v>0</v>
      </c>
      <c r="J974" s="102">
        <f t="shared" si="359"/>
        <v>0</v>
      </c>
      <c r="K974" s="102">
        <f t="shared" si="359"/>
        <v>0</v>
      </c>
      <c r="L974" s="102">
        <f t="shared" si="359"/>
        <v>0</v>
      </c>
      <c r="M974" s="102">
        <f t="shared" si="359"/>
        <v>0</v>
      </c>
      <c r="N974" s="703"/>
      <c r="O974" s="709"/>
      <c r="AJ974" s="113"/>
      <c r="AK974" s="113"/>
      <c r="AL974" s="113"/>
      <c r="AM974" s="113"/>
      <c r="AN974" s="113"/>
      <c r="AO974" s="113"/>
      <c r="AP974" s="113"/>
      <c r="AQ974" s="113"/>
      <c r="AR974" s="113"/>
      <c r="AS974" s="113"/>
      <c r="AT974" s="113"/>
      <c r="AU974" s="113"/>
      <c r="AV974" s="113"/>
      <c r="AW974" s="113"/>
      <c r="AX974" s="113"/>
      <c r="AY974" s="113"/>
      <c r="AZ974" s="113"/>
      <c r="BA974" s="113"/>
      <c r="BB974" s="113"/>
      <c r="BC974" s="113"/>
      <c r="BD974" s="113"/>
      <c r="BE974" s="113"/>
      <c r="BF974" s="113"/>
      <c r="BG974" s="113"/>
      <c r="BH974" s="113"/>
      <c r="BI974" s="113"/>
    </row>
    <row r="975" spans="1:61" s="45" customFormat="1" ht="24.6" customHeight="1">
      <c r="A975" s="1039" t="s">
        <v>538</v>
      </c>
      <c r="B975" s="643" t="s">
        <v>89</v>
      </c>
      <c r="C975" s="643">
        <v>176</v>
      </c>
      <c r="D975" s="643" t="s">
        <v>15</v>
      </c>
      <c r="E975" s="643">
        <v>6100404</v>
      </c>
      <c r="F975" s="643">
        <v>244</v>
      </c>
      <c r="G975" s="102">
        <f t="shared" ref="G975:G984" si="360">K975</f>
        <v>0</v>
      </c>
      <c r="H975" s="103"/>
      <c r="I975" s="103"/>
      <c r="J975" s="103"/>
      <c r="K975" s="103"/>
      <c r="L975" s="103">
        <v>2</v>
      </c>
      <c r="M975" s="103"/>
      <c r="N975" s="703"/>
      <c r="O975" s="1037" t="s">
        <v>470</v>
      </c>
      <c r="AJ975" s="113"/>
      <c r="AK975" s="113"/>
      <c r="AL975" s="113"/>
      <c r="AM975" s="113"/>
      <c r="AN975" s="113"/>
      <c r="AO975" s="113"/>
      <c r="AP975" s="113"/>
      <c r="AQ975" s="113"/>
      <c r="AR975" s="113"/>
      <c r="AS975" s="113"/>
      <c r="AT975" s="113"/>
      <c r="AU975" s="113"/>
      <c r="AV975" s="113"/>
      <c r="AW975" s="113"/>
      <c r="AX975" s="113"/>
      <c r="AY975" s="113"/>
      <c r="AZ975" s="113"/>
      <c r="BA975" s="113"/>
      <c r="BB975" s="113"/>
      <c r="BC975" s="113"/>
      <c r="BD975" s="113"/>
      <c r="BE975" s="113"/>
      <c r="BF975" s="113"/>
      <c r="BG975" s="113"/>
      <c r="BH975" s="113"/>
      <c r="BI975" s="113"/>
    </row>
    <row r="976" spans="1:61" ht="24.6" customHeight="1">
      <c r="A976" s="1039"/>
      <c r="B976" s="643" t="s">
        <v>248</v>
      </c>
      <c r="C976" s="643"/>
      <c r="D976" s="643"/>
      <c r="E976" s="643"/>
      <c r="F976" s="643"/>
      <c r="G976" s="102">
        <f t="shared" si="360"/>
        <v>0</v>
      </c>
      <c r="H976" s="103"/>
      <c r="I976" s="103"/>
      <c r="J976" s="103"/>
      <c r="K976" s="103"/>
      <c r="L976" s="103">
        <v>26000</v>
      </c>
      <c r="M976" s="103"/>
      <c r="N976" s="703"/>
      <c r="O976" s="1037"/>
    </row>
    <row r="977" spans="1:61" ht="24.6" customHeight="1">
      <c r="A977" s="1028" t="s">
        <v>619</v>
      </c>
      <c r="B977" s="643" t="s">
        <v>89</v>
      </c>
      <c r="C977" s="643"/>
      <c r="D977" s="643"/>
      <c r="E977" s="643"/>
      <c r="F977" s="643"/>
      <c r="G977" s="103">
        <f t="shared" si="360"/>
        <v>0</v>
      </c>
      <c r="H977" s="103"/>
      <c r="I977" s="103"/>
      <c r="J977" s="103"/>
      <c r="K977" s="103"/>
      <c r="L977" s="103">
        <v>1.3</v>
      </c>
      <c r="M977" s="103"/>
      <c r="N977" s="703"/>
      <c r="O977" s="1030" t="s">
        <v>978</v>
      </c>
    </row>
    <row r="978" spans="1:61" ht="24.6" customHeight="1">
      <c r="A978" s="1036"/>
      <c r="B978" s="643" t="s">
        <v>25</v>
      </c>
      <c r="C978" s="643"/>
      <c r="D978" s="643"/>
      <c r="E978" s="643"/>
      <c r="F978" s="643"/>
      <c r="G978" s="103">
        <f t="shared" si="360"/>
        <v>0</v>
      </c>
      <c r="H978" s="103"/>
      <c r="I978" s="103"/>
      <c r="J978" s="103"/>
      <c r="K978" s="103"/>
      <c r="L978" s="103">
        <f t="shared" ref="L978" si="361">L979+L980</f>
        <v>16257.1</v>
      </c>
      <c r="M978" s="103"/>
      <c r="N978" s="703"/>
      <c r="O978" s="1032"/>
    </row>
    <row r="979" spans="1:61" ht="24.6" customHeight="1">
      <c r="A979" s="1036"/>
      <c r="B979" s="643" t="s">
        <v>10</v>
      </c>
      <c r="C979" s="643"/>
      <c r="D979" s="643"/>
      <c r="E979" s="643"/>
      <c r="F979" s="643"/>
      <c r="G979" s="103">
        <f t="shared" si="360"/>
        <v>0</v>
      </c>
      <c r="H979" s="103"/>
      <c r="I979" s="103"/>
      <c r="J979" s="103"/>
      <c r="K979" s="103"/>
      <c r="L979" s="103">
        <v>16257.1</v>
      </c>
      <c r="M979" s="103"/>
      <c r="N979" s="703"/>
      <c r="O979" s="1032"/>
    </row>
    <row r="980" spans="1:61" ht="24.6" customHeight="1">
      <c r="A980" s="1029"/>
      <c r="B980" s="643" t="s">
        <v>502</v>
      </c>
      <c r="C980" s="643"/>
      <c r="D980" s="643"/>
      <c r="E980" s="643"/>
      <c r="F980" s="643"/>
      <c r="G980" s="103">
        <f t="shared" si="360"/>
        <v>0</v>
      </c>
      <c r="H980" s="103"/>
      <c r="I980" s="103"/>
      <c r="J980" s="103"/>
      <c r="K980" s="103"/>
      <c r="L980" s="103"/>
      <c r="M980" s="103"/>
      <c r="N980" s="703"/>
      <c r="O980" s="1031"/>
    </row>
    <row r="981" spans="1:61" ht="24.6" customHeight="1">
      <c r="A981" s="1028" t="s">
        <v>620</v>
      </c>
      <c r="B981" s="760" t="s">
        <v>89</v>
      </c>
      <c r="C981" s="760"/>
      <c r="D981" s="760"/>
      <c r="E981" s="760"/>
      <c r="F981" s="760"/>
      <c r="G981" s="102">
        <f t="shared" ref="G981:G982" si="362">K981</f>
        <v>0</v>
      </c>
      <c r="H981" s="103"/>
      <c r="I981" s="103"/>
      <c r="J981" s="103"/>
      <c r="K981" s="103"/>
      <c r="L981" s="103">
        <v>2.2000000000000002</v>
      </c>
      <c r="M981" s="103"/>
      <c r="N981" s="760"/>
      <c r="O981" s="1030" t="s">
        <v>599</v>
      </c>
    </row>
    <row r="982" spans="1:61" ht="24.6" customHeight="1">
      <c r="A982" s="1029"/>
      <c r="B982" s="760" t="s">
        <v>248</v>
      </c>
      <c r="C982" s="760"/>
      <c r="D982" s="760"/>
      <c r="E982" s="760"/>
      <c r="F982" s="760"/>
      <c r="G982" s="102">
        <f t="shared" si="362"/>
        <v>0</v>
      </c>
      <c r="H982" s="103"/>
      <c r="I982" s="103"/>
      <c r="J982" s="103"/>
      <c r="K982" s="103"/>
      <c r="L982" s="103">
        <v>26400</v>
      </c>
      <c r="M982" s="103"/>
      <c r="N982" s="760"/>
      <c r="O982" s="1031"/>
    </row>
    <row r="983" spans="1:61" ht="24.6" customHeight="1">
      <c r="A983" s="1028" t="s">
        <v>979</v>
      </c>
      <c r="B983" s="643" t="s">
        <v>89</v>
      </c>
      <c r="C983" s="643"/>
      <c r="D983" s="643"/>
      <c r="E983" s="643"/>
      <c r="F983" s="643"/>
      <c r="G983" s="102">
        <f t="shared" si="360"/>
        <v>0</v>
      </c>
      <c r="H983" s="103"/>
      <c r="I983" s="103"/>
      <c r="J983" s="103"/>
      <c r="K983" s="103"/>
      <c r="L983" s="103"/>
      <c r="M983" s="103">
        <v>5</v>
      </c>
      <c r="N983" s="703"/>
      <c r="O983" s="1030" t="s">
        <v>644</v>
      </c>
    </row>
    <row r="984" spans="1:61" ht="24.6" customHeight="1">
      <c r="A984" s="1029"/>
      <c r="B984" s="643" t="s">
        <v>248</v>
      </c>
      <c r="C984" s="643"/>
      <c r="D984" s="643"/>
      <c r="E984" s="643"/>
      <c r="F984" s="643"/>
      <c r="G984" s="102">
        <f t="shared" si="360"/>
        <v>0</v>
      </c>
      <c r="H984" s="103"/>
      <c r="I984" s="103"/>
      <c r="J984" s="103"/>
      <c r="K984" s="103"/>
      <c r="L984" s="103"/>
      <c r="M984" s="103">
        <v>80000</v>
      </c>
      <c r="N984" s="703"/>
      <c r="O984" s="1031"/>
    </row>
    <row r="985" spans="1:61" ht="24.6" customHeight="1">
      <c r="A985" s="1038" t="s">
        <v>161</v>
      </c>
      <c r="B985" s="62" t="s">
        <v>89</v>
      </c>
      <c r="C985" s="62"/>
      <c r="D985" s="62"/>
      <c r="E985" s="62"/>
      <c r="F985" s="62"/>
      <c r="G985" s="102">
        <f>G989+G991+G995+G999+G1001</f>
        <v>8</v>
      </c>
      <c r="H985" s="102">
        <f t="shared" ref="H985:M985" si="363">H989+H991+H995+H999+H1001</f>
        <v>0</v>
      </c>
      <c r="I985" s="102">
        <f t="shared" si="363"/>
        <v>0</v>
      </c>
      <c r="J985" s="102">
        <f t="shared" si="363"/>
        <v>0</v>
      </c>
      <c r="K985" s="102">
        <f t="shared" si="363"/>
        <v>8</v>
      </c>
      <c r="L985" s="102">
        <f t="shared" si="363"/>
        <v>3.2</v>
      </c>
      <c r="M985" s="102">
        <f t="shared" si="363"/>
        <v>4.4000000000000004</v>
      </c>
      <c r="N985" s="703"/>
      <c r="O985" s="709"/>
    </row>
    <row r="986" spans="1:61" ht="24.6" customHeight="1">
      <c r="A986" s="1038"/>
      <c r="B986" s="62" t="s">
        <v>25</v>
      </c>
      <c r="C986" s="62"/>
      <c r="D986" s="62"/>
      <c r="E986" s="62"/>
      <c r="F986" s="62"/>
      <c r="G986" s="102">
        <f>G987+G988</f>
        <v>100538.09999999999</v>
      </c>
      <c r="H986" s="102">
        <f t="shared" ref="H986:M986" si="364">H987+H988</f>
        <v>0</v>
      </c>
      <c r="I986" s="102">
        <f t="shared" si="364"/>
        <v>0</v>
      </c>
      <c r="J986" s="102">
        <f t="shared" si="364"/>
        <v>0</v>
      </c>
      <c r="K986" s="102">
        <f t="shared" si="364"/>
        <v>100538.09999999999</v>
      </c>
      <c r="L986" s="102">
        <f t="shared" si="364"/>
        <v>76193</v>
      </c>
      <c r="M986" s="102">
        <f t="shared" si="364"/>
        <v>63000</v>
      </c>
      <c r="N986" s="703"/>
      <c r="O986" s="709"/>
    </row>
    <row r="987" spans="1:61" ht="24.6" customHeight="1">
      <c r="A987" s="1038"/>
      <c r="B987" s="62" t="s">
        <v>10</v>
      </c>
      <c r="C987" s="62"/>
      <c r="D987" s="62"/>
      <c r="E987" s="62"/>
      <c r="F987" s="62"/>
      <c r="G987" s="102">
        <f>G990+G993+G997+G1000+G1002</f>
        <v>100538.09999999999</v>
      </c>
      <c r="H987" s="102">
        <f t="shared" ref="H987:M987" si="365">H990+H993+H997+H1000+H1002</f>
        <v>0</v>
      </c>
      <c r="I987" s="102">
        <f t="shared" si="365"/>
        <v>0</v>
      </c>
      <c r="J987" s="102">
        <f t="shared" si="365"/>
        <v>0</v>
      </c>
      <c r="K987" s="102">
        <f t="shared" si="365"/>
        <v>100538.09999999999</v>
      </c>
      <c r="L987" s="102">
        <f t="shared" si="365"/>
        <v>76193</v>
      </c>
      <c r="M987" s="102">
        <f t="shared" si="365"/>
        <v>63000</v>
      </c>
      <c r="N987" s="703"/>
      <c r="O987" s="709"/>
    </row>
    <row r="988" spans="1:61" s="45" customFormat="1" ht="24.95" customHeight="1">
      <c r="A988" s="1038"/>
      <c r="B988" s="62" t="s">
        <v>502</v>
      </c>
      <c r="C988" s="62"/>
      <c r="D988" s="62"/>
      <c r="E988" s="62"/>
      <c r="F988" s="62"/>
      <c r="G988" s="102">
        <f>G994+G998</f>
        <v>0</v>
      </c>
      <c r="H988" s="102">
        <f t="shared" ref="H988:M988" si="366">H994+H998</f>
        <v>0</v>
      </c>
      <c r="I988" s="102">
        <f t="shared" si="366"/>
        <v>0</v>
      </c>
      <c r="J988" s="102">
        <f t="shared" si="366"/>
        <v>0</v>
      </c>
      <c r="K988" s="102">
        <f t="shared" si="366"/>
        <v>0</v>
      </c>
      <c r="L988" s="102">
        <f t="shared" si="366"/>
        <v>0</v>
      </c>
      <c r="M988" s="102">
        <f t="shared" si="366"/>
        <v>0</v>
      </c>
      <c r="N988" s="703"/>
      <c r="O988" s="709"/>
      <c r="AJ988" s="113"/>
      <c r="AK988" s="113"/>
      <c r="AL988" s="113"/>
      <c r="AM988" s="113"/>
      <c r="AN988" s="113"/>
      <c r="AO988" s="113"/>
      <c r="AP988" s="113"/>
      <c r="AQ988" s="113"/>
      <c r="AR988" s="113"/>
      <c r="AS988" s="113"/>
      <c r="AT988" s="113"/>
      <c r="AU988" s="113"/>
      <c r="AV988" s="113"/>
      <c r="AW988" s="113"/>
      <c r="AX988" s="113"/>
      <c r="AY988" s="113"/>
      <c r="AZ988" s="113"/>
      <c r="BA988" s="113"/>
      <c r="BB988" s="113"/>
      <c r="BC988" s="113"/>
      <c r="BD988" s="113"/>
      <c r="BE988" s="113"/>
      <c r="BF988" s="113"/>
      <c r="BG988" s="113"/>
      <c r="BH988" s="113"/>
      <c r="BI988" s="113"/>
    </row>
    <row r="989" spans="1:61" s="45" customFormat="1" ht="24.95" customHeight="1">
      <c r="A989" s="1039" t="s">
        <v>160</v>
      </c>
      <c r="B989" s="643" t="s">
        <v>89</v>
      </c>
      <c r="C989" s="643">
        <v>176</v>
      </c>
      <c r="D989" s="643" t="s">
        <v>15</v>
      </c>
      <c r="E989" s="643">
        <v>6100404</v>
      </c>
      <c r="F989" s="643">
        <v>244</v>
      </c>
      <c r="G989" s="103">
        <f>K989</f>
        <v>2</v>
      </c>
      <c r="H989" s="103"/>
      <c r="I989" s="103"/>
      <c r="J989" s="103"/>
      <c r="K989" s="103">
        <v>2</v>
      </c>
      <c r="L989" s="103"/>
      <c r="M989" s="103"/>
      <c r="N989" s="703"/>
      <c r="O989" s="1037" t="s">
        <v>615</v>
      </c>
      <c r="AJ989" s="113"/>
      <c r="AK989" s="113"/>
      <c r="AL989" s="113"/>
      <c r="AM989" s="113"/>
      <c r="AN989" s="113"/>
      <c r="AO989" s="113"/>
      <c r="AP989" s="113"/>
      <c r="AQ989" s="113"/>
      <c r="AR989" s="113"/>
      <c r="AS989" s="113"/>
      <c r="AT989" s="113"/>
      <c r="AU989" s="113"/>
      <c r="AV989" s="113"/>
      <c r="AW989" s="113"/>
      <c r="AX989" s="113"/>
      <c r="AY989" s="113"/>
      <c r="AZ989" s="113"/>
      <c r="BA989" s="113"/>
      <c r="BB989" s="113"/>
      <c r="BC989" s="113"/>
      <c r="BD989" s="113"/>
      <c r="BE989" s="113"/>
      <c r="BF989" s="113"/>
      <c r="BG989" s="113"/>
      <c r="BH989" s="113"/>
      <c r="BI989" s="113"/>
    </row>
    <row r="990" spans="1:61" ht="24.95" customHeight="1">
      <c r="A990" s="1039"/>
      <c r="B990" s="643" t="s">
        <v>248</v>
      </c>
      <c r="C990" s="643"/>
      <c r="D990" s="643"/>
      <c r="E990" s="643"/>
      <c r="F990" s="643"/>
      <c r="G990" s="103">
        <f>K990</f>
        <v>22652.7</v>
      </c>
      <c r="H990" s="103"/>
      <c r="I990" s="103"/>
      <c r="J990" s="103"/>
      <c r="K990" s="103">
        <v>22652.7</v>
      </c>
      <c r="L990" s="103"/>
      <c r="M990" s="103"/>
      <c r="N990" s="703"/>
      <c r="O990" s="1037"/>
    </row>
    <row r="991" spans="1:61" ht="24.95" customHeight="1">
      <c r="A991" s="1028" t="s">
        <v>351</v>
      </c>
      <c r="B991" s="643" t="s">
        <v>89</v>
      </c>
      <c r="C991" s="643"/>
      <c r="D991" s="643"/>
      <c r="E991" s="643"/>
      <c r="F991" s="643"/>
      <c r="G991" s="103">
        <f>K991</f>
        <v>4</v>
      </c>
      <c r="H991" s="103"/>
      <c r="I991" s="103"/>
      <c r="J991" s="103"/>
      <c r="K991" s="103">
        <v>4</v>
      </c>
      <c r="L991" s="103">
        <v>1.7</v>
      </c>
      <c r="M991" s="103"/>
      <c r="N991" s="703"/>
      <c r="O991" s="1037" t="s">
        <v>539</v>
      </c>
    </row>
    <row r="992" spans="1:61" ht="24.95" customHeight="1">
      <c r="A992" s="1036"/>
      <c r="B992" s="643" t="s">
        <v>25</v>
      </c>
      <c r="C992" s="643"/>
      <c r="D992" s="643"/>
      <c r="E992" s="643"/>
      <c r="F992" s="643"/>
      <c r="G992" s="103">
        <f t="shared" ref="G992:G994" si="367">K992</f>
        <v>66385.399999999994</v>
      </c>
      <c r="H992" s="103"/>
      <c r="I992" s="103"/>
      <c r="J992" s="103"/>
      <c r="K992" s="103">
        <f>K993+K994</f>
        <v>66385.399999999994</v>
      </c>
      <c r="L992" s="103">
        <f t="shared" ref="L992:M992" si="368">L993+L994</f>
        <v>58193</v>
      </c>
      <c r="M992" s="103">
        <f t="shared" si="368"/>
        <v>0</v>
      </c>
      <c r="N992" s="703"/>
      <c r="O992" s="1037"/>
    </row>
    <row r="993" spans="1:15" ht="24.95" hidden="1" customHeight="1">
      <c r="A993" s="1036"/>
      <c r="B993" s="643" t="s">
        <v>10</v>
      </c>
      <c r="C993" s="643"/>
      <c r="D993" s="643"/>
      <c r="E993" s="643"/>
      <c r="F993" s="643"/>
      <c r="G993" s="103">
        <f t="shared" si="367"/>
        <v>66385.399999999994</v>
      </c>
      <c r="H993" s="103"/>
      <c r="I993" s="103"/>
      <c r="J993" s="103"/>
      <c r="K993" s="103">
        <v>66385.399999999994</v>
      </c>
      <c r="L993" s="103">
        <v>58193</v>
      </c>
      <c r="M993" s="103"/>
      <c r="N993" s="703"/>
      <c r="O993" s="1037"/>
    </row>
    <row r="994" spans="1:15" ht="24.95" customHeight="1">
      <c r="A994" s="1029"/>
      <c r="B994" s="643" t="s">
        <v>502</v>
      </c>
      <c r="C994" s="643"/>
      <c r="D994" s="643"/>
      <c r="E994" s="643"/>
      <c r="F994" s="643"/>
      <c r="G994" s="103">
        <f t="shared" si="367"/>
        <v>0</v>
      </c>
      <c r="H994" s="103"/>
      <c r="I994" s="103"/>
      <c r="J994" s="103"/>
      <c r="K994" s="103"/>
      <c r="L994" s="103"/>
      <c r="M994" s="103"/>
      <c r="N994" s="703"/>
      <c r="O994" s="1037"/>
    </row>
    <row r="995" spans="1:15" ht="24.95" customHeight="1">
      <c r="A995" s="1028" t="s">
        <v>830</v>
      </c>
      <c r="B995" s="643" t="s">
        <v>89</v>
      </c>
      <c r="C995" s="643"/>
      <c r="D995" s="643"/>
      <c r="E995" s="643"/>
      <c r="F995" s="643"/>
      <c r="G995" s="103">
        <f>K995</f>
        <v>2</v>
      </c>
      <c r="H995" s="103"/>
      <c r="I995" s="103"/>
      <c r="J995" s="103"/>
      <c r="K995" s="103">
        <v>2</v>
      </c>
      <c r="L995" s="103"/>
      <c r="M995" s="103">
        <v>2</v>
      </c>
      <c r="N995" s="703"/>
      <c r="O995" s="1030" t="s">
        <v>570</v>
      </c>
    </row>
    <row r="996" spans="1:15" ht="24.95" customHeight="1">
      <c r="A996" s="1036"/>
      <c r="B996" s="643" t="s">
        <v>25</v>
      </c>
      <c r="C996" s="643"/>
      <c r="D996" s="643"/>
      <c r="E996" s="643"/>
      <c r="F996" s="643"/>
      <c r="G996" s="103">
        <f t="shared" ref="G996:G998" si="369">K996</f>
        <v>11500</v>
      </c>
      <c r="H996" s="103"/>
      <c r="I996" s="103"/>
      <c r="J996" s="103"/>
      <c r="K996" s="103">
        <f>K997+K998</f>
        <v>11500</v>
      </c>
      <c r="L996" s="103">
        <f>L997+L998</f>
        <v>0</v>
      </c>
      <c r="M996" s="103">
        <f>M997</f>
        <v>28000</v>
      </c>
      <c r="N996" s="703"/>
      <c r="O996" s="1032"/>
    </row>
    <row r="997" spans="1:15" ht="24.95" customHeight="1">
      <c r="A997" s="1036"/>
      <c r="B997" s="643" t="s">
        <v>10</v>
      </c>
      <c r="C997" s="643"/>
      <c r="D997" s="643"/>
      <c r="E997" s="643"/>
      <c r="F997" s="643"/>
      <c r="G997" s="103">
        <f t="shared" si="369"/>
        <v>11500</v>
      </c>
      <c r="H997" s="103"/>
      <c r="I997" s="103"/>
      <c r="J997" s="103"/>
      <c r="K997" s="103">
        <v>11500</v>
      </c>
      <c r="L997" s="103"/>
      <c r="M997" s="103">
        <v>28000</v>
      </c>
      <c r="N997" s="703"/>
      <c r="O997" s="1032"/>
    </row>
    <row r="998" spans="1:15" ht="24.95" hidden="1" customHeight="1">
      <c r="A998" s="1029"/>
      <c r="B998" s="643" t="s">
        <v>502</v>
      </c>
      <c r="C998" s="643"/>
      <c r="D998" s="643"/>
      <c r="E998" s="643"/>
      <c r="F998" s="643"/>
      <c r="G998" s="103">
        <f t="shared" si="369"/>
        <v>0</v>
      </c>
      <c r="H998" s="103"/>
      <c r="I998" s="103"/>
      <c r="J998" s="103"/>
      <c r="K998" s="103"/>
      <c r="L998" s="103"/>
      <c r="M998" s="103"/>
      <c r="N998" s="703"/>
      <c r="O998" s="1031"/>
    </row>
    <row r="999" spans="1:15" ht="24.95" hidden="1" customHeight="1">
      <c r="A999" s="1028" t="s">
        <v>623</v>
      </c>
      <c r="B999" s="643" t="s">
        <v>89</v>
      </c>
      <c r="C999" s="643"/>
      <c r="D999" s="643"/>
      <c r="E999" s="643"/>
      <c r="F999" s="643"/>
      <c r="G999" s="103"/>
      <c r="H999" s="103"/>
      <c r="I999" s="103"/>
      <c r="J999" s="103"/>
      <c r="K999" s="103"/>
      <c r="L999" s="103"/>
      <c r="M999" s="103"/>
      <c r="N999" s="703"/>
      <c r="O999" s="1030" t="s">
        <v>615</v>
      </c>
    </row>
    <row r="1000" spans="1:15" ht="24.95" hidden="1" customHeight="1">
      <c r="A1000" s="1029"/>
      <c r="B1000" s="643" t="s">
        <v>248</v>
      </c>
      <c r="C1000" s="643"/>
      <c r="D1000" s="643"/>
      <c r="E1000" s="643"/>
      <c r="F1000" s="643"/>
      <c r="G1000" s="103"/>
      <c r="H1000" s="103"/>
      <c r="I1000" s="103"/>
      <c r="J1000" s="103"/>
      <c r="K1000" s="103"/>
      <c r="L1000" s="103"/>
      <c r="M1000" s="103"/>
      <c r="N1000" s="703"/>
      <c r="O1000" s="1031"/>
    </row>
    <row r="1001" spans="1:15" ht="24.95" customHeight="1">
      <c r="A1001" s="1028" t="s">
        <v>624</v>
      </c>
      <c r="B1001" s="643" t="s">
        <v>89</v>
      </c>
      <c r="C1001" s="643"/>
      <c r="D1001" s="643"/>
      <c r="E1001" s="643"/>
      <c r="F1001" s="643"/>
      <c r="G1001" s="103"/>
      <c r="H1001" s="103"/>
      <c r="I1001" s="103"/>
      <c r="J1001" s="103"/>
      <c r="K1001" s="103"/>
      <c r="L1001" s="103">
        <v>1.5</v>
      </c>
      <c r="M1001" s="103">
        <v>2.4</v>
      </c>
      <c r="N1001" s="703"/>
      <c r="O1001" s="1030" t="s">
        <v>980</v>
      </c>
    </row>
    <row r="1002" spans="1:15" ht="24.95" customHeight="1">
      <c r="A1002" s="1029"/>
      <c r="B1002" s="643" t="s">
        <v>248</v>
      </c>
      <c r="C1002" s="643"/>
      <c r="D1002" s="643"/>
      <c r="E1002" s="643"/>
      <c r="F1002" s="643"/>
      <c r="G1002" s="103"/>
      <c r="H1002" s="103"/>
      <c r="I1002" s="103"/>
      <c r="J1002" s="103"/>
      <c r="K1002" s="103"/>
      <c r="L1002" s="103">
        <v>18000</v>
      </c>
      <c r="M1002" s="103">
        <v>35000</v>
      </c>
      <c r="N1002" s="703"/>
      <c r="O1002" s="1031"/>
    </row>
    <row r="1003" spans="1:15" ht="24.95" customHeight="1">
      <c r="A1003" s="1038" t="s">
        <v>103</v>
      </c>
      <c r="B1003" s="62" t="s">
        <v>89</v>
      </c>
      <c r="C1003" s="62"/>
      <c r="D1003" s="62"/>
      <c r="E1003" s="62"/>
      <c r="F1003" s="62"/>
      <c r="G1003" s="102">
        <f>G1007+G1011+G1015+G1023+G1027+G1031+G1035+G1039+G1019</f>
        <v>11.1</v>
      </c>
      <c r="H1003" s="102">
        <f t="shared" ref="H1003:M1003" si="370">H1007+H1011+H1015+H1023+H1027+H1031+H1035+H1039+H1019</f>
        <v>0</v>
      </c>
      <c r="I1003" s="102">
        <f t="shared" si="370"/>
        <v>0</v>
      </c>
      <c r="J1003" s="102">
        <f t="shared" si="370"/>
        <v>0</v>
      </c>
      <c r="K1003" s="102">
        <f t="shared" si="370"/>
        <v>11.1</v>
      </c>
      <c r="L1003" s="102">
        <f t="shared" si="370"/>
        <v>11.4</v>
      </c>
      <c r="M1003" s="102">
        <f t="shared" si="370"/>
        <v>0</v>
      </c>
      <c r="N1003" s="703"/>
      <c r="O1003" s="709"/>
    </row>
    <row r="1004" spans="1:15" ht="24.95" customHeight="1">
      <c r="A1004" s="1038"/>
      <c r="B1004" s="62" t="s">
        <v>25</v>
      </c>
      <c r="C1004" s="62"/>
      <c r="D1004" s="62"/>
      <c r="E1004" s="62"/>
      <c r="F1004" s="62"/>
      <c r="G1004" s="102">
        <f>G1005+G1006</f>
        <v>236483.20000000001</v>
      </c>
      <c r="H1004" s="102">
        <f t="shared" ref="H1004:K1004" si="371">H1005+H1006</f>
        <v>0</v>
      </c>
      <c r="I1004" s="102">
        <f t="shared" si="371"/>
        <v>0</v>
      </c>
      <c r="J1004" s="102">
        <f t="shared" si="371"/>
        <v>0</v>
      </c>
      <c r="K1004" s="102">
        <f t="shared" si="371"/>
        <v>236483.20000000001</v>
      </c>
      <c r="L1004" s="102">
        <f t="shared" ref="L1004:M1004" si="372">L1005+L1006</f>
        <v>143272</v>
      </c>
      <c r="M1004" s="102">
        <f t="shared" si="372"/>
        <v>0</v>
      </c>
      <c r="N1004" s="703"/>
      <c r="O1004" s="709"/>
    </row>
    <row r="1005" spans="1:15" ht="24.95" customHeight="1">
      <c r="A1005" s="1038"/>
      <c r="B1005" s="62" t="s">
        <v>10</v>
      </c>
      <c r="C1005" s="62"/>
      <c r="D1005" s="62"/>
      <c r="E1005" s="62"/>
      <c r="F1005" s="62"/>
      <c r="G1005" s="102">
        <f>G1009+G1013+G1017+G1021+G1025+G1029+G1033+G1037+G1041</f>
        <v>104975.6</v>
      </c>
      <c r="H1005" s="102">
        <f t="shared" ref="H1005:M1005" si="373">H1009+H1013+H1017+H1021+H1025+H1029+H1033+H1037+H1041</f>
        <v>0</v>
      </c>
      <c r="I1005" s="102">
        <f t="shared" si="373"/>
        <v>0</v>
      </c>
      <c r="J1005" s="102">
        <f t="shared" si="373"/>
        <v>0</v>
      </c>
      <c r="K1005" s="102">
        <f t="shared" si="373"/>
        <v>104975.6</v>
      </c>
      <c r="L1005" s="102">
        <f t="shared" si="373"/>
        <v>113272</v>
      </c>
      <c r="M1005" s="102">
        <f t="shared" si="373"/>
        <v>0</v>
      </c>
      <c r="N1005" s="703"/>
      <c r="O1005" s="709"/>
    </row>
    <row r="1006" spans="1:15" ht="24.95" customHeight="1">
      <c r="A1006" s="1038"/>
      <c r="B1006" s="62" t="s">
        <v>502</v>
      </c>
      <c r="C1006" s="62"/>
      <c r="D1006" s="62"/>
      <c r="E1006" s="62"/>
      <c r="F1006" s="62"/>
      <c r="G1006" s="102">
        <f>G1010+G1014+G1018+G1022+G1026+G1030+G1034+G1038+G1042</f>
        <v>131507.6</v>
      </c>
      <c r="H1006" s="102">
        <f t="shared" ref="H1006:M1006" si="374">H1010+H1014+H1018+H1022+H1026+H1030+H1034+H1038+H1042</f>
        <v>0</v>
      </c>
      <c r="I1006" s="102">
        <f t="shared" si="374"/>
        <v>0</v>
      </c>
      <c r="J1006" s="102">
        <f t="shared" si="374"/>
        <v>0</v>
      </c>
      <c r="K1006" s="102">
        <f t="shared" si="374"/>
        <v>131507.6</v>
      </c>
      <c r="L1006" s="102">
        <f t="shared" si="374"/>
        <v>30000</v>
      </c>
      <c r="M1006" s="102">
        <f t="shared" si="374"/>
        <v>0</v>
      </c>
      <c r="N1006" s="703"/>
      <c r="O1006" s="709"/>
    </row>
    <row r="1007" spans="1:15" ht="24.95" hidden="1" customHeight="1">
      <c r="A1007" s="1039" t="s">
        <v>786</v>
      </c>
      <c r="B1007" s="643" t="s">
        <v>89</v>
      </c>
      <c r="C1007" s="643">
        <v>176</v>
      </c>
      <c r="D1007" s="643" t="s">
        <v>15</v>
      </c>
      <c r="E1007" s="643">
        <v>6100404</v>
      </c>
      <c r="F1007" s="643">
        <v>244</v>
      </c>
      <c r="G1007" s="103">
        <f>K1007</f>
        <v>0</v>
      </c>
      <c r="H1007" s="103"/>
      <c r="I1007" s="103"/>
      <c r="J1007" s="103"/>
      <c r="K1007" s="103"/>
      <c r="L1007" s="103"/>
      <c r="M1007" s="103"/>
      <c r="N1007" s="703"/>
      <c r="O1007" s="1037" t="s">
        <v>785</v>
      </c>
    </row>
    <row r="1008" spans="1:15" ht="24.95" hidden="1" customHeight="1">
      <c r="A1008" s="1039"/>
      <c r="B1008" s="643" t="s">
        <v>336</v>
      </c>
      <c r="C1008" s="643"/>
      <c r="D1008" s="643"/>
      <c r="E1008" s="643"/>
      <c r="F1008" s="643"/>
      <c r="G1008" s="114">
        <f>G1009+G1010</f>
        <v>0</v>
      </c>
      <c r="H1008" s="114"/>
      <c r="I1008" s="114"/>
      <c r="J1008" s="114">
        <f>J1009</f>
        <v>0</v>
      </c>
      <c r="K1008" s="114">
        <f>K1009</f>
        <v>0</v>
      </c>
      <c r="L1008" s="114">
        <f t="shared" ref="L1008:M1008" si="375">L1009+L1010</f>
        <v>0</v>
      </c>
      <c r="M1008" s="114">
        <f t="shared" si="375"/>
        <v>0</v>
      </c>
      <c r="N1008" s="703"/>
      <c r="O1008" s="1037"/>
    </row>
    <row r="1009" spans="1:15" ht="24.95" hidden="1" customHeight="1">
      <c r="A1009" s="1039"/>
      <c r="B1009" s="643" t="s">
        <v>333</v>
      </c>
      <c r="C1009" s="643"/>
      <c r="D1009" s="643"/>
      <c r="E1009" s="643"/>
      <c r="F1009" s="643"/>
      <c r="G1009" s="114">
        <f>K1009</f>
        <v>0</v>
      </c>
      <c r="H1009" s="114"/>
      <c r="I1009" s="114"/>
      <c r="J1009" s="114"/>
      <c r="K1009" s="114"/>
      <c r="L1009" s="114"/>
      <c r="M1009" s="103"/>
      <c r="N1009" s="703"/>
      <c r="O1009" s="1037"/>
    </row>
    <row r="1010" spans="1:15" ht="24.6" hidden="1" customHeight="1">
      <c r="A1010" s="1039"/>
      <c r="B1010" s="643" t="s">
        <v>789</v>
      </c>
      <c r="C1010" s="643"/>
      <c r="D1010" s="643"/>
      <c r="E1010" s="643"/>
      <c r="F1010" s="643"/>
      <c r="G1010" s="103"/>
      <c r="H1010" s="103"/>
      <c r="I1010" s="103"/>
      <c r="J1010" s="103"/>
      <c r="K1010" s="103"/>
      <c r="L1010" s="103"/>
      <c r="M1010" s="103"/>
      <c r="N1010" s="703"/>
      <c r="O1010" s="1037"/>
    </row>
    <row r="1011" spans="1:15" ht="24.95" customHeight="1">
      <c r="A1011" s="1028" t="s">
        <v>94</v>
      </c>
      <c r="B1011" s="643" t="s">
        <v>89</v>
      </c>
      <c r="C1011" s="643">
        <v>176</v>
      </c>
      <c r="D1011" s="643" t="s">
        <v>15</v>
      </c>
      <c r="E1011" s="643">
        <v>6100404</v>
      </c>
      <c r="F1011" s="643">
        <v>244</v>
      </c>
      <c r="G1011" s="103">
        <f>K1011</f>
        <v>1.1000000000000001</v>
      </c>
      <c r="H1011" s="103"/>
      <c r="I1011" s="103"/>
      <c r="J1011" s="103"/>
      <c r="K1011" s="103">
        <v>1.1000000000000001</v>
      </c>
      <c r="L1011" s="103"/>
      <c r="M1011" s="103"/>
      <c r="N1011" s="703"/>
      <c r="O1011" s="1037" t="s">
        <v>976</v>
      </c>
    </row>
    <row r="1012" spans="1:15" ht="24.95" customHeight="1">
      <c r="A1012" s="1036"/>
      <c r="B1012" s="643" t="s">
        <v>25</v>
      </c>
      <c r="C1012" s="643"/>
      <c r="D1012" s="643"/>
      <c r="E1012" s="643"/>
      <c r="F1012" s="643"/>
      <c r="G1012" s="103">
        <f>G1013+G1014</f>
        <v>15614.6</v>
      </c>
      <c r="H1012" s="103">
        <f t="shared" ref="H1012:K1012" si="376">H1013+H1014</f>
        <v>0</v>
      </c>
      <c r="I1012" s="103">
        <f t="shared" si="376"/>
        <v>0</v>
      </c>
      <c r="J1012" s="103">
        <f t="shared" si="376"/>
        <v>0</v>
      </c>
      <c r="K1012" s="103">
        <f t="shared" si="376"/>
        <v>15614.6</v>
      </c>
      <c r="L1012" s="103">
        <f t="shared" ref="L1012:M1012" si="377">L1013+L1014</f>
        <v>0</v>
      </c>
      <c r="M1012" s="103">
        <f t="shared" si="377"/>
        <v>0</v>
      </c>
      <c r="N1012" s="703"/>
      <c r="O1012" s="1037"/>
    </row>
    <row r="1013" spans="1:15" ht="24.95" customHeight="1">
      <c r="A1013" s="1036"/>
      <c r="B1013" s="643" t="s">
        <v>10</v>
      </c>
      <c r="C1013" s="643"/>
      <c r="D1013" s="643"/>
      <c r="E1013" s="643"/>
      <c r="F1013" s="643"/>
      <c r="G1013" s="103">
        <f>K1013</f>
        <v>15614.6</v>
      </c>
      <c r="H1013" s="103"/>
      <c r="I1013" s="103"/>
      <c r="J1013" s="103"/>
      <c r="K1013" s="103">
        <v>15614.6</v>
      </c>
      <c r="L1013" s="103"/>
      <c r="M1013" s="103"/>
      <c r="N1013" s="703"/>
      <c r="O1013" s="1037"/>
    </row>
    <row r="1014" spans="1:15" ht="24.95" customHeight="1">
      <c r="A1014" s="1029"/>
      <c r="B1014" s="643" t="s">
        <v>502</v>
      </c>
      <c r="C1014" s="643"/>
      <c r="D1014" s="643"/>
      <c r="E1014" s="643"/>
      <c r="F1014" s="643"/>
      <c r="G1014" s="103">
        <f>K1014</f>
        <v>0</v>
      </c>
      <c r="H1014" s="103"/>
      <c r="I1014" s="103"/>
      <c r="J1014" s="103"/>
      <c r="K1014" s="103"/>
      <c r="L1014" s="103"/>
      <c r="M1014" s="103"/>
      <c r="N1014" s="703"/>
      <c r="O1014" s="1037"/>
    </row>
    <row r="1015" spans="1:15" ht="24.95" customHeight="1">
      <c r="A1015" s="1028" t="s">
        <v>627</v>
      </c>
      <c r="B1015" s="643" t="s">
        <v>89</v>
      </c>
      <c r="C1015" s="643"/>
      <c r="D1015" s="643"/>
      <c r="E1015" s="643"/>
      <c r="F1015" s="643"/>
      <c r="G1015" s="103"/>
      <c r="H1015" s="103"/>
      <c r="I1015" s="103"/>
      <c r="J1015" s="103"/>
      <c r="K1015" s="103"/>
      <c r="L1015" s="103">
        <v>1.9</v>
      </c>
      <c r="M1015" s="103"/>
      <c r="N1015" s="703"/>
      <c r="O1015" s="1037" t="s">
        <v>544</v>
      </c>
    </row>
    <row r="1016" spans="1:15" ht="24.95" customHeight="1">
      <c r="A1016" s="1036"/>
      <c r="B1016" s="643" t="s">
        <v>25</v>
      </c>
      <c r="C1016" s="643"/>
      <c r="D1016" s="643"/>
      <c r="E1016" s="643"/>
      <c r="F1016" s="643"/>
      <c r="G1016" s="103">
        <f>G1017+G1018</f>
        <v>0</v>
      </c>
      <c r="H1016" s="103">
        <f t="shared" ref="H1016:K1016" si="378">H1017+H1018</f>
        <v>0</v>
      </c>
      <c r="I1016" s="103">
        <f t="shared" si="378"/>
        <v>0</v>
      </c>
      <c r="J1016" s="103">
        <f t="shared" si="378"/>
        <v>0</v>
      </c>
      <c r="K1016" s="103">
        <f t="shared" si="378"/>
        <v>0</v>
      </c>
      <c r="L1016" s="103">
        <f>L1017+L1018</f>
        <v>22272</v>
      </c>
      <c r="M1016" s="103">
        <f>M1017+M1018</f>
        <v>0</v>
      </c>
      <c r="N1016" s="703"/>
      <c r="O1016" s="1037"/>
    </row>
    <row r="1017" spans="1:15" ht="24.95" customHeight="1">
      <c r="A1017" s="1036"/>
      <c r="B1017" s="643" t="s">
        <v>10</v>
      </c>
      <c r="C1017" s="643"/>
      <c r="D1017" s="643"/>
      <c r="E1017" s="643"/>
      <c r="F1017" s="643"/>
      <c r="G1017" s="103">
        <f>J1017</f>
        <v>0</v>
      </c>
      <c r="H1017" s="103"/>
      <c r="I1017" s="103"/>
      <c r="J1017" s="103"/>
      <c r="K1017" s="103"/>
      <c r="L1017" s="103">
        <v>22272</v>
      </c>
      <c r="M1017" s="103"/>
      <c r="N1017" s="703"/>
      <c r="O1017" s="1037"/>
    </row>
    <row r="1018" spans="1:15" ht="24.95" customHeight="1">
      <c r="A1018" s="1029"/>
      <c r="B1018" s="643" t="s">
        <v>502</v>
      </c>
      <c r="C1018" s="643"/>
      <c r="D1018" s="643"/>
      <c r="E1018" s="643"/>
      <c r="F1018" s="643"/>
      <c r="G1018" s="103"/>
      <c r="H1018" s="103"/>
      <c r="I1018" s="103"/>
      <c r="J1018" s="103"/>
      <c r="K1018" s="103"/>
      <c r="L1018" s="103"/>
      <c r="M1018" s="103"/>
      <c r="N1018" s="703"/>
      <c r="O1018" s="1037"/>
    </row>
    <row r="1019" spans="1:15" ht="24.95" hidden="1" customHeight="1">
      <c r="A1019" s="1039" t="s">
        <v>643</v>
      </c>
      <c r="B1019" s="643" t="s">
        <v>89</v>
      </c>
      <c r="C1019" s="643">
        <v>176</v>
      </c>
      <c r="D1019" s="643" t="s">
        <v>15</v>
      </c>
      <c r="E1019" s="643">
        <v>6100404</v>
      </c>
      <c r="F1019" s="643">
        <v>244</v>
      </c>
      <c r="G1019" s="103">
        <f>K1019</f>
        <v>0</v>
      </c>
      <c r="H1019" s="103"/>
      <c r="I1019" s="103"/>
      <c r="J1019" s="103"/>
      <c r="K1019" s="103"/>
      <c r="L1019" s="103"/>
      <c r="M1019" s="103"/>
      <c r="N1019" s="703"/>
      <c r="O1019" s="1037" t="s">
        <v>788</v>
      </c>
    </row>
    <row r="1020" spans="1:15" ht="24.95" hidden="1" customHeight="1">
      <c r="A1020" s="1039"/>
      <c r="B1020" s="643" t="s">
        <v>336</v>
      </c>
      <c r="C1020" s="643"/>
      <c r="D1020" s="643"/>
      <c r="E1020" s="643"/>
      <c r="F1020" s="643"/>
      <c r="G1020" s="103">
        <f>G1021+G1022</f>
        <v>0</v>
      </c>
      <c r="H1020" s="103"/>
      <c r="I1020" s="103"/>
      <c r="J1020" s="103"/>
      <c r="K1020" s="103">
        <f>K1021</f>
        <v>0</v>
      </c>
      <c r="L1020" s="103"/>
      <c r="M1020" s="103"/>
      <c r="N1020" s="703"/>
      <c r="O1020" s="1037"/>
    </row>
    <row r="1021" spans="1:15" ht="24.95" hidden="1" customHeight="1">
      <c r="A1021" s="1039"/>
      <c r="B1021" s="643" t="s">
        <v>333</v>
      </c>
      <c r="C1021" s="643"/>
      <c r="D1021" s="643"/>
      <c r="E1021" s="643"/>
      <c r="F1021" s="643"/>
      <c r="G1021" s="103">
        <f>K1021</f>
        <v>0</v>
      </c>
      <c r="H1021" s="103"/>
      <c r="I1021" s="103"/>
      <c r="J1021" s="103"/>
      <c r="K1021" s="103"/>
      <c r="L1021" s="103"/>
      <c r="M1021" s="103"/>
      <c r="N1021" s="703"/>
      <c r="O1021" s="1037"/>
    </row>
    <row r="1022" spans="1:15" ht="30.6" hidden="1" customHeight="1">
      <c r="A1022" s="1039"/>
      <c r="B1022" s="643" t="s">
        <v>789</v>
      </c>
      <c r="C1022" s="643"/>
      <c r="D1022" s="643"/>
      <c r="E1022" s="643"/>
      <c r="F1022" s="643"/>
      <c r="G1022" s="103">
        <f>J1022</f>
        <v>0</v>
      </c>
      <c r="H1022" s="103"/>
      <c r="I1022" s="103"/>
      <c r="J1022" s="103"/>
      <c r="K1022" s="103"/>
      <c r="L1022" s="103"/>
      <c r="M1022" s="103"/>
      <c r="N1022" s="703"/>
      <c r="O1022" s="1037"/>
    </row>
    <row r="1023" spans="1:15" ht="18.75" hidden="1" customHeight="1">
      <c r="A1023" s="1039" t="s">
        <v>509</v>
      </c>
      <c r="B1023" s="643" t="s">
        <v>89</v>
      </c>
      <c r="C1023" s="643">
        <v>176</v>
      </c>
      <c r="D1023" s="643" t="s">
        <v>15</v>
      </c>
      <c r="E1023" s="643">
        <v>6100404</v>
      </c>
      <c r="F1023" s="643">
        <v>244</v>
      </c>
      <c r="G1023" s="103">
        <f>H1023</f>
        <v>0</v>
      </c>
      <c r="H1023" s="103"/>
      <c r="I1023" s="103"/>
      <c r="J1023" s="103"/>
      <c r="K1023" s="103"/>
      <c r="L1023" s="103"/>
      <c r="M1023" s="103"/>
      <c r="N1023" s="703"/>
      <c r="O1023" s="1037" t="s">
        <v>791</v>
      </c>
    </row>
    <row r="1024" spans="1:15" ht="24" hidden="1" customHeight="1">
      <c r="A1024" s="1039"/>
      <c r="B1024" s="643" t="s">
        <v>336</v>
      </c>
      <c r="C1024" s="643"/>
      <c r="D1024" s="643"/>
      <c r="E1024" s="643"/>
      <c r="F1024" s="643"/>
      <c r="G1024" s="103">
        <f>H1024</f>
        <v>0</v>
      </c>
      <c r="H1024" s="103">
        <f t="shared" ref="H1024:K1024" si="379">H1025+H1026</f>
        <v>0</v>
      </c>
      <c r="I1024" s="103">
        <f t="shared" si="379"/>
        <v>0</v>
      </c>
      <c r="J1024" s="103">
        <f t="shared" si="379"/>
        <v>0</v>
      </c>
      <c r="K1024" s="103">
        <f t="shared" si="379"/>
        <v>0</v>
      </c>
      <c r="L1024" s="103">
        <f t="shared" ref="L1024:M1024" si="380">L1025+L1026</f>
        <v>0</v>
      </c>
      <c r="M1024" s="103">
        <f t="shared" si="380"/>
        <v>0</v>
      </c>
      <c r="N1024" s="703"/>
      <c r="O1024" s="1037"/>
    </row>
    <row r="1025" spans="1:61" ht="19.5" hidden="1" customHeight="1">
      <c r="A1025" s="1039"/>
      <c r="B1025" s="643" t="s">
        <v>333</v>
      </c>
      <c r="C1025" s="643"/>
      <c r="D1025" s="643"/>
      <c r="E1025" s="643"/>
      <c r="F1025" s="643"/>
      <c r="G1025" s="103">
        <f>H1025</f>
        <v>0</v>
      </c>
      <c r="H1025" s="103"/>
      <c r="I1025" s="103"/>
      <c r="J1025" s="103"/>
      <c r="K1025" s="103"/>
      <c r="L1025" s="103"/>
      <c r="M1025" s="103"/>
      <c r="N1025" s="703"/>
      <c r="O1025" s="1037"/>
    </row>
    <row r="1026" spans="1:61" ht="24" hidden="1" customHeight="1">
      <c r="A1026" s="1039"/>
      <c r="B1026" s="643" t="s">
        <v>334</v>
      </c>
      <c r="C1026" s="643"/>
      <c r="D1026" s="643"/>
      <c r="E1026" s="643"/>
      <c r="F1026" s="643"/>
      <c r="G1026" s="103"/>
      <c r="H1026" s="103"/>
      <c r="I1026" s="103"/>
      <c r="J1026" s="103"/>
      <c r="K1026" s="103"/>
      <c r="L1026" s="103"/>
      <c r="M1026" s="103"/>
      <c r="N1026" s="703"/>
      <c r="O1026" s="1037"/>
    </row>
    <row r="1027" spans="1:61" ht="19.5" customHeight="1">
      <c r="A1027" s="1039" t="s">
        <v>154</v>
      </c>
      <c r="B1027" s="643" t="s">
        <v>89</v>
      </c>
      <c r="C1027" s="643"/>
      <c r="D1027" s="643"/>
      <c r="E1027" s="643"/>
      <c r="F1027" s="643"/>
      <c r="G1027" s="103">
        <f>K1027</f>
        <v>10</v>
      </c>
      <c r="H1027" s="103"/>
      <c r="I1027" s="103"/>
      <c r="J1027" s="103"/>
      <c r="K1027" s="103">
        <v>10</v>
      </c>
      <c r="L1027" s="103">
        <v>9.5</v>
      </c>
      <c r="M1027" s="103">
        <v>0</v>
      </c>
      <c r="N1027" s="703"/>
      <c r="O1027" s="1037" t="s">
        <v>981</v>
      </c>
    </row>
    <row r="1028" spans="1:61" ht="25.5" customHeight="1">
      <c r="A1028" s="1039"/>
      <c r="B1028" s="643" t="s">
        <v>25</v>
      </c>
      <c r="C1028" s="643"/>
      <c r="D1028" s="643"/>
      <c r="E1028" s="643"/>
      <c r="F1028" s="643"/>
      <c r="G1028" s="103">
        <f>G1029+G1030</f>
        <v>220868.6</v>
      </c>
      <c r="H1028" s="103">
        <f t="shared" ref="H1028:J1028" si="381">H1029</f>
        <v>0</v>
      </c>
      <c r="I1028" s="103">
        <f t="shared" si="381"/>
        <v>0</v>
      </c>
      <c r="J1028" s="103">
        <f t="shared" si="381"/>
        <v>0</v>
      </c>
      <c r="K1028" s="103">
        <f>K1029+K1030</f>
        <v>220868.6</v>
      </c>
      <c r="L1028" s="114">
        <f>L1029+L1030</f>
        <v>121000</v>
      </c>
      <c r="M1028" s="114">
        <f>M1029+M1030</f>
        <v>0</v>
      </c>
      <c r="N1028" s="703"/>
      <c r="O1028" s="1037"/>
    </row>
    <row r="1029" spans="1:61" ht="24.95" customHeight="1">
      <c r="A1029" s="1039"/>
      <c r="B1029" s="643" t="s">
        <v>10</v>
      </c>
      <c r="C1029" s="643"/>
      <c r="D1029" s="643"/>
      <c r="E1029" s="643"/>
      <c r="F1029" s="643"/>
      <c r="G1029" s="103">
        <f t="shared" ref="G1029:G1030" si="382">K1029</f>
        <v>89361</v>
      </c>
      <c r="H1029" s="103"/>
      <c r="I1029" s="103"/>
      <c r="J1029" s="103"/>
      <c r="K1029" s="103">
        <v>89361</v>
      </c>
      <c r="L1029" s="114">
        <v>91000</v>
      </c>
      <c r="M1029" s="114">
        <v>0</v>
      </c>
      <c r="N1029" s="703"/>
      <c r="O1029" s="1037"/>
    </row>
    <row r="1030" spans="1:61" s="45" customFormat="1" ht="27" customHeight="1">
      <c r="A1030" s="1039"/>
      <c r="B1030" s="643" t="s">
        <v>502</v>
      </c>
      <c r="C1030" s="643"/>
      <c r="D1030" s="643"/>
      <c r="E1030" s="643"/>
      <c r="F1030" s="643"/>
      <c r="G1030" s="103">
        <f t="shared" si="382"/>
        <v>131507.6</v>
      </c>
      <c r="H1030" s="103"/>
      <c r="I1030" s="103"/>
      <c r="J1030" s="103"/>
      <c r="K1030" s="103">
        <v>131507.6</v>
      </c>
      <c r="L1030" s="103">
        <v>30000</v>
      </c>
      <c r="M1030" s="103">
        <v>0</v>
      </c>
      <c r="N1030" s="703"/>
      <c r="O1030" s="1037"/>
      <c r="AJ1030" s="113"/>
      <c r="AK1030" s="113"/>
      <c r="AL1030" s="113"/>
      <c r="AM1030" s="113"/>
      <c r="AN1030" s="113"/>
      <c r="AO1030" s="113"/>
      <c r="AP1030" s="113"/>
      <c r="AQ1030" s="113"/>
      <c r="AR1030" s="113"/>
      <c r="AS1030" s="113"/>
      <c r="AT1030" s="113"/>
      <c r="AU1030" s="113"/>
      <c r="AV1030" s="113"/>
      <c r="AW1030" s="113"/>
      <c r="AX1030" s="113"/>
      <c r="AY1030" s="113"/>
      <c r="AZ1030" s="113"/>
      <c r="BA1030" s="113"/>
      <c r="BB1030" s="113"/>
      <c r="BC1030" s="113"/>
      <c r="BD1030" s="113"/>
      <c r="BE1030" s="113"/>
      <c r="BF1030" s="113"/>
      <c r="BG1030" s="113"/>
      <c r="BH1030" s="113"/>
      <c r="BI1030" s="113"/>
    </row>
    <row r="1031" spans="1:61" s="45" customFormat="1" ht="24.95" hidden="1" customHeight="1">
      <c r="A1031" s="1028" t="s">
        <v>448</v>
      </c>
      <c r="B1031" s="643" t="s">
        <v>89</v>
      </c>
      <c r="C1031" s="643"/>
      <c r="D1031" s="643"/>
      <c r="E1031" s="643"/>
      <c r="F1031" s="643"/>
      <c r="G1031" s="103"/>
      <c r="H1031" s="103"/>
      <c r="I1031" s="103"/>
      <c r="J1031" s="103"/>
      <c r="K1031" s="103"/>
      <c r="L1031" s="103"/>
      <c r="M1031" s="103"/>
      <c r="N1031" s="703"/>
      <c r="O1031" s="1037" t="s">
        <v>791</v>
      </c>
      <c r="AJ1031" s="113"/>
      <c r="AK1031" s="113"/>
      <c r="AL1031" s="113"/>
      <c r="AM1031" s="113"/>
      <c r="AN1031" s="113"/>
      <c r="AO1031" s="113"/>
      <c r="AP1031" s="113"/>
      <c r="AQ1031" s="113"/>
      <c r="AR1031" s="113"/>
      <c r="AS1031" s="113"/>
      <c r="AT1031" s="113"/>
      <c r="AU1031" s="113"/>
      <c r="AV1031" s="113"/>
      <c r="AW1031" s="113"/>
      <c r="AX1031" s="113"/>
      <c r="AY1031" s="113"/>
      <c r="AZ1031" s="113"/>
      <c r="BA1031" s="113"/>
      <c r="BB1031" s="113"/>
      <c r="BC1031" s="113"/>
      <c r="BD1031" s="113"/>
      <c r="BE1031" s="113"/>
      <c r="BF1031" s="113"/>
      <c r="BG1031" s="113"/>
      <c r="BH1031" s="113"/>
      <c r="BI1031" s="113"/>
    </row>
    <row r="1032" spans="1:61" s="45" customFormat="1" ht="24.95" hidden="1" customHeight="1">
      <c r="A1032" s="1036"/>
      <c r="B1032" s="643" t="s">
        <v>248</v>
      </c>
      <c r="C1032" s="643"/>
      <c r="D1032" s="643"/>
      <c r="E1032" s="643"/>
      <c r="F1032" s="643"/>
      <c r="G1032" s="103">
        <f>G1033</f>
        <v>0</v>
      </c>
      <c r="H1032" s="103">
        <f t="shared" ref="H1032:K1032" si="383">H1033</f>
        <v>0</v>
      </c>
      <c r="I1032" s="103">
        <f t="shared" si="383"/>
        <v>0</v>
      </c>
      <c r="J1032" s="103">
        <f t="shared" si="383"/>
        <v>0</v>
      </c>
      <c r="K1032" s="103">
        <f t="shared" si="383"/>
        <v>0</v>
      </c>
      <c r="L1032" s="103">
        <f>L1033+L1034</f>
        <v>0</v>
      </c>
      <c r="M1032" s="103"/>
      <c r="N1032" s="703"/>
      <c r="O1032" s="1037"/>
      <c r="AJ1032" s="113"/>
      <c r="AK1032" s="113"/>
      <c r="AL1032" s="113"/>
      <c r="AM1032" s="113"/>
      <c r="AN1032" s="113"/>
      <c r="AO1032" s="113"/>
      <c r="AP1032" s="113"/>
      <c r="AQ1032" s="113"/>
      <c r="AR1032" s="113"/>
      <c r="AS1032" s="113"/>
      <c r="AT1032" s="113"/>
      <c r="AU1032" s="113"/>
      <c r="AV1032" s="113"/>
      <c r="AW1032" s="113"/>
      <c r="AX1032" s="113"/>
      <c r="AY1032" s="113"/>
      <c r="AZ1032" s="113"/>
      <c r="BA1032" s="113"/>
      <c r="BB1032" s="113"/>
      <c r="BC1032" s="113"/>
      <c r="BD1032" s="113"/>
      <c r="BE1032" s="113"/>
      <c r="BF1032" s="113"/>
      <c r="BG1032" s="113"/>
      <c r="BH1032" s="113"/>
      <c r="BI1032" s="113"/>
    </row>
    <row r="1033" spans="1:61" s="45" customFormat="1" ht="24.95" hidden="1" customHeight="1">
      <c r="A1033" s="1036"/>
      <c r="B1033" s="643" t="s">
        <v>333</v>
      </c>
      <c r="C1033" s="643"/>
      <c r="D1033" s="643"/>
      <c r="E1033" s="643"/>
      <c r="F1033" s="643"/>
      <c r="G1033" s="103">
        <f>K1033</f>
        <v>0</v>
      </c>
      <c r="H1033" s="103"/>
      <c r="I1033" s="103"/>
      <c r="J1033" s="103"/>
      <c r="K1033" s="103">
        <v>0</v>
      </c>
      <c r="L1033" s="103"/>
      <c r="M1033" s="103"/>
      <c r="N1033" s="703"/>
      <c r="O1033" s="1037"/>
      <c r="AJ1033" s="113"/>
      <c r="AK1033" s="113"/>
      <c r="AL1033" s="113"/>
      <c r="AM1033" s="113"/>
      <c r="AN1033" s="113"/>
      <c r="AO1033" s="113"/>
      <c r="AP1033" s="113"/>
      <c r="AQ1033" s="113"/>
      <c r="AR1033" s="113"/>
      <c r="AS1033" s="113"/>
      <c r="AT1033" s="113"/>
      <c r="AU1033" s="113"/>
      <c r="AV1033" s="113"/>
      <c r="AW1033" s="113"/>
      <c r="AX1033" s="113"/>
      <c r="AY1033" s="113"/>
      <c r="AZ1033" s="113"/>
      <c r="BA1033" s="113"/>
      <c r="BB1033" s="113"/>
      <c r="BC1033" s="113"/>
      <c r="BD1033" s="113"/>
      <c r="BE1033" s="113"/>
      <c r="BF1033" s="113"/>
      <c r="BG1033" s="113"/>
      <c r="BH1033" s="113"/>
      <c r="BI1033" s="113"/>
    </row>
    <row r="1034" spans="1:61" s="45" customFormat="1" ht="24.6" hidden="1" customHeight="1">
      <c r="A1034" s="1029"/>
      <c r="B1034" s="643" t="s">
        <v>789</v>
      </c>
      <c r="C1034" s="643"/>
      <c r="D1034" s="643"/>
      <c r="E1034" s="643"/>
      <c r="F1034" s="643"/>
      <c r="G1034" s="103"/>
      <c r="H1034" s="103"/>
      <c r="I1034" s="103"/>
      <c r="J1034" s="103"/>
      <c r="K1034" s="103"/>
      <c r="L1034" s="103"/>
      <c r="M1034" s="103"/>
      <c r="N1034" s="703"/>
      <c r="O1034" s="1037"/>
      <c r="AJ1034" s="113"/>
      <c r="AK1034" s="113"/>
      <c r="AL1034" s="113"/>
      <c r="AM1034" s="113"/>
      <c r="AN1034" s="113"/>
      <c r="AO1034" s="113"/>
      <c r="AP1034" s="113"/>
      <c r="AQ1034" s="113"/>
      <c r="AR1034" s="113"/>
      <c r="AS1034" s="113"/>
      <c r="AT1034" s="113"/>
      <c r="AU1034" s="113"/>
      <c r="AV1034" s="113"/>
      <c r="AW1034" s="113"/>
      <c r="AX1034" s="113"/>
      <c r="AY1034" s="113"/>
      <c r="AZ1034" s="113"/>
      <c r="BA1034" s="113"/>
      <c r="BB1034" s="113"/>
      <c r="BC1034" s="113"/>
      <c r="BD1034" s="113"/>
      <c r="BE1034" s="113"/>
      <c r="BF1034" s="113"/>
      <c r="BG1034" s="113"/>
      <c r="BH1034" s="113"/>
      <c r="BI1034" s="113"/>
    </row>
    <row r="1035" spans="1:61" s="45" customFormat="1" ht="24.95" hidden="1" customHeight="1">
      <c r="A1035" s="1028" t="s">
        <v>628</v>
      </c>
      <c r="B1035" s="643" t="s">
        <v>89</v>
      </c>
      <c r="C1035" s="643"/>
      <c r="D1035" s="643"/>
      <c r="E1035" s="643"/>
      <c r="F1035" s="643"/>
      <c r="G1035" s="103">
        <f>K1035</f>
        <v>0</v>
      </c>
      <c r="H1035" s="103"/>
      <c r="I1035" s="103"/>
      <c r="J1035" s="103"/>
      <c r="K1035" s="103"/>
      <c r="L1035" s="103"/>
      <c r="M1035" s="103"/>
      <c r="N1035" s="703"/>
      <c r="O1035" s="1037" t="s">
        <v>629</v>
      </c>
      <c r="AJ1035" s="113"/>
      <c r="AK1035" s="113"/>
      <c r="AL1035" s="113"/>
      <c r="AM1035" s="113"/>
      <c r="AN1035" s="113"/>
      <c r="AO1035" s="113"/>
      <c r="AP1035" s="113"/>
      <c r="AQ1035" s="113"/>
      <c r="AR1035" s="113"/>
      <c r="AS1035" s="113"/>
      <c r="AT1035" s="113"/>
      <c r="AU1035" s="113"/>
      <c r="AV1035" s="113"/>
      <c r="AW1035" s="113"/>
      <c r="AX1035" s="113"/>
      <c r="AY1035" s="113"/>
      <c r="AZ1035" s="113"/>
      <c r="BA1035" s="113"/>
      <c r="BB1035" s="113"/>
      <c r="BC1035" s="113"/>
      <c r="BD1035" s="113"/>
      <c r="BE1035" s="113"/>
      <c r="BF1035" s="113"/>
      <c r="BG1035" s="113"/>
      <c r="BH1035" s="113"/>
      <c r="BI1035" s="113"/>
    </row>
    <row r="1036" spans="1:61" s="45" customFormat="1" ht="24.95" hidden="1" customHeight="1">
      <c r="A1036" s="1036"/>
      <c r="B1036" s="643" t="s">
        <v>25</v>
      </c>
      <c r="C1036" s="643"/>
      <c r="D1036" s="643"/>
      <c r="E1036" s="643"/>
      <c r="F1036" s="643"/>
      <c r="G1036" s="103">
        <f>G1037+G1038</f>
        <v>0</v>
      </c>
      <c r="H1036" s="103"/>
      <c r="I1036" s="103"/>
      <c r="J1036" s="103"/>
      <c r="K1036" s="103">
        <f>K1037+K1038</f>
        <v>0</v>
      </c>
      <c r="L1036" s="103">
        <f>L1037+L1038</f>
        <v>0</v>
      </c>
      <c r="M1036" s="103">
        <f>M1037</f>
        <v>0</v>
      </c>
      <c r="N1036" s="703"/>
      <c r="O1036" s="1037"/>
      <c r="AJ1036" s="113"/>
      <c r="AK1036" s="113"/>
      <c r="AL1036" s="113"/>
      <c r="AM1036" s="113"/>
      <c r="AN1036" s="113"/>
      <c r="AO1036" s="113"/>
      <c r="AP1036" s="113"/>
      <c r="AQ1036" s="113"/>
      <c r="AR1036" s="113"/>
      <c r="AS1036" s="113"/>
      <c r="AT1036" s="113"/>
      <c r="AU1036" s="113"/>
      <c r="AV1036" s="113"/>
      <c r="AW1036" s="113"/>
      <c r="AX1036" s="113"/>
      <c r="AY1036" s="113"/>
      <c r="AZ1036" s="113"/>
      <c r="BA1036" s="113"/>
      <c r="BB1036" s="113"/>
      <c r="BC1036" s="113"/>
      <c r="BD1036" s="113"/>
      <c r="BE1036" s="113"/>
      <c r="BF1036" s="113"/>
      <c r="BG1036" s="113"/>
      <c r="BH1036" s="113"/>
      <c r="BI1036" s="113"/>
    </row>
    <row r="1037" spans="1:61" s="45" customFormat="1" ht="24.95" hidden="1" customHeight="1">
      <c r="A1037" s="1036"/>
      <c r="B1037" s="643" t="s">
        <v>10</v>
      </c>
      <c r="C1037" s="643"/>
      <c r="D1037" s="643"/>
      <c r="E1037" s="643"/>
      <c r="F1037" s="643"/>
      <c r="G1037" s="103">
        <f>K1037</f>
        <v>0</v>
      </c>
      <c r="H1037" s="103"/>
      <c r="I1037" s="103"/>
      <c r="J1037" s="103"/>
      <c r="K1037" s="103"/>
      <c r="L1037" s="103"/>
      <c r="M1037" s="103"/>
      <c r="N1037" s="703"/>
      <c r="O1037" s="1037"/>
      <c r="AJ1037" s="113"/>
      <c r="AK1037" s="113"/>
      <c r="AL1037" s="113"/>
      <c r="AM1037" s="113"/>
      <c r="AN1037" s="113"/>
      <c r="AO1037" s="113"/>
      <c r="AP1037" s="113"/>
      <c r="AQ1037" s="113"/>
      <c r="AR1037" s="113"/>
      <c r="AS1037" s="113"/>
      <c r="AT1037" s="113"/>
      <c r="AU1037" s="113"/>
      <c r="AV1037" s="113"/>
      <c r="AW1037" s="113"/>
      <c r="AX1037" s="113"/>
      <c r="AY1037" s="113"/>
      <c r="AZ1037" s="113"/>
      <c r="BA1037" s="113"/>
      <c r="BB1037" s="113"/>
      <c r="BC1037" s="113"/>
      <c r="BD1037" s="113"/>
      <c r="BE1037" s="113"/>
      <c r="BF1037" s="113"/>
      <c r="BG1037" s="113"/>
      <c r="BH1037" s="113"/>
      <c r="BI1037" s="113"/>
    </row>
    <row r="1038" spans="1:61" s="45" customFormat="1" ht="24" hidden="1" customHeight="1">
      <c r="A1038" s="1029"/>
      <c r="B1038" s="643" t="s">
        <v>502</v>
      </c>
      <c r="C1038" s="643"/>
      <c r="D1038" s="643"/>
      <c r="E1038" s="643"/>
      <c r="F1038" s="643"/>
      <c r="G1038" s="103">
        <f>K1038</f>
        <v>0</v>
      </c>
      <c r="H1038" s="103"/>
      <c r="I1038" s="103"/>
      <c r="J1038" s="103"/>
      <c r="K1038" s="103"/>
      <c r="L1038" s="103"/>
      <c r="M1038" s="103"/>
      <c r="N1038" s="703"/>
      <c r="O1038" s="1037"/>
      <c r="AJ1038" s="113"/>
      <c r="AK1038" s="113"/>
      <c r="AL1038" s="113"/>
      <c r="AM1038" s="113"/>
      <c r="AN1038" s="113"/>
      <c r="AO1038" s="113"/>
      <c r="AP1038" s="113"/>
      <c r="AQ1038" s="113"/>
      <c r="AR1038" s="113"/>
      <c r="AS1038" s="113"/>
      <c r="AT1038" s="113"/>
      <c r="AU1038" s="113"/>
      <c r="AV1038" s="113"/>
      <c r="AW1038" s="113"/>
      <c r="AX1038" s="113"/>
      <c r="AY1038" s="113"/>
      <c r="AZ1038" s="113"/>
      <c r="BA1038" s="113"/>
      <c r="BB1038" s="113"/>
      <c r="BC1038" s="113"/>
      <c r="BD1038" s="113"/>
      <c r="BE1038" s="113"/>
      <c r="BF1038" s="113"/>
      <c r="BG1038" s="113"/>
      <c r="BH1038" s="113"/>
      <c r="BI1038" s="113"/>
    </row>
    <row r="1039" spans="1:61" s="45" customFormat="1" ht="24.95" hidden="1" customHeight="1">
      <c r="A1039" s="1039" t="s">
        <v>184</v>
      </c>
      <c r="B1039" s="643" t="s">
        <v>89</v>
      </c>
      <c r="C1039" s="643">
        <v>176</v>
      </c>
      <c r="D1039" s="643" t="s">
        <v>15</v>
      </c>
      <c r="E1039" s="643">
        <v>6100404</v>
      </c>
      <c r="F1039" s="643">
        <v>244</v>
      </c>
      <c r="G1039" s="103">
        <f>K1039</f>
        <v>0</v>
      </c>
      <c r="H1039" s="103"/>
      <c r="I1039" s="103"/>
      <c r="J1039" s="103"/>
      <c r="K1039" s="103"/>
      <c r="L1039" s="103"/>
      <c r="M1039" s="103"/>
      <c r="N1039" s="703"/>
      <c r="O1039" s="1037" t="s">
        <v>470</v>
      </c>
      <c r="AJ1039" s="113"/>
      <c r="AK1039" s="113"/>
      <c r="AL1039" s="113"/>
      <c r="AM1039" s="113"/>
      <c r="AN1039" s="113"/>
      <c r="AO1039" s="113"/>
      <c r="AP1039" s="113"/>
      <c r="AQ1039" s="113"/>
      <c r="AR1039" s="113"/>
      <c r="AS1039" s="113"/>
      <c r="AT1039" s="113"/>
      <c r="AU1039" s="113"/>
      <c r="AV1039" s="113"/>
      <c r="AW1039" s="113"/>
      <c r="AX1039" s="113"/>
      <c r="AY1039" s="113"/>
      <c r="AZ1039" s="113"/>
      <c r="BA1039" s="113"/>
      <c r="BB1039" s="113"/>
      <c r="BC1039" s="113"/>
      <c r="BD1039" s="113"/>
      <c r="BE1039" s="113"/>
      <c r="BF1039" s="113"/>
      <c r="BG1039" s="113"/>
      <c r="BH1039" s="113"/>
      <c r="BI1039" s="113"/>
    </row>
    <row r="1040" spans="1:61" s="45" customFormat="1" ht="24.95" hidden="1" customHeight="1">
      <c r="A1040" s="1039"/>
      <c r="B1040" s="643" t="s">
        <v>25</v>
      </c>
      <c r="C1040" s="643"/>
      <c r="D1040" s="643"/>
      <c r="E1040" s="643"/>
      <c r="F1040" s="643"/>
      <c r="G1040" s="103">
        <f>G1041+G1042</f>
        <v>0</v>
      </c>
      <c r="H1040" s="103">
        <f t="shared" ref="H1040:K1040" si="384">H1041+H1042</f>
        <v>0</v>
      </c>
      <c r="I1040" s="103">
        <f t="shared" si="384"/>
        <v>0</v>
      </c>
      <c r="J1040" s="103">
        <f t="shared" si="384"/>
        <v>0</v>
      </c>
      <c r="K1040" s="103">
        <f t="shared" si="384"/>
        <v>0</v>
      </c>
      <c r="L1040" s="103">
        <f>L1041+L1042</f>
        <v>0</v>
      </c>
      <c r="M1040" s="103">
        <f>M1041+M1042</f>
        <v>0</v>
      </c>
      <c r="N1040" s="703"/>
      <c r="O1040" s="1037"/>
      <c r="AJ1040" s="113"/>
      <c r="AK1040" s="113"/>
      <c r="AL1040" s="113"/>
      <c r="AM1040" s="113"/>
      <c r="AN1040" s="113"/>
      <c r="AO1040" s="113"/>
      <c r="AP1040" s="113"/>
      <c r="AQ1040" s="113"/>
      <c r="AR1040" s="113"/>
      <c r="AS1040" s="113"/>
      <c r="AT1040" s="113"/>
      <c r="AU1040" s="113"/>
      <c r="AV1040" s="113"/>
      <c r="AW1040" s="113"/>
      <c r="AX1040" s="113"/>
      <c r="AY1040" s="113"/>
      <c r="AZ1040" s="113"/>
      <c r="BA1040" s="113"/>
      <c r="BB1040" s="113"/>
      <c r="BC1040" s="113"/>
      <c r="BD1040" s="113"/>
      <c r="BE1040" s="113"/>
      <c r="BF1040" s="113"/>
      <c r="BG1040" s="113"/>
      <c r="BH1040" s="113"/>
      <c r="BI1040" s="113"/>
    </row>
    <row r="1041" spans="1:61" s="45" customFormat="1" ht="24.95" hidden="1" customHeight="1">
      <c r="A1041" s="1039"/>
      <c r="B1041" s="643" t="s">
        <v>10</v>
      </c>
      <c r="C1041" s="643"/>
      <c r="D1041" s="643"/>
      <c r="E1041" s="643"/>
      <c r="F1041" s="643"/>
      <c r="G1041" s="103">
        <f>K1041</f>
        <v>0</v>
      </c>
      <c r="H1041" s="103"/>
      <c r="I1041" s="103"/>
      <c r="J1041" s="103"/>
      <c r="K1041" s="103"/>
      <c r="L1041" s="103"/>
      <c r="M1041" s="103"/>
      <c r="N1041" s="703"/>
      <c r="O1041" s="1037"/>
      <c r="AJ1041" s="113"/>
      <c r="AK1041" s="113"/>
      <c r="AL1041" s="113"/>
      <c r="AM1041" s="113"/>
      <c r="AN1041" s="113"/>
      <c r="AO1041" s="113"/>
      <c r="AP1041" s="113"/>
      <c r="AQ1041" s="113"/>
      <c r="AR1041" s="113"/>
      <c r="AS1041" s="113"/>
      <c r="AT1041" s="113"/>
      <c r="AU1041" s="113"/>
      <c r="AV1041" s="113"/>
      <c r="AW1041" s="113"/>
      <c r="AX1041" s="113"/>
      <c r="AY1041" s="113"/>
      <c r="AZ1041" s="113"/>
      <c r="BA1041" s="113"/>
      <c r="BB1041" s="113"/>
      <c r="BC1041" s="113"/>
      <c r="BD1041" s="113"/>
      <c r="BE1041" s="113"/>
      <c r="BF1041" s="113"/>
      <c r="BG1041" s="113"/>
      <c r="BH1041" s="113"/>
      <c r="BI1041" s="113"/>
    </row>
    <row r="1042" spans="1:61" ht="24.75" hidden="1" customHeight="1">
      <c r="A1042" s="1039"/>
      <c r="B1042" s="643" t="s">
        <v>502</v>
      </c>
      <c r="C1042" s="643"/>
      <c r="D1042" s="643"/>
      <c r="E1042" s="643"/>
      <c r="F1042" s="643"/>
      <c r="G1042" s="103">
        <f>K1042</f>
        <v>0</v>
      </c>
      <c r="H1042" s="103"/>
      <c r="I1042" s="103"/>
      <c r="J1042" s="103"/>
      <c r="K1042" s="103"/>
      <c r="L1042" s="103"/>
      <c r="M1042" s="103"/>
      <c r="N1042" s="703"/>
      <c r="O1042" s="1037"/>
    </row>
    <row r="1043" spans="1:61" ht="24.95" customHeight="1">
      <c r="A1043" s="1038" t="s">
        <v>104</v>
      </c>
      <c r="B1043" s="62" t="s">
        <v>89</v>
      </c>
      <c r="C1043" s="62"/>
      <c r="D1043" s="62"/>
      <c r="E1043" s="62"/>
      <c r="F1043" s="62"/>
      <c r="G1043" s="102">
        <f>G1047+G1051+G1053</f>
        <v>0</v>
      </c>
      <c r="H1043" s="102">
        <f t="shared" ref="H1043:M1043" si="385">H1047+H1051+H1053</f>
        <v>0</v>
      </c>
      <c r="I1043" s="102">
        <f t="shared" si="385"/>
        <v>0</v>
      </c>
      <c r="J1043" s="102">
        <f t="shared" si="385"/>
        <v>0</v>
      </c>
      <c r="K1043" s="102">
        <f t="shared" si="385"/>
        <v>0</v>
      </c>
      <c r="L1043" s="102">
        <f t="shared" si="385"/>
        <v>4</v>
      </c>
      <c r="M1043" s="102">
        <f t="shared" si="385"/>
        <v>3</v>
      </c>
      <c r="N1043" s="703"/>
      <c r="O1043" s="709"/>
    </row>
    <row r="1044" spans="1:61" ht="24.95" customHeight="1">
      <c r="A1044" s="1038"/>
      <c r="B1044" s="62" t="s">
        <v>25</v>
      </c>
      <c r="C1044" s="62"/>
      <c r="D1044" s="62"/>
      <c r="E1044" s="62"/>
      <c r="F1044" s="62"/>
      <c r="G1044" s="102">
        <f>G1045+G1046</f>
        <v>0</v>
      </c>
      <c r="H1044" s="102">
        <f t="shared" ref="H1044:M1044" si="386">H1045+H1046</f>
        <v>0</v>
      </c>
      <c r="I1044" s="102">
        <f t="shared" si="386"/>
        <v>0</v>
      </c>
      <c r="J1044" s="102">
        <f t="shared" si="386"/>
        <v>0</v>
      </c>
      <c r="K1044" s="102">
        <f t="shared" si="386"/>
        <v>0</v>
      </c>
      <c r="L1044" s="102">
        <f t="shared" si="386"/>
        <v>48000</v>
      </c>
      <c r="M1044" s="102">
        <f t="shared" si="386"/>
        <v>45000</v>
      </c>
      <c r="N1044" s="703"/>
      <c r="O1044" s="709"/>
    </row>
    <row r="1045" spans="1:61" ht="24.95" customHeight="1">
      <c r="A1045" s="1038"/>
      <c r="B1045" s="62" t="s">
        <v>10</v>
      </c>
      <c r="C1045" s="62"/>
      <c r="D1045" s="62"/>
      <c r="E1045" s="62"/>
      <c r="F1045" s="62"/>
      <c r="G1045" s="102">
        <f>G1049+G1052+G1055</f>
        <v>0</v>
      </c>
      <c r="H1045" s="102">
        <f t="shared" ref="H1045:M1045" si="387">H1049+H1052+H1055</f>
        <v>0</v>
      </c>
      <c r="I1045" s="102">
        <f t="shared" si="387"/>
        <v>0</v>
      </c>
      <c r="J1045" s="102">
        <f t="shared" si="387"/>
        <v>0</v>
      </c>
      <c r="K1045" s="102">
        <f t="shared" si="387"/>
        <v>0</v>
      </c>
      <c r="L1045" s="102">
        <f t="shared" si="387"/>
        <v>48000</v>
      </c>
      <c r="M1045" s="102">
        <f t="shared" si="387"/>
        <v>45000</v>
      </c>
      <c r="N1045" s="703"/>
      <c r="O1045" s="709"/>
    </row>
    <row r="1046" spans="1:61" s="45" customFormat="1" ht="24.95" customHeight="1">
      <c r="A1046" s="1038"/>
      <c r="B1046" s="62" t="s">
        <v>502</v>
      </c>
      <c r="C1046" s="62"/>
      <c r="D1046" s="62"/>
      <c r="E1046" s="62"/>
      <c r="F1046" s="62"/>
      <c r="G1046" s="102">
        <f>G1050+G1056</f>
        <v>0</v>
      </c>
      <c r="H1046" s="102">
        <f t="shared" ref="H1046:M1046" si="388">H1050+H1056</f>
        <v>0</v>
      </c>
      <c r="I1046" s="102">
        <f t="shared" si="388"/>
        <v>0</v>
      </c>
      <c r="J1046" s="102">
        <f t="shared" si="388"/>
        <v>0</v>
      </c>
      <c r="K1046" s="102">
        <f t="shared" si="388"/>
        <v>0</v>
      </c>
      <c r="L1046" s="102">
        <f t="shared" si="388"/>
        <v>0</v>
      </c>
      <c r="M1046" s="102">
        <f t="shared" si="388"/>
        <v>0</v>
      </c>
      <c r="N1046" s="703"/>
      <c r="O1046" s="709"/>
      <c r="AJ1046" s="113"/>
      <c r="AK1046" s="113"/>
      <c r="AL1046" s="113"/>
      <c r="AM1046" s="113"/>
      <c r="AN1046" s="113"/>
      <c r="AO1046" s="113"/>
      <c r="AP1046" s="113"/>
      <c r="AQ1046" s="113"/>
      <c r="AR1046" s="113"/>
      <c r="AS1046" s="113"/>
      <c r="AT1046" s="113"/>
      <c r="AU1046" s="113"/>
      <c r="AV1046" s="113"/>
      <c r="AW1046" s="113"/>
      <c r="AX1046" s="113"/>
      <c r="AY1046" s="113"/>
      <c r="AZ1046" s="113"/>
      <c r="BA1046" s="113"/>
      <c r="BB1046" s="113"/>
      <c r="BC1046" s="113"/>
      <c r="BD1046" s="113"/>
      <c r="BE1046" s="113"/>
      <c r="BF1046" s="113"/>
      <c r="BG1046" s="113"/>
      <c r="BH1046" s="113"/>
      <c r="BI1046" s="113"/>
    </row>
    <row r="1047" spans="1:61" s="45" customFormat="1" ht="24.95" hidden="1" customHeight="1">
      <c r="A1047" s="1039" t="s">
        <v>162</v>
      </c>
      <c r="B1047" s="643" t="s">
        <v>89</v>
      </c>
      <c r="C1047" s="643">
        <v>176</v>
      </c>
      <c r="D1047" s="643" t="s">
        <v>15</v>
      </c>
      <c r="E1047" s="643">
        <v>6100404</v>
      </c>
      <c r="F1047" s="643">
        <v>244</v>
      </c>
      <c r="G1047" s="103">
        <f>K1047</f>
        <v>0</v>
      </c>
      <c r="H1047" s="103"/>
      <c r="I1047" s="103"/>
      <c r="J1047" s="103"/>
      <c r="K1047" s="103">
        <v>0</v>
      </c>
      <c r="L1047" s="103">
        <v>0</v>
      </c>
      <c r="M1047" s="103"/>
      <c r="N1047" s="703"/>
      <c r="O1047" s="1037" t="s">
        <v>878</v>
      </c>
      <c r="AJ1047" s="113"/>
      <c r="AK1047" s="113"/>
      <c r="AL1047" s="113"/>
      <c r="AM1047" s="113"/>
      <c r="AN1047" s="113"/>
      <c r="AO1047" s="113"/>
      <c r="AP1047" s="113"/>
      <c r="AQ1047" s="113"/>
      <c r="AR1047" s="113"/>
      <c r="AS1047" s="113"/>
      <c r="AT1047" s="113"/>
      <c r="AU1047" s="113"/>
      <c r="AV1047" s="113"/>
      <c r="AW1047" s="113"/>
      <c r="AX1047" s="113"/>
      <c r="AY1047" s="113"/>
      <c r="AZ1047" s="113"/>
      <c r="BA1047" s="113"/>
      <c r="BB1047" s="113"/>
      <c r="BC1047" s="113"/>
      <c r="BD1047" s="113"/>
      <c r="BE1047" s="113"/>
      <c r="BF1047" s="113"/>
      <c r="BG1047" s="113"/>
      <c r="BH1047" s="113"/>
      <c r="BI1047" s="113"/>
    </row>
    <row r="1048" spans="1:61" s="45" customFormat="1" ht="24.95" hidden="1" customHeight="1">
      <c r="A1048" s="1039"/>
      <c r="B1048" s="643" t="s">
        <v>25</v>
      </c>
      <c r="C1048" s="643"/>
      <c r="D1048" s="643"/>
      <c r="E1048" s="643"/>
      <c r="F1048" s="643"/>
      <c r="G1048" s="103">
        <f t="shared" ref="G1048:G1050" si="389">K1048</f>
        <v>0</v>
      </c>
      <c r="H1048" s="103"/>
      <c r="I1048" s="103"/>
      <c r="J1048" s="103"/>
      <c r="K1048" s="103">
        <f>K1049+K1050</f>
        <v>0</v>
      </c>
      <c r="L1048" s="103">
        <f t="shared" ref="L1048:M1048" si="390">L1049+L1050</f>
        <v>0</v>
      </c>
      <c r="M1048" s="103">
        <f t="shared" si="390"/>
        <v>0</v>
      </c>
      <c r="N1048" s="703"/>
      <c r="O1048" s="1037"/>
      <c r="AJ1048" s="113"/>
      <c r="AK1048" s="113"/>
      <c r="AL1048" s="113"/>
      <c r="AM1048" s="113"/>
      <c r="AN1048" s="113"/>
      <c r="AO1048" s="113"/>
      <c r="AP1048" s="113"/>
      <c r="AQ1048" s="113"/>
      <c r="AR1048" s="113"/>
      <c r="AS1048" s="113"/>
      <c r="AT1048" s="113"/>
      <c r="AU1048" s="113"/>
      <c r="AV1048" s="113"/>
      <c r="AW1048" s="113"/>
      <c r="AX1048" s="113"/>
      <c r="AY1048" s="113"/>
      <c r="AZ1048" s="113"/>
      <c r="BA1048" s="113"/>
      <c r="BB1048" s="113"/>
      <c r="BC1048" s="113"/>
      <c r="BD1048" s="113"/>
      <c r="BE1048" s="113"/>
      <c r="BF1048" s="113"/>
      <c r="BG1048" s="113"/>
      <c r="BH1048" s="113"/>
      <c r="BI1048" s="113"/>
    </row>
    <row r="1049" spans="1:61" s="45" customFormat="1" ht="24.95" hidden="1" customHeight="1">
      <c r="A1049" s="1039"/>
      <c r="B1049" s="643" t="s">
        <v>10</v>
      </c>
      <c r="C1049" s="643"/>
      <c r="D1049" s="643"/>
      <c r="E1049" s="643"/>
      <c r="F1049" s="643"/>
      <c r="G1049" s="103">
        <f t="shared" si="389"/>
        <v>0</v>
      </c>
      <c r="H1049" s="103"/>
      <c r="I1049" s="103"/>
      <c r="J1049" s="103"/>
      <c r="K1049" s="103">
        <v>0</v>
      </c>
      <c r="L1049" s="103">
        <v>0</v>
      </c>
      <c r="M1049" s="103"/>
      <c r="N1049" s="703"/>
      <c r="O1049" s="1037"/>
      <c r="AJ1049" s="113"/>
      <c r="AK1049" s="113"/>
      <c r="AL1049" s="113"/>
      <c r="AM1049" s="113"/>
      <c r="AN1049" s="113"/>
      <c r="AO1049" s="113"/>
      <c r="AP1049" s="113"/>
      <c r="AQ1049" s="113"/>
      <c r="AR1049" s="113"/>
      <c r="AS1049" s="113"/>
      <c r="AT1049" s="113"/>
      <c r="AU1049" s="113"/>
      <c r="AV1049" s="113"/>
      <c r="AW1049" s="113"/>
      <c r="AX1049" s="113"/>
      <c r="AY1049" s="113"/>
      <c r="AZ1049" s="113"/>
      <c r="BA1049" s="113"/>
      <c r="BB1049" s="113"/>
      <c r="BC1049" s="113"/>
      <c r="BD1049" s="113"/>
      <c r="BE1049" s="113"/>
      <c r="BF1049" s="113"/>
      <c r="BG1049" s="113"/>
      <c r="BH1049" s="113"/>
      <c r="BI1049" s="113"/>
    </row>
    <row r="1050" spans="1:61" ht="24.95" hidden="1" customHeight="1">
      <c r="A1050" s="1039"/>
      <c r="B1050" s="643" t="s">
        <v>502</v>
      </c>
      <c r="C1050" s="643"/>
      <c r="D1050" s="643"/>
      <c r="E1050" s="643"/>
      <c r="F1050" s="643"/>
      <c r="G1050" s="103">
        <f t="shared" si="389"/>
        <v>0</v>
      </c>
      <c r="H1050" s="103"/>
      <c r="I1050" s="103"/>
      <c r="J1050" s="103"/>
      <c r="K1050" s="103">
        <v>0</v>
      </c>
      <c r="L1050" s="103"/>
      <c r="M1050" s="103"/>
      <c r="N1050" s="703"/>
      <c r="O1050" s="1037"/>
    </row>
    <row r="1051" spans="1:61" ht="24.95" customHeight="1">
      <c r="A1051" s="1028" t="s">
        <v>630</v>
      </c>
      <c r="B1051" s="643" t="s">
        <v>89</v>
      </c>
      <c r="C1051" s="643"/>
      <c r="D1051" s="643"/>
      <c r="E1051" s="643"/>
      <c r="F1051" s="643"/>
      <c r="G1051" s="103"/>
      <c r="H1051" s="103"/>
      <c r="I1051" s="103"/>
      <c r="J1051" s="103"/>
      <c r="K1051" s="103"/>
      <c r="L1051" s="103">
        <v>2</v>
      </c>
      <c r="M1051" s="103">
        <v>0</v>
      </c>
      <c r="N1051" s="703"/>
      <c r="O1051" s="1030" t="s">
        <v>631</v>
      </c>
    </row>
    <row r="1052" spans="1:61" ht="24.95" customHeight="1">
      <c r="A1052" s="1029"/>
      <c r="B1052" s="643" t="s">
        <v>248</v>
      </c>
      <c r="C1052" s="643"/>
      <c r="D1052" s="643"/>
      <c r="E1052" s="643"/>
      <c r="F1052" s="643"/>
      <c r="G1052" s="103"/>
      <c r="H1052" s="103"/>
      <c r="I1052" s="103"/>
      <c r="J1052" s="103"/>
      <c r="K1052" s="103"/>
      <c r="L1052" s="103">
        <v>24000</v>
      </c>
      <c r="M1052" s="103">
        <v>0</v>
      </c>
      <c r="N1052" s="703"/>
      <c r="O1052" s="1031"/>
    </row>
    <row r="1053" spans="1:61" ht="24.95" customHeight="1">
      <c r="A1053" s="1028" t="s">
        <v>632</v>
      </c>
      <c r="B1053" s="643" t="s">
        <v>89</v>
      </c>
      <c r="C1053" s="643"/>
      <c r="D1053" s="643"/>
      <c r="E1053" s="643"/>
      <c r="F1053" s="643"/>
      <c r="G1053" s="103">
        <f>K1053</f>
        <v>0</v>
      </c>
      <c r="H1053" s="103"/>
      <c r="I1053" s="103"/>
      <c r="J1053" s="103"/>
      <c r="K1053" s="103">
        <v>0</v>
      </c>
      <c r="L1053" s="103">
        <v>2</v>
      </c>
      <c r="M1053" s="103">
        <v>3</v>
      </c>
      <c r="N1053" s="703"/>
      <c r="O1053" s="1030" t="s">
        <v>1013</v>
      </c>
    </row>
    <row r="1054" spans="1:61" ht="24.95" customHeight="1">
      <c r="A1054" s="1036"/>
      <c r="B1054" s="643" t="s">
        <v>25</v>
      </c>
      <c r="C1054" s="643"/>
      <c r="D1054" s="643"/>
      <c r="E1054" s="643"/>
      <c r="F1054" s="643"/>
      <c r="G1054" s="103">
        <f t="shared" ref="G1054:G1056" si="391">K1054</f>
        <v>0</v>
      </c>
      <c r="H1054" s="103"/>
      <c r="I1054" s="103"/>
      <c r="J1054" s="103"/>
      <c r="K1054" s="103">
        <f>K1055+K1056</f>
        <v>0</v>
      </c>
      <c r="L1054" s="103">
        <f>L1055</f>
        <v>24000</v>
      </c>
      <c r="M1054" s="103">
        <f>M1055+M1056</f>
        <v>45000</v>
      </c>
      <c r="N1054" s="703"/>
      <c r="O1054" s="1032"/>
    </row>
    <row r="1055" spans="1:61" ht="24.95" customHeight="1">
      <c r="A1055" s="1036"/>
      <c r="B1055" s="643" t="s">
        <v>10</v>
      </c>
      <c r="C1055" s="643"/>
      <c r="D1055" s="643"/>
      <c r="E1055" s="643"/>
      <c r="F1055" s="643"/>
      <c r="G1055" s="103">
        <f t="shared" si="391"/>
        <v>0</v>
      </c>
      <c r="H1055" s="103"/>
      <c r="I1055" s="103"/>
      <c r="J1055" s="103"/>
      <c r="K1055" s="103"/>
      <c r="L1055" s="103">
        <v>24000</v>
      </c>
      <c r="M1055" s="103">
        <v>45000</v>
      </c>
      <c r="N1055" s="703"/>
      <c r="O1055" s="1032"/>
    </row>
    <row r="1056" spans="1:61" ht="24.95" customHeight="1">
      <c r="A1056" s="1029"/>
      <c r="B1056" s="643" t="s">
        <v>502</v>
      </c>
      <c r="C1056" s="643"/>
      <c r="D1056" s="643"/>
      <c r="E1056" s="643"/>
      <c r="F1056" s="643"/>
      <c r="G1056" s="103">
        <f t="shared" si="391"/>
        <v>0</v>
      </c>
      <c r="H1056" s="103"/>
      <c r="I1056" s="103"/>
      <c r="J1056" s="103"/>
      <c r="K1056" s="103">
        <v>0</v>
      </c>
      <c r="L1056" s="103"/>
      <c r="M1056" s="103"/>
      <c r="N1056" s="703"/>
      <c r="O1056" s="1031"/>
    </row>
    <row r="1057" spans="1:61" ht="24.6" customHeight="1">
      <c r="A1057" s="985" t="s">
        <v>163</v>
      </c>
      <c r="B1057" s="62" t="s">
        <v>89</v>
      </c>
      <c r="C1057" s="62"/>
      <c r="D1057" s="62"/>
      <c r="E1057" s="62"/>
      <c r="F1057" s="62"/>
      <c r="G1057" s="102">
        <f>G1061+G1063+G1067</f>
        <v>0</v>
      </c>
      <c r="H1057" s="102">
        <f t="shared" ref="H1057:M1057" si="392">H1061+H1063+H1067</f>
        <v>0</v>
      </c>
      <c r="I1057" s="102">
        <f t="shared" si="392"/>
        <v>0</v>
      </c>
      <c r="J1057" s="102">
        <f t="shared" si="392"/>
        <v>0</v>
      </c>
      <c r="K1057" s="102">
        <f t="shared" si="392"/>
        <v>0</v>
      </c>
      <c r="L1057" s="102">
        <f t="shared" si="392"/>
        <v>7</v>
      </c>
      <c r="M1057" s="102">
        <f t="shared" si="392"/>
        <v>13</v>
      </c>
      <c r="N1057" s="703"/>
      <c r="O1057" s="709"/>
    </row>
    <row r="1058" spans="1:61" s="45" customFormat="1" ht="24.6" customHeight="1">
      <c r="A1058" s="986"/>
      <c r="B1058" s="62" t="s">
        <v>25</v>
      </c>
      <c r="C1058" s="62"/>
      <c r="D1058" s="62"/>
      <c r="E1058" s="62"/>
      <c r="F1058" s="62"/>
      <c r="G1058" s="102">
        <f>G1059+G1060</f>
        <v>0</v>
      </c>
      <c r="H1058" s="102">
        <f t="shared" ref="H1058:M1058" si="393">H1059+H1060</f>
        <v>0</v>
      </c>
      <c r="I1058" s="102">
        <f t="shared" si="393"/>
        <v>0</v>
      </c>
      <c r="J1058" s="102">
        <f t="shared" si="393"/>
        <v>0</v>
      </c>
      <c r="K1058" s="102">
        <f t="shared" si="393"/>
        <v>0</v>
      </c>
      <c r="L1058" s="102">
        <f t="shared" si="393"/>
        <v>77907</v>
      </c>
      <c r="M1058" s="102">
        <f t="shared" si="393"/>
        <v>160000</v>
      </c>
      <c r="N1058" s="703"/>
      <c r="O1058" s="709"/>
      <c r="AJ1058" s="113"/>
      <c r="AK1058" s="113"/>
      <c r="AL1058" s="113"/>
      <c r="AM1058" s="113"/>
      <c r="AN1058" s="113"/>
      <c r="AO1058" s="113"/>
      <c r="AP1058" s="113"/>
      <c r="AQ1058" s="113"/>
      <c r="AR1058" s="113"/>
      <c r="AS1058" s="113"/>
      <c r="AT1058" s="113"/>
      <c r="AU1058" s="113"/>
      <c r="AV1058" s="113"/>
      <c r="AW1058" s="113"/>
      <c r="AX1058" s="113"/>
      <c r="AY1058" s="113"/>
      <c r="AZ1058" s="113"/>
      <c r="BA1058" s="113"/>
      <c r="BB1058" s="113"/>
      <c r="BC1058" s="113"/>
      <c r="BD1058" s="113"/>
      <c r="BE1058" s="113"/>
      <c r="BF1058" s="113"/>
      <c r="BG1058" s="113"/>
      <c r="BH1058" s="113"/>
      <c r="BI1058" s="113"/>
    </row>
    <row r="1059" spans="1:61" s="45" customFormat="1" ht="24.6" customHeight="1">
      <c r="A1059" s="986"/>
      <c r="B1059" s="62" t="s">
        <v>10</v>
      </c>
      <c r="C1059" s="62"/>
      <c r="D1059" s="62"/>
      <c r="E1059" s="62"/>
      <c r="F1059" s="62"/>
      <c r="G1059" s="102">
        <f>G1062+G1065+G1068</f>
        <v>0</v>
      </c>
      <c r="H1059" s="102">
        <f t="shared" ref="H1059:M1059" si="394">H1062+H1065+H1068</f>
        <v>0</v>
      </c>
      <c r="I1059" s="102">
        <f t="shared" si="394"/>
        <v>0</v>
      </c>
      <c r="J1059" s="102">
        <f t="shared" si="394"/>
        <v>0</v>
      </c>
      <c r="K1059" s="102">
        <f t="shared" si="394"/>
        <v>0</v>
      </c>
      <c r="L1059" s="102">
        <f t="shared" si="394"/>
        <v>77907</v>
      </c>
      <c r="M1059" s="102">
        <f t="shared" si="394"/>
        <v>160000</v>
      </c>
      <c r="N1059" s="703"/>
      <c r="O1059" s="709"/>
      <c r="AJ1059" s="113"/>
      <c r="AK1059" s="113"/>
      <c r="AL1059" s="113"/>
      <c r="AM1059" s="113"/>
      <c r="AN1059" s="113"/>
      <c r="AO1059" s="113"/>
      <c r="AP1059" s="113"/>
      <c r="AQ1059" s="113"/>
      <c r="AR1059" s="113"/>
      <c r="AS1059" s="113"/>
      <c r="AT1059" s="113"/>
      <c r="AU1059" s="113"/>
      <c r="AV1059" s="113"/>
      <c r="AW1059" s="113"/>
      <c r="AX1059" s="113"/>
      <c r="AY1059" s="113"/>
      <c r="AZ1059" s="113"/>
      <c r="BA1059" s="113"/>
      <c r="BB1059" s="113"/>
      <c r="BC1059" s="113"/>
      <c r="BD1059" s="113"/>
      <c r="BE1059" s="113"/>
      <c r="BF1059" s="113"/>
      <c r="BG1059" s="113"/>
      <c r="BH1059" s="113"/>
      <c r="BI1059" s="113"/>
    </row>
    <row r="1060" spans="1:61" s="45" customFormat="1" ht="24.6" customHeight="1">
      <c r="A1060" s="987"/>
      <c r="B1060" s="62" t="s">
        <v>502</v>
      </c>
      <c r="C1060" s="62"/>
      <c r="D1060" s="62"/>
      <c r="E1060" s="62"/>
      <c r="F1060" s="62"/>
      <c r="G1060" s="102">
        <f>G1066</f>
        <v>0</v>
      </c>
      <c r="H1060" s="102">
        <f t="shared" ref="H1060:M1060" si="395">H1066</f>
        <v>0</v>
      </c>
      <c r="I1060" s="102">
        <f t="shared" si="395"/>
        <v>0</v>
      </c>
      <c r="J1060" s="102">
        <f t="shared" si="395"/>
        <v>0</v>
      </c>
      <c r="K1060" s="102">
        <f t="shared" si="395"/>
        <v>0</v>
      </c>
      <c r="L1060" s="102">
        <f t="shared" si="395"/>
        <v>0</v>
      </c>
      <c r="M1060" s="102">
        <f t="shared" si="395"/>
        <v>0</v>
      </c>
      <c r="N1060" s="703"/>
      <c r="O1060" s="709"/>
      <c r="AJ1060" s="113"/>
      <c r="AK1060" s="113"/>
      <c r="AL1060" s="113"/>
      <c r="AM1060" s="113"/>
      <c r="AN1060" s="113"/>
      <c r="AO1060" s="113"/>
      <c r="AP1060" s="113"/>
      <c r="AQ1060" s="113"/>
      <c r="AR1060" s="113"/>
      <c r="AS1060" s="113"/>
      <c r="AT1060" s="113"/>
      <c r="AU1060" s="113"/>
      <c r="AV1060" s="113"/>
      <c r="AW1060" s="113"/>
      <c r="AX1060" s="113"/>
      <c r="AY1060" s="113"/>
      <c r="AZ1060" s="113"/>
      <c r="BA1060" s="113"/>
      <c r="BB1060" s="113"/>
      <c r="BC1060" s="113"/>
      <c r="BD1060" s="113"/>
      <c r="BE1060" s="113"/>
      <c r="BF1060" s="113"/>
      <c r="BG1060" s="113"/>
      <c r="BH1060" s="113"/>
      <c r="BI1060" s="113"/>
    </row>
    <row r="1061" spans="1:61" s="45" customFormat="1" ht="24" customHeight="1">
      <c r="A1061" s="1039" t="s">
        <v>156</v>
      </c>
      <c r="B1061" s="643" t="s">
        <v>89</v>
      </c>
      <c r="C1061" s="643">
        <v>176</v>
      </c>
      <c r="D1061" s="643" t="s">
        <v>15</v>
      </c>
      <c r="E1061" s="643">
        <v>6100404</v>
      </c>
      <c r="F1061" s="643">
        <v>244</v>
      </c>
      <c r="G1061" s="103">
        <f>J1061</f>
        <v>0</v>
      </c>
      <c r="H1061" s="103"/>
      <c r="I1061" s="103"/>
      <c r="J1061" s="103"/>
      <c r="K1061" s="103"/>
      <c r="L1061" s="103">
        <v>3</v>
      </c>
      <c r="M1061" s="103">
        <v>6</v>
      </c>
      <c r="N1061" s="703"/>
      <c r="O1061" s="1037" t="s">
        <v>635</v>
      </c>
      <c r="AJ1061" s="113"/>
      <c r="AK1061" s="113"/>
      <c r="AL1061" s="113"/>
      <c r="AM1061" s="113"/>
      <c r="AN1061" s="113"/>
      <c r="AO1061" s="113"/>
      <c r="AP1061" s="113"/>
      <c r="AQ1061" s="113"/>
      <c r="AR1061" s="113"/>
      <c r="AS1061" s="113"/>
      <c r="AT1061" s="113"/>
      <c r="AU1061" s="113"/>
      <c r="AV1061" s="113"/>
      <c r="AW1061" s="113"/>
      <c r="AX1061" s="113"/>
      <c r="AY1061" s="113"/>
      <c r="AZ1061" s="113"/>
      <c r="BA1061" s="113"/>
      <c r="BB1061" s="113"/>
      <c r="BC1061" s="113"/>
      <c r="BD1061" s="113"/>
      <c r="BE1061" s="113"/>
      <c r="BF1061" s="113"/>
      <c r="BG1061" s="113"/>
      <c r="BH1061" s="113"/>
      <c r="BI1061" s="113"/>
    </row>
    <row r="1062" spans="1:61" ht="24.6" customHeight="1">
      <c r="A1062" s="1039"/>
      <c r="B1062" s="643" t="s">
        <v>248</v>
      </c>
      <c r="C1062" s="643"/>
      <c r="D1062" s="643"/>
      <c r="E1062" s="643"/>
      <c r="F1062" s="643"/>
      <c r="G1062" s="103">
        <f>J1062</f>
        <v>0</v>
      </c>
      <c r="H1062" s="103"/>
      <c r="I1062" s="103"/>
      <c r="J1062" s="103"/>
      <c r="K1062" s="103"/>
      <c r="L1062" s="103">
        <v>33907</v>
      </c>
      <c r="M1062" s="103">
        <v>90000</v>
      </c>
      <c r="N1062" s="703"/>
      <c r="O1062" s="1037"/>
    </row>
    <row r="1063" spans="1:61" ht="24.6" hidden="1" customHeight="1">
      <c r="A1063" s="1028" t="s">
        <v>633</v>
      </c>
      <c r="B1063" s="643" t="s">
        <v>89</v>
      </c>
      <c r="C1063" s="643"/>
      <c r="D1063" s="643"/>
      <c r="E1063" s="643"/>
      <c r="F1063" s="643"/>
      <c r="G1063" s="103">
        <f>K1063</f>
        <v>0</v>
      </c>
      <c r="H1063" s="103"/>
      <c r="I1063" s="103"/>
      <c r="J1063" s="103"/>
      <c r="K1063" s="103">
        <v>0</v>
      </c>
      <c r="L1063" s="103">
        <v>0</v>
      </c>
      <c r="M1063" s="103"/>
      <c r="N1063" s="703"/>
      <c r="O1063" s="1030" t="s">
        <v>635</v>
      </c>
    </row>
    <row r="1064" spans="1:61" ht="24.6" hidden="1" customHeight="1">
      <c r="A1064" s="1036"/>
      <c r="B1064" s="643" t="s">
        <v>25</v>
      </c>
      <c r="C1064" s="643"/>
      <c r="D1064" s="643"/>
      <c r="E1064" s="643"/>
      <c r="F1064" s="643"/>
      <c r="G1064" s="103">
        <f t="shared" ref="G1064:G1066" si="396">K1064</f>
        <v>0</v>
      </c>
      <c r="H1064" s="103"/>
      <c r="I1064" s="103"/>
      <c r="J1064" s="103"/>
      <c r="K1064" s="103">
        <f>K1065+K1066</f>
        <v>0</v>
      </c>
      <c r="L1064" s="103">
        <f t="shared" ref="L1064:M1064" si="397">L1065+L1066</f>
        <v>0</v>
      </c>
      <c r="M1064" s="103">
        <f t="shared" si="397"/>
        <v>0</v>
      </c>
      <c r="N1064" s="703"/>
      <c r="O1064" s="1032"/>
    </row>
    <row r="1065" spans="1:61" ht="24.6" hidden="1" customHeight="1">
      <c r="A1065" s="1036"/>
      <c r="B1065" s="643" t="s">
        <v>10</v>
      </c>
      <c r="C1065" s="643"/>
      <c r="D1065" s="643"/>
      <c r="E1065" s="643"/>
      <c r="F1065" s="643"/>
      <c r="G1065" s="103">
        <f t="shared" si="396"/>
        <v>0</v>
      </c>
      <c r="H1065" s="103"/>
      <c r="I1065" s="103"/>
      <c r="J1065" s="103"/>
      <c r="K1065" s="103">
        <v>0</v>
      </c>
      <c r="L1065" s="103">
        <v>0</v>
      </c>
      <c r="M1065" s="103"/>
      <c r="N1065" s="703"/>
      <c r="O1065" s="1032"/>
    </row>
    <row r="1066" spans="1:61" ht="24.6" hidden="1" customHeight="1">
      <c r="A1066" s="1029"/>
      <c r="B1066" s="643" t="s">
        <v>502</v>
      </c>
      <c r="C1066" s="643"/>
      <c r="D1066" s="643"/>
      <c r="E1066" s="643"/>
      <c r="F1066" s="643"/>
      <c r="G1066" s="103">
        <f t="shared" si="396"/>
        <v>0</v>
      </c>
      <c r="H1066" s="103"/>
      <c r="I1066" s="103"/>
      <c r="J1066" s="103"/>
      <c r="K1066" s="103"/>
      <c r="L1066" s="103">
        <v>0</v>
      </c>
      <c r="M1066" s="103"/>
      <c r="N1066" s="703"/>
      <c r="O1066" s="1031"/>
    </row>
    <row r="1067" spans="1:61" ht="24.6" customHeight="1">
      <c r="A1067" s="1028" t="s">
        <v>634</v>
      </c>
      <c r="B1067" s="643" t="s">
        <v>89</v>
      </c>
      <c r="C1067" s="643"/>
      <c r="D1067" s="643"/>
      <c r="E1067" s="643"/>
      <c r="F1067" s="643"/>
      <c r="G1067" s="103"/>
      <c r="H1067" s="103"/>
      <c r="I1067" s="103"/>
      <c r="J1067" s="103"/>
      <c r="K1067" s="103"/>
      <c r="L1067" s="103">
        <v>4</v>
      </c>
      <c r="M1067" s="103">
        <v>7</v>
      </c>
      <c r="N1067" s="703"/>
      <c r="O1067" s="1030" t="s">
        <v>1014</v>
      </c>
    </row>
    <row r="1068" spans="1:61" ht="24.6" customHeight="1">
      <c r="A1068" s="1029"/>
      <c r="B1068" s="643" t="s">
        <v>248</v>
      </c>
      <c r="C1068" s="643"/>
      <c r="D1068" s="643"/>
      <c r="E1068" s="643"/>
      <c r="F1068" s="643"/>
      <c r="G1068" s="103"/>
      <c r="H1068" s="103"/>
      <c r="I1068" s="103"/>
      <c r="J1068" s="103"/>
      <c r="K1068" s="103"/>
      <c r="L1068" s="103">
        <v>44000</v>
      </c>
      <c r="M1068" s="103">
        <v>70000</v>
      </c>
      <c r="N1068" s="703"/>
      <c r="O1068" s="1031"/>
    </row>
    <row r="1069" spans="1:61" ht="24.6" customHeight="1">
      <c r="A1069" s="1038" t="s">
        <v>105</v>
      </c>
      <c r="B1069" s="62" t="s">
        <v>89</v>
      </c>
      <c r="C1069" s="62"/>
      <c r="D1069" s="62"/>
      <c r="E1069" s="62"/>
      <c r="F1069" s="62"/>
      <c r="G1069" s="102">
        <f t="shared" ref="G1069:M1070" si="398">G1071+G1073</f>
        <v>8</v>
      </c>
      <c r="H1069" s="102">
        <f t="shared" si="398"/>
        <v>0</v>
      </c>
      <c r="I1069" s="102">
        <f t="shared" si="398"/>
        <v>0</v>
      </c>
      <c r="J1069" s="102">
        <f t="shared" si="398"/>
        <v>0</v>
      </c>
      <c r="K1069" s="102">
        <f t="shared" si="398"/>
        <v>8</v>
      </c>
      <c r="L1069" s="102">
        <f t="shared" si="398"/>
        <v>7.5</v>
      </c>
      <c r="M1069" s="102">
        <f t="shared" si="398"/>
        <v>8</v>
      </c>
      <c r="N1069" s="703"/>
      <c r="O1069" s="709"/>
    </row>
    <row r="1070" spans="1:61" ht="24.95" customHeight="1">
      <c r="A1070" s="1038"/>
      <c r="B1070" s="62" t="s">
        <v>248</v>
      </c>
      <c r="C1070" s="62"/>
      <c r="D1070" s="62"/>
      <c r="E1070" s="62"/>
      <c r="F1070" s="62"/>
      <c r="G1070" s="102">
        <f t="shared" si="398"/>
        <v>131275.20000000001</v>
      </c>
      <c r="H1070" s="102">
        <f t="shared" si="398"/>
        <v>0</v>
      </c>
      <c r="I1070" s="102">
        <f t="shared" si="398"/>
        <v>0</v>
      </c>
      <c r="J1070" s="102">
        <f t="shared" si="398"/>
        <v>0</v>
      </c>
      <c r="K1070" s="102">
        <f t="shared" si="398"/>
        <v>131275.20000000001</v>
      </c>
      <c r="L1070" s="102">
        <f t="shared" si="398"/>
        <v>90000</v>
      </c>
      <c r="M1070" s="102">
        <f t="shared" si="398"/>
        <v>130000</v>
      </c>
      <c r="N1070" s="703"/>
      <c r="O1070" s="709"/>
    </row>
    <row r="1071" spans="1:61" ht="24.95" customHeight="1">
      <c r="A1071" s="1039" t="s">
        <v>649</v>
      </c>
      <c r="B1071" s="643" t="s">
        <v>89</v>
      </c>
      <c r="C1071" s="643">
        <v>176</v>
      </c>
      <c r="D1071" s="643" t="s">
        <v>15</v>
      </c>
      <c r="E1071" s="643">
        <v>6100404</v>
      </c>
      <c r="F1071" s="643">
        <v>244</v>
      </c>
      <c r="G1071" s="103">
        <f>K1071</f>
        <v>8</v>
      </c>
      <c r="H1071" s="103"/>
      <c r="I1071" s="103"/>
      <c r="J1071" s="103"/>
      <c r="K1071" s="103">
        <v>8</v>
      </c>
      <c r="L1071" s="103">
        <v>0</v>
      </c>
      <c r="M1071" s="103">
        <v>8</v>
      </c>
      <c r="N1071" s="703"/>
      <c r="O1071" s="1030" t="s">
        <v>1015</v>
      </c>
    </row>
    <row r="1072" spans="1:61" s="45" customFormat="1" ht="24.95" customHeight="1">
      <c r="A1072" s="1039"/>
      <c r="B1072" s="643" t="s">
        <v>248</v>
      </c>
      <c r="C1072" s="643"/>
      <c r="D1072" s="643"/>
      <c r="E1072" s="643"/>
      <c r="F1072" s="643"/>
      <c r="G1072" s="103">
        <f>K1072</f>
        <v>131275.20000000001</v>
      </c>
      <c r="H1072" s="103"/>
      <c r="I1072" s="103"/>
      <c r="J1072" s="103"/>
      <c r="K1072" s="103">
        <v>131275.20000000001</v>
      </c>
      <c r="L1072" s="103">
        <v>0</v>
      </c>
      <c r="M1072" s="103">
        <v>130000</v>
      </c>
      <c r="N1072" s="703"/>
      <c r="O1072" s="1031"/>
      <c r="AJ1072" s="113"/>
      <c r="AK1072" s="113"/>
      <c r="AL1072" s="113"/>
      <c r="AM1072" s="113"/>
      <c r="AN1072" s="113"/>
      <c r="AO1072" s="113"/>
      <c r="AP1072" s="113"/>
      <c r="AQ1072" s="113"/>
      <c r="AR1072" s="113"/>
      <c r="AS1072" s="113"/>
      <c r="AT1072" s="113"/>
      <c r="AU1072" s="113"/>
      <c r="AV1072" s="113"/>
      <c r="AW1072" s="113"/>
      <c r="AX1072" s="113"/>
      <c r="AY1072" s="113"/>
      <c r="AZ1072" s="113"/>
      <c r="BA1072" s="113"/>
      <c r="BB1072" s="113"/>
      <c r="BC1072" s="113"/>
      <c r="BD1072" s="113"/>
      <c r="BE1072" s="113"/>
      <c r="BF1072" s="113"/>
      <c r="BG1072" s="113"/>
      <c r="BH1072" s="113"/>
      <c r="BI1072" s="113"/>
    </row>
    <row r="1073" spans="1:61" s="45" customFormat="1" ht="24.95" customHeight="1">
      <c r="A1073" s="1039" t="s">
        <v>636</v>
      </c>
      <c r="B1073" s="643" t="s">
        <v>89</v>
      </c>
      <c r="C1073" s="643">
        <v>176</v>
      </c>
      <c r="D1073" s="643" t="s">
        <v>15</v>
      </c>
      <c r="E1073" s="643">
        <v>6100404</v>
      </c>
      <c r="F1073" s="643">
        <v>244</v>
      </c>
      <c r="G1073" s="103">
        <f>K1073</f>
        <v>0</v>
      </c>
      <c r="H1073" s="103"/>
      <c r="I1073" s="103"/>
      <c r="J1073" s="103"/>
      <c r="K1073" s="103"/>
      <c r="L1073" s="103">
        <v>7.5</v>
      </c>
      <c r="M1073" s="103">
        <v>0</v>
      </c>
      <c r="N1073" s="703"/>
      <c r="O1073" s="1037" t="s">
        <v>637</v>
      </c>
      <c r="AJ1073" s="113"/>
      <c r="AK1073" s="113"/>
      <c r="AL1073" s="113"/>
      <c r="AM1073" s="113"/>
      <c r="AN1073" s="113"/>
      <c r="AO1073" s="113"/>
      <c r="AP1073" s="113"/>
      <c r="AQ1073" s="113"/>
      <c r="AR1073" s="113"/>
      <c r="AS1073" s="113"/>
      <c r="AT1073" s="113"/>
      <c r="AU1073" s="113"/>
      <c r="AV1073" s="113"/>
      <c r="AW1073" s="113"/>
      <c r="AX1073" s="113"/>
      <c r="AY1073" s="113"/>
      <c r="AZ1073" s="113"/>
      <c r="BA1073" s="113"/>
      <c r="BB1073" s="113"/>
      <c r="BC1073" s="113"/>
      <c r="BD1073" s="113"/>
      <c r="BE1073" s="113"/>
      <c r="BF1073" s="113"/>
      <c r="BG1073" s="113"/>
      <c r="BH1073" s="113"/>
      <c r="BI1073" s="113"/>
    </row>
    <row r="1074" spans="1:61" ht="24.95" customHeight="1">
      <c r="A1074" s="1039"/>
      <c r="B1074" s="643" t="s">
        <v>248</v>
      </c>
      <c r="C1074" s="643"/>
      <c r="D1074" s="643"/>
      <c r="E1074" s="643"/>
      <c r="F1074" s="643"/>
      <c r="G1074" s="103">
        <f>K1074</f>
        <v>0</v>
      </c>
      <c r="H1074" s="103"/>
      <c r="I1074" s="103"/>
      <c r="J1074" s="103"/>
      <c r="K1074" s="103"/>
      <c r="L1074" s="103">
        <v>90000</v>
      </c>
      <c r="M1074" s="103">
        <v>0</v>
      </c>
      <c r="N1074" s="703"/>
      <c r="O1074" s="1037"/>
    </row>
    <row r="1075" spans="1:61" ht="24.95" customHeight="1">
      <c r="A1075" s="985" t="s">
        <v>106</v>
      </c>
      <c r="B1075" s="62" t="s">
        <v>89</v>
      </c>
      <c r="C1075" s="643"/>
      <c r="D1075" s="643"/>
      <c r="E1075" s="643"/>
      <c r="F1075" s="643"/>
      <c r="G1075" s="102">
        <f>G1079+G1081+G1085</f>
        <v>6</v>
      </c>
      <c r="H1075" s="102">
        <f t="shared" ref="H1075:M1075" si="399">H1079+H1081+H1085</f>
        <v>0</v>
      </c>
      <c r="I1075" s="102">
        <f t="shared" si="399"/>
        <v>0</v>
      </c>
      <c r="J1075" s="102">
        <f t="shared" si="399"/>
        <v>0</v>
      </c>
      <c r="K1075" s="102">
        <f t="shared" si="399"/>
        <v>6</v>
      </c>
      <c r="L1075" s="102">
        <f t="shared" si="399"/>
        <v>12</v>
      </c>
      <c r="M1075" s="102">
        <f t="shared" si="399"/>
        <v>6</v>
      </c>
      <c r="N1075" s="703"/>
      <c r="O1075" s="703"/>
    </row>
    <row r="1076" spans="1:61" ht="24.95" customHeight="1">
      <c r="A1076" s="986"/>
      <c r="B1076" s="62" t="s">
        <v>25</v>
      </c>
      <c r="C1076" s="643"/>
      <c r="D1076" s="643"/>
      <c r="E1076" s="643"/>
      <c r="F1076" s="643"/>
      <c r="G1076" s="102">
        <f>G1077+G1078</f>
        <v>76323.100000000006</v>
      </c>
      <c r="H1076" s="102">
        <f t="shared" ref="H1076:M1076" si="400">H1077+H1078</f>
        <v>0</v>
      </c>
      <c r="I1076" s="102">
        <f t="shared" si="400"/>
        <v>0</v>
      </c>
      <c r="J1076" s="102">
        <f t="shared" si="400"/>
        <v>0</v>
      </c>
      <c r="K1076" s="102">
        <f t="shared" si="400"/>
        <v>76323.100000000006</v>
      </c>
      <c r="L1076" s="102">
        <f t="shared" si="400"/>
        <v>148000</v>
      </c>
      <c r="M1076" s="102">
        <f t="shared" si="400"/>
        <v>90000</v>
      </c>
      <c r="N1076" s="703"/>
      <c r="O1076" s="703"/>
    </row>
    <row r="1077" spans="1:61" ht="24.95" customHeight="1">
      <c r="A1077" s="986"/>
      <c r="B1077" s="62" t="s">
        <v>10</v>
      </c>
      <c r="C1077" s="643"/>
      <c r="D1077" s="643"/>
      <c r="E1077" s="643"/>
      <c r="F1077" s="643"/>
      <c r="G1077" s="102">
        <f>G1080+G1083+G1086</f>
        <v>76323.100000000006</v>
      </c>
      <c r="H1077" s="102">
        <f t="shared" ref="H1077:M1077" si="401">H1080+H1083+H1086</f>
        <v>0</v>
      </c>
      <c r="I1077" s="102">
        <f t="shared" si="401"/>
        <v>0</v>
      </c>
      <c r="J1077" s="102">
        <f t="shared" si="401"/>
        <v>0</v>
      </c>
      <c r="K1077" s="102">
        <f t="shared" si="401"/>
        <v>76323.100000000006</v>
      </c>
      <c r="L1077" s="102">
        <f t="shared" si="401"/>
        <v>148000</v>
      </c>
      <c r="M1077" s="102">
        <f t="shared" si="401"/>
        <v>90000</v>
      </c>
      <c r="N1077" s="703"/>
      <c r="O1077" s="703"/>
    </row>
    <row r="1078" spans="1:61" ht="24.95" customHeight="1">
      <c r="A1078" s="987"/>
      <c r="B1078" s="62" t="s">
        <v>502</v>
      </c>
      <c r="C1078" s="643"/>
      <c r="D1078" s="643"/>
      <c r="E1078" s="643"/>
      <c r="F1078" s="643"/>
      <c r="G1078" s="102">
        <f>G1084</f>
        <v>0</v>
      </c>
      <c r="H1078" s="102">
        <f t="shared" ref="H1078:M1078" si="402">H1084</f>
        <v>0</v>
      </c>
      <c r="I1078" s="102">
        <f t="shared" si="402"/>
        <v>0</v>
      </c>
      <c r="J1078" s="102">
        <f t="shared" si="402"/>
        <v>0</v>
      </c>
      <c r="K1078" s="102">
        <f t="shared" si="402"/>
        <v>0</v>
      </c>
      <c r="L1078" s="102">
        <f t="shared" si="402"/>
        <v>0</v>
      </c>
      <c r="M1078" s="102">
        <f t="shared" si="402"/>
        <v>0</v>
      </c>
      <c r="N1078" s="703"/>
      <c r="O1078" s="703"/>
    </row>
    <row r="1079" spans="1:61" ht="24.95" customHeight="1">
      <c r="A1079" s="1056" t="s">
        <v>638</v>
      </c>
      <c r="B1079" s="643" t="s">
        <v>89</v>
      </c>
      <c r="C1079" s="643"/>
      <c r="D1079" s="643"/>
      <c r="E1079" s="643"/>
      <c r="F1079" s="643"/>
      <c r="G1079" s="103">
        <f>K1079</f>
        <v>6</v>
      </c>
      <c r="H1079" s="103"/>
      <c r="I1079" s="103"/>
      <c r="J1079" s="103"/>
      <c r="K1079" s="103">
        <v>6</v>
      </c>
      <c r="L1079" s="103">
        <v>8</v>
      </c>
      <c r="M1079" s="103">
        <v>6</v>
      </c>
      <c r="N1079" s="703"/>
      <c r="O1079" s="1030" t="s">
        <v>1016</v>
      </c>
    </row>
    <row r="1080" spans="1:61" ht="24.95" customHeight="1">
      <c r="A1080" s="1056"/>
      <c r="B1080" s="643" t="s">
        <v>248</v>
      </c>
      <c r="C1080" s="643"/>
      <c r="D1080" s="643"/>
      <c r="E1080" s="643"/>
      <c r="F1080" s="643"/>
      <c r="G1080" s="103">
        <f>K1080</f>
        <v>76323.100000000006</v>
      </c>
      <c r="H1080" s="103"/>
      <c r="I1080" s="103"/>
      <c r="J1080" s="103"/>
      <c r="K1080" s="103">
        <v>76323.100000000006</v>
      </c>
      <c r="L1080" s="103">
        <v>100000</v>
      </c>
      <c r="M1080" s="103">
        <v>90000</v>
      </c>
      <c r="N1080" s="703"/>
      <c r="O1080" s="1031"/>
    </row>
    <row r="1081" spans="1:61" ht="24.95" hidden="1" customHeight="1">
      <c r="A1081" s="1039" t="s">
        <v>639</v>
      </c>
      <c r="B1081" s="643" t="s">
        <v>89</v>
      </c>
      <c r="C1081" s="643"/>
      <c r="D1081" s="643"/>
      <c r="E1081" s="643"/>
      <c r="F1081" s="643"/>
      <c r="G1081" s="103">
        <f>K1081</f>
        <v>0</v>
      </c>
      <c r="H1081" s="103"/>
      <c r="I1081" s="103"/>
      <c r="J1081" s="103"/>
      <c r="K1081" s="103">
        <v>0</v>
      </c>
      <c r="L1081" s="103"/>
      <c r="M1081" s="103"/>
      <c r="N1081" s="703"/>
      <c r="O1081" s="1030" t="s">
        <v>642</v>
      </c>
    </row>
    <row r="1082" spans="1:61" ht="24.95" hidden="1" customHeight="1">
      <c r="A1082" s="1039"/>
      <c r="B1082" s="643" t="s">
        <v>25</v>
      </c>
      <c r="C1082" s="643"/>
      <c r="D1082" s="643"/>
      <c r="E1082" s="643"/>
      <c r="F1082" s="643"/>
      <c r="G1082" s="103">
        <f t="shared" ref="G1082:G1084" si="403">K1082</f>
        <v>0</v>
      </c>
      <c r="H1082" s="103"/>
      <c r="I1082" s="103"/>
      <c r="J1082" s="103"/>
      <c r="K1082" s="103">
        <f>K1083+K1084</f>
        <v>0</v>
      </c>
      <c r="L1082" s="103"/>
      <c r="M1082" s="103"/>
      <c r="N1082" s="703"/>
      <c r="O1082" s="1032"/>
    </row>
    <row r="1083" spans="1:61" ht="24.95" hidden="1" customHeight="1">
      <c r="A1083" s="1039"/>
      <c r="B1083" s="643" t="s">
        <v>10</v>
      </c>
      <c r="C1083" s="643"/>
      <c r="D1083" s="643"/>
      <c r="E1083" s="643"/>
      <c r="F1083" s="643"/>
      <c r="G1083" s="103">
        <f t="shared" si="403"/>
        <v>0</v>
      </c>
      <c r="H1083" s="103"/>
      <c r="I1083" s="103"/>
      <c r="J1083" s="103"/>
      <c r="K1083" s="103"/>
      <c r="L1083" s="103"/>
      <c r="M1083" s="103"/>
      <c r="N1083" s="703"/>
      <c r="O1083" s="1032"/>
    </row>
    <row r="1084" spans="1:61" ht="24.95" hidden="1" customHeight="1">
      <c r="A1084" s="1039"/>
      <c r="B1084" s="643" t="s">
        <v>502</v>
      </c>
      <c r="C1084" s="643"/>
      <c r="D1084" s="643"/>
      <c r="E1084" s="643"/>
      <c r="F1084" s="643"/>
      <c r="G1084" s="103">
        <f t="shared" si="403"/>
        <v>0</v>
      </c>
      <c r="H1084" s="103"/>
      <c r="I1084" s="103"/>
      <c r="J1084" s="103"/>
      <c r="K1084" s="103">
        <v>0</v>
      </c>
      <c r="L1084" s="103"/>
      <c r="M1084" s="103"/>
      <c r="N1084" s="703"/>
      <c r="O1084" s="1031"/>
    </row>
    <row r="1085" spans="1:61" ht="24.95" customHeight="1">
      <c r="A1085" s="1028" t="s">
        <v>640</v>
      </c>
      <c r="B1085" s="643" t="s">
        <v>89</v>
      </c>
      <c r="C1085" s="643"/>
      <c r="D1085" s="643"/>
      <c r="E1085" s="643"/>
      <c r="F1085" s="643"/>
      <c r="G1085" s="103"/>
      <c r="H1085" s="103"/>
      <c r="I1085" s="103"/>
      <c r="J1085" s="103"/>
      <c r="K1085" s="103"/>
      <c r="L1085" s="103">
        <v>4</v>
      </c>
      <c r="M1085" s="103">
        <v>0</v>
      </c>
      <c r="N1085" s="703"/>
      <c r="O1085" s="1030" t="s">
        <v>570</v>
      </c>
    </row>
    <row r="1086" spans="1:61" ht="24.95" customHeight="1">
      <c r="A1086" s="1029"/>
      <c r="B1086" s="643" t="s">
        <v>248</v>
      </c>
      <c r="C1086" s="643"/>
      <c r="D1086" s="643"/>
      <c r="E1086" s="643"/>
      <c r="F1086" s="643"/>
      <c r="G1086" s="103"/>
      <c r="H1086" s="103"/>
      <c r="I1086" s="103"/>
      <c r="J1086" s="103"/>
      <c r="K1086" s="103"/>
      <c r="L1086" s="103">
        <v>48000</v>
      </c>
      <c r="M1086" s="103">
        <v>0</v>
      </c>
      <c r="N1086" s="703"/>
      <c r="O1086" s="1031"/>
    </row>
    <row r="1087" spans="1:61" ht="24.95" customHeight="1">
      <c r="A1087" s="985" t="s">
        <v>137</v>
      </c>
      <c r="B1087" s="62" t="s">
        <v>89</v>
      </c>
      <c r="C1087" s="62"/>
      <c r="D1087" s="62"/>
      <c r="E1087" s="62"/>
      <c r="F1087" s="62"/>
      <c r="G1087" s="102">
        <f>G1091+G1095+G1099+G1101</f>
        <v>5</v>
      </c>
      <c r="H1087" s="102">
        <f t="shared" ref="H1087:M1087" si="404">H1091+H1095+H1099+H1101</f>
        <v>0</v>
      </c>
      <c r="I1087" s="102">
        <f t="shared" si="404"/>
        <v>0</v>
      </c>
      <c r="J1087" s="102">
        <f t="shared" si="404"/>
        <v>0</v>
      </c>
      <c r="K1087" s="102">
        <f t="shared" si="404"/>
        <v>5</v>
      </c>
      <c r="L1087" s="102">
        <f t="shared" si="404"/>
        <v>14.9</v>
      </c>
      <c r="M1087" s="102">
        <f t="shared" si="404"/>
        <v>11</v>
      </c>
      <c r="N1087" s="703"/>
      <c r="O1087" s="709"/>
    </row>
    <row r="1088" spans="1:61" ht="24.95" customHeight="1">
      <c r="A1088" s="986"/>
      <c r="B1088" s="62" t="s">
        <v>25</v>
      </c>
      <c r="C1088" s="62"/>
      <c r="D1088" s="62"/>
      <c r="E1088" s="62"/>
      <c r="F1088" s="62"/>
      <c r="G1088" s="102">
        <f>G1089+G1090</f>
        <v>64837.8</v>
      </c>
      <c r="H1088" s="102">
        <f t="shared" ref="H1088:K1088" si="405">H1089+H1090</f>
        <v>0</v>
      </c>
      <c r="I1088" s="102">
        <f t="shared" si="405"/>
        <v>0</v>
      </c>
      <c r="J1088" s="102">
        <f t="shared" si="405"/>
        <v>0</v>
      </c>
      <c r="K1088" s="102">
        <f t="shared" si="405"/>
        <v>64837.8</v>
      </c>
      <c r="L1088" s="102">
        <f t="shared" ref="L1088:M1088" si="406">L1089+L1090</f>
        <v>189128</v>
      </c>
      <c r="M1088" s="102">
        <f t="shared" si="406"/>
        <v>175000</v>
      </c>
      <c r="N1088" s="703"/>
      <c r="O1088" s="709"/>
    </row>
    <row r="1089" spans="1:35" ht="24.95" customHeight="1">
      <c r="A1089" s="986"/>
      <c r="B1089" s="62" t="s">
        <v>10</v>
      </c>
      <c r="C1089" s="62"/>
      <c r="D1089" s="62"/>
      <c r="E1089" s="62"/>
      <c r="F1089" s="62"/>
      <c r="G1089" s="102">
        <f>G1093+G1097+G1100+G1102</f>
        <v>64837.8</v>
      </c>
      <c r="H1089" s="102">
        <f t="shared" ref="H1089:M1089" si="407">H1093+H1097+H1100+H1102</f>
        <v>0</v>
      </c>
      <c r="I1089" s="102">
        <f t="shared" si="407"/>
        <v>0</v>
      </c>
      <c r="J1089" s="102">
        <f t="shared" si="407"/>
        <v>0</v>
      </c>
      <c r="K1089" s="102">
        <f t="shared" si="407"/>
        <v>64837.8</v>
      </c>
      <c r="L1089" s="102">
        <f t="shared" si="407"/>
        <v>189128</v>
      </c>
      <c r="M1089" s="102">
        <f t="shared" si="407"/>
        <v>175000</v>
      </c>
      <c r="N1089" s="703"/>
      <c r="O1089" s="709"/>
    </row>
    <row r="1090" spans="1:35" ht="24.95" customHeight="1">
      <c r="A1090" s="987"/>
      <c r="B1090" s="62" t="s">
        <v>502</v>
      </c>
      <c r="C1090" s="62"/>
      <c r="D1090" s="62"/>
      <c r="E1090" s="62"/>
      <c r="F1090" s="62"/>
      <c r="G1090" s="102">
        <f>G1094+G1098</f>
        <v>0</v>
      </c>
      <c r="H1090" s="102">
        <f t="shared" ref="H1090:M1090" si="408">H1094+H1098</f>
        <v>0</v>
      </c>
      <c r="I1090" s="102">
        <f t="shared" si="408"/>
        <v>0</v>
      </c>
      <c r="J1090" s="102">
        <f t="shared" si="408"/>
        <v>0</v>
      </c>
      <c r="K1090" s="102">
        <f t="shared" si="408"/>
        <v>0</v>
      </c>
      <c r="L1090" s="102">
        <f t="shared" si="408"/>
        <v>0</v>
      </c>
      <c r="M1090" s="102">
        <f t="shared" si="408"/>
        <v>0</v>
      </c>
      <c r="N1090" s="703"/>
      <c r="O1090" s="709"/>
    </row>
    <row r="1091" spans="1:35" ht="24.95" customHeight="1">
      <c r="A1091" s="1028" t="s">
        <v>643</v>
      </c>
      <c r="B1091" s="643" t="s">
        <v>89</v>
      </c>
      <c r="C1091" s="62"/>
      <c r="D1091" s="62"/>
      <c r="E1091" s="62"/>
      <c r="F1091" s="62"/>
      <c r="G1091" s="103">
        <f>K1091</f>
        <v>5</v>
      </c>
      <c r="H1091" s="103"/>
      <c r="I1091" s="103"/>
      <c r="J1091" s="103"/>
      <c r="K1091" s="103">
        <v>5</v>
      </c>
      <c r="L1091" s="103">
        <v>5</v>
      </c>
      <c r="M1091" s="103">
        <v>8</v>
      </c>
      <c r="N1091" s="703"/>
      <c r="O1091" s="1030" t="s">
        <v>1017</v>
      </c>
    </row>
    <row r="1092" spans="1:35" ht="24.95" customHeight="1">
      <c r="A1092" s="1036"/>
      <c r="B1092" s="643" t="s">
        <v>25</v>
      </c>
      <c r="C1092" s="62"/>
      <c r="D1092" s="62"/>
      <c r="E1092" s="62"/>
      <c r="F1092" s="62"/>
      <c r="G1092" s="103">
        <f t="shared" ref="G1092:G1094" si="409">K1092</f>
        <v>64837.8</v>
      </c>
      <c r="H1092" s="103"/>
      <c r="I1092" s="103"/>
      <c r="J1092" s="103"/>
      <c r="K1092" s="103">
        <f>K1093+K1094</f>
        <v>64837.8</v>
      </c>
      <c r="L1092" s="103">
        <f t="shared" ref="L1092:M1092" si="410">L1093+L1094</f>
        <v>65000</v>
      </c>
      <c r="M1092" s="103">
        <f t="shared" si="410"/>
        <v>130000</v>
      </c>
      <c r="N1092" s="703"/>
      <c r="O1092" s="1032"/>
    </row>
    <row r="1093" spans="1:35" ht="24.95" customHeight="1">
      <c r="A1093" s="1036"/>
      <c r="B1093" s="643" t="s">
        <v>10</v>
      </c>
      <c r="C1093" s="62"/>
      <c r="D1093" s="62"/>
      <c r="E1093" s="62"/>
      <c r="F1093" s="62"/>
      <c r="G1093" s="103">
        <f t="shared" si="409"/>
        <v>64837.8</v>
      </c>
      <c r="H1093" s="103"/>
      <c r="I1093" s="103"/>
      <c r="J1093" s="103"/>
      <c r="K1093" s="103">
        <v>64837.8</v>
      </c>
      <c r="L1093" s="103">
        <v>65000</v>
      </c>
      <c r="M1093" s="103">
        <v>130000</v>
      </c>
      <c r="N1093" s="703"/>
      <c r="O1093" s="1032"/>
    </row>
    <row r="1094" spans="1:35" ht="24.95" customHeight="1">
      <c r="A1094" s="1029"/>
      <c r="B1094" s="643" t="s">
        <v>502</v>
      </c>
      <c r="C1094" s="62"/>
      <c r="D1094" s="62"/>
      <c r="E1094" s="62"/>
      <c r="F1094" s="62"/>
      <c r="G1094" s="103">
        <f t="shared" si="409"/>
        <v>0</v>
      </c>
      <c r="H1094" s="103"/>
      <c r="I1094" s="103"/>
      <c r="J1094" s="103"/>
      <c r="K1094" s="103">
        <v>0</v>
      </c>
      <c r="L1094" s="103"/>
      <c r="M1094" s="103"/>
      <c r="N1094" s="703"/>
      <c r="O1094" s="1031"/>
    </row>
    <row r="1095" spans="1:35" ht="24.95" customHeight="1">
      <c r="A1095" s="1028" t="s">
        <v>259</v>
      </c>
      <c r="B1095" s="643" t="s">
        <v>89</v>
      </c>
      <c r="C1095" s="62"/>
      <c r="D1095" s="62"/>
      <c r="E1095" s="62"/>
      <c r="F1095" s="62"/>
      <c r="G1095" s="103">
        <f>K1095</f>
        <v>0</v>
      </c>
      <c r="H1095" s="103"/>
      <c r="I1095" s="103"/>
      <c r="J1095" s="103"/>
      <c r="K1095" s="103">
        <v>0</v>
      </c>
      <c r="L1095" s="103">
        <v>2</v>
      </c>
      <c r="M1095" s="103">
        <v>0</v>
      </c>
      <c r="N1095" s="703"/>
      <c r="O1095" s="1030" t="s">
        <v>631</v>
      </c>
    </row>
    <row r="1096" spans="1:35" ht="24.95" customHeight="1">
      <c r="A1096" s="1036"/>
      <c r="B1096" s="643" t="s">
        <v>25</v>
      </c>
      <c r="C1096" s="62"/>
      <c r="D1096" s="62"/>
      <c r="E1096" s="62"/>
      <c r="F1096" s="62"/>
      <c r="G1096" s="103">
        <f t="shared" ref="G1096:G1098" si="411">K1096</f>
        <v>0</v>
      </c>
      <c r="H1096" s="103"/>
      <c r="I1096" s="103"/>
      <c r="J1096" s="103"/>
      <c r="K1096" s="103">
        <f>K1097+K1098</f>
        <v>0</v>
      </c>
      <c r="L1096" s="103">
        <f t="shared" ref="L1096:M1096" si="412">L1097+L1098</f>
        <v>27000</v>
      </c>
      <c r="M1096" s="103">
        <f t="shared" si="412"/>
        <v>0</v>
      </c>
      <c r="N1096" s="703"/>
      <c r="O1096" s="1032"/>
    </row>
    <row r="1097" spans="1:35" ht="24.95" customHeight="1">
      <c r="A1097" s="1036"/>
      <c r="B1097" s="643" t="s">
        <v>10</v>
      </c>
      <c r="C1097" s="62"/>
      <c r="D1097" s="62"/>
      <c r="E1097" s="62"/>
      <c r="F1097" s="62"/>
      <c r="G1097" s="103">
        <f t="shared" si="411"/>
        <v>0</v>
      </c>
      <c r="H1097" s="103"/>
      <c r="I1097" s="103"/>
      <c r="J1097" s="103"/>
      <c r="K1097" s="103">
        <v>0</v>
      </c>
      <c r="L1097" s="103">
        <v>27000</v>
      </c>
      <c r="M1097" s="103">
        <v>0</v>
      </c>
      <c r="N1097" s="703"/>
      <c r="O1097" s="1032"/>
    </row>
    <row r="1098" spans="1:35" ht="24.95" customHeight="1">
      <c r="A1098" s="1029"/>
      <c r="B1098" s="643" t="s">
        <v>502</v>
      </c>
      <c r="C1098" s="62"/>
      <c r="D1098" s="62"/>
      <c r="E1098" s="62"/>
      <c r="F1098" s="62"/>
      <c r="G1098" s="103">
        <f t="shared" si="411"/>
        <v>0</v>
      </c>
      <c r="H1098" s="103"/>
      <c r="I1098" s="103"/>
      <c r="J1098" s="103"/>
      <c r="K1098" s="103">
        <v>0</v>
      </c>
      <c r="L1098" s="103"/>
      <c r="M1098" s="103"/>
      <c r="N1098" s="703"/>
      <c r="O1098" s="1031"/>
    </row>
    <row r="1099" spans="1:35" ht="31.15" customHeight="1">
      <c r="A1099" s="1055" t="s">
        <v>486</v>
      </c>
      <c r="B1099" s="643" t="s">
        <v>89</v>
      </c>
      <c r="C1099" s="643">
        <v>176</v>
      </c>
      <c r="D1099" s="643" t="s">
        <v>15</v>
      </c>
      <c r="E1099" s="643">
        <v>6100404</v>
      </c>
      <c r="F1099" s="643">
        <v>244</v>
      </c>
      <c r="G1099" s="103">
        <f>J1099</f>
        <v>0</v>
      </c>
      <c r="H1099" s="103"/>
      <c r="I1099" s="103"/>
      <c r="J1099" s="103"/>
      <c r="K1099" s="103"/>
      <c r="L1099" s="103">
        <v>2.9</v>
      </c>
      <c r="M1099" s="103">
        <v>0</v>
      </c>
      <c r="N1099" s="703"/>
      <c r="O1099" s="1037" t="s">
        <v>541</v>
      </c>
    </row>
    <row r="1100" spans="1:35" ht="27" customHeight="1">
      <c r="A1100" s="1055"/>
      <c r="B1100" s="643" t="s">
        <v>248</v>
      </c>
      <c r="C1100" s="643"/>
      <c r="D1100" s="643"/>
      <c r="E1100" s="643"/>
      <c r="F1100" s="643"/>
      <c r="G1100" s="103">
        <f>J1100</f>
        <v>0</v>
      </c>
      <c r="H1100" s="103"/>
      <c r="I1100" s="103"/>
      <c r="J1100" s="103"/>
      <c r="K1100" s="103"/>
      <c r="L1100" s="103">
        <v>37128</v>
      </c>
      <c r="M1100" s="103">
        <v>0</v>
      </c>
      <c r="N1100" s="703"/>
      <c r="O1100" s="1037"/>
    </row>
    <row r="1101" spans="1:35" ht="22.9" customHeight="1">
      <c r="A1101" s="1055" t="s">
        <v>540</v>
      </c>
      <c r="B1101" s="643" t="s">
        <v>89</v>
      </c>
      <c r="C1101" s="643">
        <v>176</v>
      </c>
      <c r="D1101" s="643" t="s">
        <v>15</v>
      </c>
      <c r="E1101" s="643">
        <v>6100404</v>
      </c>
      <c r="F1101" s="643">
        <v>244</v>
      </c>
      <c r="G1101" s="103">
        <f>J1101</f>
        <v>0</v>
      </c>
      <c r="H1101" s="103"/>
      <c r="I1101" s="103"/>
      <c r="J1101" s="103"/>
      <c r="K1101" s="103"/>
      <c r="L1101" s="103">
        <v>5</v>
      </c>
      <c r="M1101" s="103">
        <v>3</v>
      </c>
      <c r="N1101" s="703"/>
      <c r="O1101" s="1037" t="s">
        <v>1018</v>
      </c>
    </row>
    <row r="1102" spans="1:35" ht="24.6" customHeight="1">
      <c r="A1102" s="1055"/>
      <c r="B1102" s="643" t="s">
        <v>248</v>
      </c>
      <c r="C1102" s="643"/>
      <c r="D1102" s="643"/>
      <c r="E1102" s="643"/>
      <c r="F1102" s="643"/>
      <c r="G1102" s="103">
        <f>J1102</f>
        <v>0</v>
      </c>
      <c r="H1102" s="103"/>
      <c r="I1102" s="103"/>
      <c r="J1102" s="103"/>
      <c r="K1102" s="103"/>
      <c r="L1102" s="103">
        <v>60000</v>
      </c>
      <c r="M1102" s="103">
        <v>45000</v>
      </c>
      <c r="N1102" s="703"/>
      <c r="O1102" s="1037"/>
    </row>
    <row r="1103" spans="1:35" ht="24.6" customHeight="1">
      <c r="A1103" s="1062" t="s">
        <v>138</v>
      </c>
      <c r="B1103" s="62" t="s">
        <v>89</v>
      </c>
      <c r="C1103" s="643"/>
      <c r="D1103" s="643"/>
      <c r="E1103" s="643"/>
      <c r="F1103" s="643"/>
      <c r="G1103" s="102">
        <f>G1105+G1107</f>
        <v>5</v>
      </c>
      <c r="H1103" s="102">
        <f t="shared" ref="H1103:M1103" si="413">H1105+H1107</f>
        <v>0</v>
      </c>
      <c r="I1103" s="102">
        <f t="shared" si="413"/>
        <v>0</v>
      </c>
      <c r="J1103" s="102">
        <f t="shared" si="413"/>
        <v>0</v>
      </c>
      <c r="K1103" s="102">
        <f t="shared" si="413"/>
        <v>5</v>
      </c>
      <c r="L1103" s="102">
        <f t="shared" si="413"/>
        <v>8</v>
      </c>
      <c r="M1103" s="102">
        <f t="shared" si="413"/>
        <v>9</v>
      </c>
      <c r="N1103" s="703"/>
      <c r="O1103" s="703"/>
    </row>
    <row r="1104" spans="1:35" ht="24.6" customHeight="1">
      <c r="A1104" s="1063"/>
      <c r="B1104" s="658" t="s">
        <v>248</v>
      </c>
      <c r="C1104" s="639"/>
      <c r="D1104" s="639"/>
      <c r="E1104" s="639"/>
      <c r="F1104" s="639"/>
      <c r="G1104" s="290">
        <f>G1106+G1108</f>
        <v>50461.399999999994</v>
      </c>
      <c r="H1104" s="290">
        <f t="shared" ref="H1104:M1104" si="414">H1106+H1108</f>
        <v>0</v>
      </c>
      <c r="I1104" s="290">
        <f t="shared" si="414"/>
        <v>0</v>
      </c>
      <c r="J1104" s="290">
        <f t="shared" si="414"/>
        <v>0</v>
      </c>
      <c r="K1104" s="290">
        <f t="shared" si="414"/>
        <v>50461.399999999994</v>
      </c>
      <c r="L1104" s="290">
        <f t="shared" si="414"/>
        <v>84323</v>
      </c>
      <c r="M1104" s="290">
        <f t="shared" si="414"/>
        <v>90000</v>
      </c>
      <c r="N1104" s="700"/>
      <c r="O1104" s="703"/>
      <c r="P1104" s="295"/>
      <c r="Q1104" s="295"/>
      <c r="R1104" s="295"/>
      <c r="S1104" s="295"/>
      <c r="T1104" s="295"/>
      <c r="U1104" s="295"/>
      <c r="V1104" s="295"/>
      <c r="W1104" s="295"/>
      <c r="X1104" s="295"/>
      <c r="Y1104" s="295"/>
      <c r="Z1104" s="295"/>
      <c r="AA1104" s="295"/>
      <c r="AB1104" s="295"/>
      <c r="AC1104" s="295"/>
      <c r="AD1104" s="295"/>
      <c r="AE1104" s="295"/>
      <c r="AF1104" s="295"/>
      <c r="AG1104" s="295"/>
      <c r="AH1104" s="295"/>
      <c r="AI1104" s="295"/>
    </row>
    <row r="1105" spans="1:61" s="55" customFormat="1" ht="24.6" customHeight="1">
      <c r="A1105" s="1057" t="s">
        <v>645</v>
      </c>
      <c r="B1105" s="643" t="s">
        <v>89</v>
      </c>
      <c r="C1105" s="643"/>
      <c r="D1105" s="643"/>
      <c r="E1105" s="643"/>
      <c r="F1105" s="643"/>
      <c r="G1105" s="103">
        <f>K1105</f>
        <v>3</v>
      </c>
      <c r="H1105" s="103"/>
      <c r="I1105" s="103"/>
      <c r="J1105" s="103"/>
      <c r="K1105" s="103">
        <v>3</v>
      </c>
      <c r="L1105" s="103">
        <v>3</v>
      </c>
      <c r="M1105" s="103">
        <v>9</v>
      </c>
      <c r="N1105" s="703"/>
      <c r="O1105" s="1037" t="s">
        <v>1019</v>
      </c>
      <c r="P1105" s="295"/>
      <c r="Q1105" s="295"/>
      <c r="R1105" s="295"/>
      <c r="S1105" s="295"/>
      <c r="T1105" s="295"/>
      <c r="U1105" s="295"/>
      <c r="V1105" s="295"/>
      <c r="W1105" s="295"/>
      <c r="X1105" s="295"/>
      <c r="Y1105" s="295"/>
      <c r="Z1105" s="295"/>
      <c r="AA1105" s="295"/>
      <c r="AB1105" s="295"/>
      <c r="AC1105" s="295"/>
      <c r="AD1105" s="295"/>
      <c r="AE1105" s="295"/>
      <c r="AF1105" s="295"/>
      <c r="AG1105" s="295"/>
      <c r="AH1105" s="295"/>
      <c r="AI1105" s="295"/>
      <c r="AJ1105" s="295"/>
      <c r="AK1105" s="295"/>
      <c r="AL1105" s="295"/>
      <c r="AM1105" s="295"/>
      <c r="AN1105" s="295"/>
      <c r="AO1105" s="295"/>
      <c r="AP1105" s="295"/>
      <c r="AQ1105" s="295"/>
      <c r="AR1105" s="295"/>
      <c r="AS1105" s="295"/>
      <c r="AT1105" s="295"/>
      <c r="AU1105" s="295"/>
      <c r="AV1105" s="295"/>
      <c r="AW1105" s="295"/>
      <c r="AX1105" s="295"/>
      <c r="AY1105" s="294"/>
    </row>
    <row r="1106" spans="1:61" s="55" customFormat="1" ht="24.6" customHeight="1">
      <c r="A1106" s="1058"/>
      <c r="B1106" s="643" t="s">
        <v>248</v>
      </c>
      <c r="C1106" s="643"/>
      <c r="D1106" s="643"/>
      <c r="E1106" s="643"/>
      <c r="F1106" s="643"/>
      <c r="G1106" s="103">
        <f>K1106</f>
        <v>30142.6</v>
      </c>
      <c r="H1106" s="103"/>
      <c r="I1106" s="103"/>
      <c r="J1106" s="103"/>
      <c r="K1106" s="103">
        <v>30142.6</v>
      </c>
      <c r="L1106" s="103">
        <v>24323</v>
      </c>
      <c r="M1106" s="103">
        <v>90000</v>
      </c>
      <c r="N1106" s="703"/>
      <c r="O1106" s="1037"/>
      <c r="P1106" s="295"/>
      <c r="Q1106" s="295"/>
      <c r="R1106" s="295"/>
      <c r="S1106" s="295"/>
      <c r="T1106" s="295"/>
      <c r="U1106" s="295"/>
      <c r="V1106" s="295"/>
      <c r="W1106" s="295"/>
      <c r="X1106" s="295"/>
      <c r="Y1106" s="295"/>
      <c r="Z1106" s="295"/>
      <c r="AA1106" s="295"/>
      <c r="AB1106" s="295"/>
      <c r="AC1106" s="295"/>
      <c r="AD1106" s="295"/>
      <c r="AE1106" s="295"/>
      <c r="AF1106" s="295"/>
      <c r="AG1106" s="295"/>
      <c r="AH1106" s="295"/>
      <c r="AI1106" s="295"/>
      <c r="AJ1106" s="295"/>
      <c r="AK1106" s="295"/>
      <c r="AL1106" s="295"/>
      <c r="AM1106" s="295"/>
      <c r="AN1106" s="295"/>
      <c r="AO1106" s="295"/>
      <c r="AP1106" s="295"/>
      <c r="AQ1106" s="295"/>
      <c r="AR1106" s="295"/>
      <c r="AS1106" s="295"/>
      <c r="AT1106" s="295"/>
      <c r="AU1106" s="295"/>
      <c r="AV1106" s="295"/>
      <c r="AW1106" s="295"/>
      <c r="AX1106" s="295"/>
      <c r="AY1106" s="294"/>
    </row>
    <row r="1107" spans="1:61" s="55" customFormat="1" ht="24.6" customHeight="1">
      <c r="A1107" s="1057" t="s">
        <v>646</v>
      </c>
      <c r="B1107" s="643" t="s">
        <v>89</v>
      </c>
      <c r="C1107" s="643"/>
      <c r="D1107" s="643"/>
      <c r="E1107" s="643"/>
      <c r="F1107" s="643"/>
      <c r="G1107" s="103">
        <f>K1107</f>
        <v>2</v>
      </c>
      <c r="H1107" s="103"/>
      <c r="I1107" s="103"/>
      <c r="J1107" s="103"/>
      <c r="K1107" s="103">
        <v>2</v>
      </c>
      <c r="L1107" s="103">
        <v>5</v>
      </c>
      <c r="M1107" s="103">
        <v>0</v>
      </c>
      <c r="N1107" s="703"/>
      <c r="O1107" s="1037" t="s">
        <v>647</v>
      </c>
      <c r="P1107" s="295"/>
      <c r="Q1107" s="295"/>
      <c r="R1107" s="295"/>
      <c r="S1107" s="295"/>
      <c r="T1107" s="295"/>
      <c r="U1107" s="295"/>
      <c r="V1107" s="295"/>
      <c r="W1107" s="295"/>
      <c r="X1107" s="295"/>
      <c r="Y1107" s="295"/>
      <c r="Z1107" s="295"/>
      <c r="AA1107" s="295"/>
      <c r="AB1107" s="295"/>
      <c r="AC1107" s="295"/>
      <c r="AD1107" s="295"/>
      <c r="AE1107" s="295"/>
      <c r="AF1107" s="295"/>
      <c r="AG1107" s="295"/>
      <c r="AH1107" s="295"/>
      <c r="AI1107" s="295"/>
      <c r="AJ1107" s="295"/>
      <c r="AK1107" s="295"/>
      <c r="AL1107" s="295"/>
      <c r="AM1107" s="295"/>
      <c r="AN1107" s="295"/>
      <c r="AO1107" s="295"/>
      <c r="AP1107" s="295"/>
      <c r="AQ1107" s="295"/>
      <c r="AR1107" s="295"/>
      <c r="AS1107" s="295"/>
      <c r="AT1107" s="295"/>
      <c r="AU1107" s="295"/>
      <c r="AV1107" s="295"/>
      <c r="AW1107" s="295"/>
      <c r="AX1107" s="295"/>
      <c r="AY1107" s="294"/>
    </row>
    <row r="1108" spans="1:61" s="55" customFormat="1" ht="27.75" customHeight="1">
      <c r="A1108" s="1058"/>
      <c r="B1108" s="643" t="s">
        <v>248</v>
      </c>
      <c r="C1108" s="62"/>
      <c r="D1108" s="62"/>
      <c r="E1108" s="62"/>
      <c r="F1108" s="62"/>
      <c r="G1108" s="103">
        <f>K1108</f>
        <v>20318.8</v>
      </c>
      <c r="H1108" s="103"/>
      <c r="I1108" s="103"/>
      <c r="J1108" s="103"/>
      <c r="K1108" s="103">
        <v>20318.8</v>
      </c>
      <c r="L1108" s="103">
        <v>60000</v>
      </c>
      <c r="M1108" s="103">
        <v>0</v>
      </c>
      <c r="N1108" s="703"/>
      <c r="O1108" s="1037"/>
      <c r="P1108" s="295"/>
      <c r="Q1108" s="295"/>
      <c r="R1108" s="295"/>
      <c r="S1108" s="295"/>
      <c r="T1108" s="295"/>
      <c r="U1108" s="295"/>
      <c r="V1108" s="295"/>
      <c r="W1108" s="295"/>
      <c r="X1108" s="295"/>
      <c r="Y1108" s="295"/>
      <c r="Z1108" s="295"/>
      <c r="AA1108" s="295"/>
      <c r="AB1108" s="295"/>
      <c r="AC1108" s="295"/>
      <c r="AD1108" s="295"/>
      <c r="AE1108" s="295"/>
      <c r="AF1108" s="295"/>
      <c r="AG1108" s="295"/>
      <c r="AH1108" s="295"/>
      <c r="AI1108" s="295"/>
      <c r="AJ1108" s="295"/>
      <c r="AK1108" s="295"/>
      <c r="AL1108" s="295"/>
      <c r="AM1108" s="295"/>
      <c r="AN1108" s="295"/>
      <c r="AO1108" s="295"/>
      <c r="AP1108" s="295"/>
      <c r="AQ1108" s="295"/>
      <c r="AR1108" s="295"/>
      <c r="AS1108" s="295"/>
      <c r="AT1108" s="295"/>
      <c r="AU1108" s="295"/>
      <c r="AV1108" s="295"/>
      <c r="AW1108" s="295"/>
      <c r="AX1108" s="295"/>
      <c r="AY1108" s="294"/>
    </row>
    <row r="1109" spans="1:61" ht="27" customHeight="1">
      <c r="A1109" s="1062" t="s">
        <v>819</v>
      </c>
      <c r="B1109" s="62" t="s">
        <v>89</v>
      </c>
      <c r="C1109" s="660"/>
      <c r="D1109" s="660"/>
      <c r="E1109" s="660"/>
      <c r="F1109" s="660"/>
      <c r="G1109" s="108">
        <f>G1113</f>
        <v>0</v>
      </c>
      <c r="H1109" s="108">
        <f t="shared" ref="H1109:M1109" si="415">H1113</f>
        <v>0</v>
      </c>
      <c r="I1109" s="108">
        <f t="shared" si="415"/>
        <v>0</v>
      </c>
      <c r="J1109" s="108">
        <f t="shared" si="415"/>
        <v>0</v>
      </c>
      <c r="K1109" s="108">
        <f t="shared" si="415"/>
        <v>0</v>
      </c>
      <c r="L1109" s="108">
        <f t="shared" si="415"/>
        <v>12</v>
      </c>
      <c r="M1109" s="108">
        <f t="shared" si="415"/>
        <v>8</v>
      </c>
      <c r="N1109" s="702"/>
      <c r="O1109" s="708"/>
    </row>
    <row r="1110" spans="1:61" ht="27" customHeight="1">
      <c r="A1110" s="1063"/>
      <c r="B1110" s="62" t="s">
        <v>25</v>
      </c>
      <c r="C1110" s="660"/>
      <c r="D1110" s="660"/>
      <c r="E1110" s="660"/>
      <c r="F1110" s="660"/>
      <c r="G1110" s="108">
        <f>G1111+G1112</f>
        <v>0</v>
      </c>
      <c r="H1110" s="108">
        <f t="shared" ref="H1110:M1110" si="416">H1111+H1112</f>
        <v>0</v>
      </c>
      <c r="I1110" s="108">
        <f t="shared" si="416"/>
        <v>0</v>
      </c>
      <c r="J1110" s="108">
        <f t="shared" si="416"/>
        <v>0</v>
      </c>
      <c r="K1110" s="108">
        <f t="shared" si="416"/>
        <v>0</v>
      </c>
      <c r="L1110" s="108">
        <f t="shared" si="416"/>
        <v>150104.4</v>
      </c>
      <c r="M1110" s="108">
        <f t="shared" si="416"/>
        <v>130000</v>
      </c>
      <c r="N1110" s="702"/>
      <c r="O1110" s="708"/>
    </row>
    <row r="1111" spans="1:61" ht="27" customHeight="1">
      <c r="A1111" s="1063"/>
      <c r="B1111" s="62" t="s">
        <v>10</v>
      </c>
      <c r="C1111" s="660"/>
      <c r="D1111" s="660"/>
      <c r="E1111" s="660"/>
      <c r="F1111" s="660"/>
      <c r="G1111" s="108">
        <f>G1115</f>
        <v>0</v>
      </c>
      <c r="H1111" s="108">
        <f t="shared" ref="H1111:M1111" si="417">H1115</f>
        <v>0</v>
      </c>
      <c r="I1111" s="108">
        <f t="shared" si="417"/>
        <v>0</v>
      </c>
      <c r="J1111" s="108">
        <f t="shared" si="417"/>
        <v>0</v>
      </c>
      <c r="K1111" s="108">
        <f t="shared" si="417"/>
        <v>0</v>
      </c>
      <c r="L1111" s="108">
        <f t="shared" si="417"/>
        <v>150104.4</v>
      </c>
      <c r="M1111" s="108">
        <f t="shared" si="417"/>
        <v>130000</v>
      </c>
      <c r="N1111" s="702"/>
      <c r="O1111" s="708"/>
    </row>
    <row r="1112" spans="1:61" s="45" customFormat="1" ht="27.6" customHeight="1">
      <c r="A1112" s="1064"/>
      <c r="B1112" s="62" t="s">
        <v>502</v>
      </c>
      <c r="C1112" s="62"/>
      <c r="D1112" s="62"/>
      <c r="E1112" s="62"/>
      <c r="F1112" s="62"/>
      <c r="G1112" s="102">
        <f>G1116</f>
        <v>0</v>
      </c>
      <c r="H1112" s="102">
        <f t="shared" ref="H1112:M1112" si="418">H1116</f>
        <v>0</v>
      </c>
      <c r="I1112" s="102">
        <f t="shared" si="418"/>
        <v>0</v>
      </c>
      <c r="J1112" s="102">
        <f t="shared" si="418"/>
        <v>0</v>
      </c>
      <c r="K1112" s="102">
        <f t="shared" si="418"/>
        <v>0</v>
      </c>
      <c r="L1112" s="102">
        <f t="shared" si="418"/>
        <v>0</v>
      </c>
      <c r="M1112" s="102">
        <f t="shared" si="418"/>
        <v>0</v>
      </c>
      <c r="N1112" s="703"/>
      <c r="O1112" s="709"/>
      <c r="AJ1112" s="113"/>
      <c r="AK1112" s="113"/>
      <c r="AL1112" s="113"/>
      <c r="AM1112" s="113"/>
      <c r="AN1112" s="113"/>
      <c r="AO1112" s="113"/>
      <c r="AP1112" s="113"/>
      <c r="AQ1112" s="113"/>
      <c r="AR1112" s="113"/>
      <c r="AS1112" s="113"/>
      <c r="AT1112" s="113"/>
      <c r="AU1112" s="113"/>
      <c r="AV1112" s="113"/>
      <c r="AW1112" s="113"/>
      <c r="AX1112" s="113"/>
      <c r="AY1112" s="113"/>
      <c r="AZ1112" s="113"/>
      <c r="BA1112" s="113"/>
      <c r="BB1112" s="113"/>
      <c r="BC1112" s="113"/>
      <c r="BD1112" s="113"/>
      <c r="BE1112" s="113"/>
      <c r="BF1112" s="113"/>
      <c r="BG1112" s="113"/>
      <c r="BH1112" s="113"/>
      <c r="BI1112" s="113"/>
    </row>
    <row r="1113" spans="1:61" s="45" customFormat="1" ht="24.6" customHeight="1">
      <c r="A1113" s="1039" t="s">
        <v>227</v>
      </c>
      <c r="B1113" s="643" t="s">
        <v>89</v>
      </c>
      <c r="C1113" s="643">
        <v>176</v>
      </c>
      <c r="D1113" s="643" t="s">
        <v>15</v>
      </c>
      <c r="E1113" s="643">
        <v>6100404</v>
      </c>
      <c r="F1113" s="643">
        <v>244</v>
      </c>
      <c r="G1113" s="103">
        <f>K1113</f>
        <v>0</v>
      </c>
      <c r="H1113" s="103"/>
      <c r="I1113" s="103"/>
      <c r="J1113" s="103"/>
      <c r="K1113" s="103">
        <v>0</v>
      </c>
      <c r="L1113" s="103">
        <v>12</v>
      </c>
      <c r="M1113" s="103">
        <v>8</v>
      </c>
      <c r="N1113" s="703"/>
      <c r="O1113" s="1037" t="s">
        <v>1016</v>
      </c>
      <c r="AJ1113" s="113"/>
      <c r="AK1113" s="113"/>
      <c r="AL1113" s="113"/>
      <c r="AM1113" s="113"/>
      <c r="AN1113" s="113"/>
      <c r="AO1113" s="113"/>
      <c r="AP1113" s="113"/>
      <c r="AQ1113" s="113"/>
      <c r="AR1113" s="113"/>
      <c r="AS1113" s="113"/>
      <c r="AT1113" s="113"/>
      <c r="AU1113" s="113"/>
      <c r="AV1113" s="113"/>
      <c r="AW1113" s="113"/>
      <c r="AX1113" s="113"/>
      <c r="AY1113" s="113"/>
      <c r="AZ1113" s="113"/>
      <c r="BA1113" s="113"/>
      <c r="BB1113" s="113"/>
      <c r="BC1113" s="113"/>
      <c r="BD1113" s="113"/>
      <c r="BE1113" s="113"/>
      <c r="BF1113" s="113"/>
      <c r="BG1113" s="113"/>
      <c r="BH1113" s="113"/>
      <c r="BI1113" s="113"/>
    </row>
    <row r="1114" spans="1:61" s="45" customFormat="1" ht="24.6" customHeight="1">
      <c r="A1114" s="1039"/>
      <c r="B1114" s="643" t="s">
        <v>25</v>
      </c>
      <c r="C1114" s="643"/>
      <c r="D1114" s="643"/>
      <c r="E1114" s="643"/>
      <c r="F1114" s="643"/>
      <c r="G1114" s="103">
        <f t="shared" ref="G1114:G1116" si="419">K1114</f>
        <v>0</v>
      </c>
      <c r="H1114" s="103"/>
      <c r="I1114" s="103"/>
      <c r="J1114" s="103"/>
      <c r="K1114" s="103">
        <f>K1115+K1116</f>
        <v>0</v>
      </c>
      <c r="L1114" s="103">
        <f t="shared" ref="L1114:M1114" si="420">L1115+L1116</f>
        <v>150104.4</v>
      </c>
      <c r="M1114" s="103">
        <f t="shared" si="420"/>
        <v>130000</v>
      </c>
      <c r="N1114" s="703"/>
      <c r="O1114" s="1037"/>
      <c r="AJ1114" s="113"/>
      <c r="AK1114" s="113"/>
      <c r="AL1114" s="113"/>
      <c r="AM1114" s="113"/>
      <c r="AN1114" s="113"/>
      <c r="AO1114" s="113"/>
      <c r="AP1114" s="113"/>
      <c r="AQ1114" s="113"/>
      <c r="AR1114" s="113"/>
      <c r="AS1114" s="113"/>
      <c r="AT1114" s="113"/>
      <c r="AU1114" s="113"/>
      <c r="AV1114" s="113"/>
      <c r="AW1114" s="113"/>
      <c r="AX1114" s="113"/>
      <c r="AY1114" s="113"/>
      <c r="AZ1114" s="113"/>
      <c r="BA1114" s="113"/>
      <c r="BB1114" s="113"/>
      <c r="BC1114" s="113"/>
      <c r="BD1114" s="113"/>
      <c r="BE1114" s="113"/>
      <c r="BF1114" s="113"/>
      <c r="BG1114" s="113"/>
      <c r="BH1114" s="113"/>
      <c r="BI1114" s="113"/>
    </row>
    <row r="1115" spans="1:61" s="45" customFormat="1" ht="24.6" customHeight="1">
      <c r="A1115" s="1039"/>
      <c r="B1115" s="643" t="s">
        <v>10</v>
      </c>
      <c r="C1115" s="643"/>
      <c r="D1115" s="643"/>
      <c r="E1115" s="643"/>
      <c r="F1115" s="643"/>
      <c r="G1115" s="103">
        <f t="shared" si="419"/>
        <v>0</v>
      </c>
      <c r="H1115" s="103"/>
      <c r="I1115" s="103"/>
      <c r="J1115" s="103"/>
      <c r="K1115" s="103">
        <v>0</v>
      </c>
      <c r="L1115" s="103">
        <v>150104.4</v>
      </c>
      <c r="M1115" s="103">
        <v>130000</v>
      </c>
      <c r="N1115" s="703"/>
      <c r="O1115" s="1037"/>
      <c r="AJ1115" s="113"/>
      <c r="AK1115" s="113"/>
      <c r="AL1115" s="113"/>
      <c r="AM1115" s="113"/>
      <c r="AN1115" s="113"/>
      <c r="AO1115" s="113"/>
      <c r="AP1115" s="113"/>
      <c r="AQ1115" s="113"/>
      <c r="AR1115" s="113"/>
      <c r="AS1115" s="113"/>
      <c r="AT1115" s="113"/>
      <c r="AU1115" s="113"/>
      <c r="AV1115" s="113"/>
      <c r="AW1115" s="113"/>
      <c r="AX1115" s="113"/>
      <c r="AY1115" s="113"/>
      <c r="AZ1115" s="113"/>
      <c r="BA1115" s="113"/>
      <c r="BB1115" s="113"/>
      <c r="BC1115" s="113"/>
      <c r="BD1115" s="113"/>
      <c r="BE1115" s="113"/>
      <c r="BF1115" s="113"/>
      <c r="BG1115" s="113"/>
      <c r="BH1115" s="113"/>
      <c r="BI1115" s="113"/>
    </row>
    <row r="1116" spans="1:61" ht="24.6" customHeight="1">
      <c r="A1116" s="1039"/>
      <c r="B1116" s="643" t="s">
        <v>502</v>
      </c>
      <c r="C1116" s="643"/>
      <c r="D1116" s="643"/>
      <c r="E1116" s="643"/>
      <c r="F1116" s="643"/>
      <c r="G1116" s="103">
        <f t="shared" si="419"/>
        <v>0</v>
      </c>
      <c r="H1116" s="103"/>
      <c r="I1116" s="103"/>
      <c r="J1116" s="103"/>
      <c r="K1116" s="103"/>
      <c r="L1116" s="103"/>
      <c r="M1116" s="103"/>
      <c r="N1116" s="703"/>
      <c r="O1116" s="1037"/>
    </row>
    <row r="1117" spans="1:61" ht="24.6" customHeight="1">
      <c r="A1117" s="1038" t="s">
        <v>140</v>
      </c>
      <c r="B1117" s="62" t="s">
        <v>89</v>
      </c>
      <c r="C1117" s="62"/>
      <c r="D1117" s="62"/>
      <c r="E1117" s="62"/>
      <c r="F1117" s="62"/>
      <c r="G1117" s="102">
        <f>G1121+G1125</f>
        <v>0</v>
      </c>
      <c r="H1117" s="102">
        <f t="shared" ref="H1117:M1117" si="421">H1121+H1125</f>
        <v>0</v>
      </c>
      <c r="I1117" s="102">
        <f t="shared" si="421"/>
        <v>0</v>
      </c>
      <c r="J1117" s="102">
        <f t="shared" si="421"/>
        <v>0</v>
      </c>
      <c r="K1117" s="102">
        <f t="shared" si="421"/>
        <v>0</v>
      </c>
      <c r="L1117" s="102">
        <f t="shared" si="421"/>
        <v>11.3</v>
      </c>
      <c r="M1117" s="102">
        <f t="shared" si="421"/>
        <v>7.8</v>
      </c>
      <c r="N1117" s="703"/>
      <c r="O1117" s="709"/>
    </row>
    <row r="1118" spans="1:61" ht="24.6" customHeight="1">
      <c r="A1118" s="1038"/>
      <c r="B1118" s="62" t="s">
        <v>25</v>
      </c>
      <c r="C1118" s="62"/>
      <c r="D1118" s="62"/>
      <c r="E1118" s="62"/>
      <c r="F1118" s="62"/>
      <c r="G1118" s="102">
        <f>G1119+G1120</f>
        <v>0</v>
      </c>
      <c r="H1118" s="102">
        <f t="shared" ref="H1118:M1118" si="422">H1119+H1120</f>
        <v>0</v>
      </c>
      <c r="I1118" s="102">
        <f t="shared" si="422"/>
        <v>0</v>
      </c>
      <c r="J1118" s="102">
        <f t="shared" si="422"/>
        <v>0</v>
      </c>
      <c r="K1118" s="102">
        <f t="shared" si="422"/>
        <v>0</v>
      </c>
      <c r="L1118" s="102">
        <f t="shared" si="422"/>
        <v>145000</v>
      </c>
      <c r="M1118" s="102">
        <f t="shared" si="422"/>
        <v>124920</v>
      </c>
      <c r="N1118" s="703"/>
      <c r="O1118" s="709"/>
    </row>
    <row r="1119" spans="1:61" ht="24.6" customHeight="1">
      <c r="A1119" s="1038"/>
      <c r="B1119" s="62" t="s">
        <v>10</v>
      </c>
      <c r="C1119" s="62"/>
      <c r="D1119" s="62"/>
      <c r="E1119" s="62"/>
      <c r="F1119" s="62"/>
      <c r="G1119" s="102">
        <f>G1123+G1127</f>
        <v>0</v>
      </c>
      <c r="H1119" s="102">
        <f t="shared" ref="H1119:M1119" si="423">H1123+H1127</f>
        <v>0</v>
      </c>
      <c r="I1119" s="102">
        <f t="shared" si="423"/>
        <v>0</v>
      </c>
      <c r="J1119" s="102">
        <f t="shared" si="423"/>
        <v>0</v>
      </c>
      <c r="K1119" s="102">
        <f t="shared" si="423"/>
        <v>0</v>
      </c>
      <c r="L1119" s="102">
        <f t="shared" si="423"/>
        <v>145000</v>
      </c>
      <c r="M1119" s="102">
        <f t="shared" si="423"/>
        <v>124920</v>
      </c>
      <c r="N1119" s="703"/>
      <c r="O1119" s="709"/>
    </row>
    <row r="1120" spans="1:61" ht="24.95" customHeight="1">
      <c r="A1120" s="1038"/>
      <c r="B1120" s="62" t="s">
        <v>502</v>
      </c>
      <c r="C1120" s="62"/>
      <c r="D1120" s="62"/>
      <c r="E1120" s="62"/>
      <c r="F1120" s="62"/>
      <c r="G1120" s="102">
        <f>G1124+G1128</f>
        <v>0</v>
      </c>
      <c r="H1120" s="102">
        <f t="shared" ref="H1120:M1120" si="424">H1124+H1128</f>
        <v>0</v>
      </c>
      <c r="I1120" s="102">
        <f t="shared" si="424"/>
        <v>0</v>
      </c>
      <c r="J1120" s="102">
        <f t="shared" si="424"/>
        <v>0</v>
      </c>
      <c r="K1120" s="102">
        <f t="shared" si="424"/>
        <v>0</v>
      </c>
      <c r="L1120" s="102">
        <f t="shared" si="424"/>
        <v>0</v>
      </c>
      <c r="M1120" s="102">
        <f t="shared" si="424"/>
        <v>0</v>
      </c>
      <c r="N1120" s="703"/>
      <c r="O1120" s="709"/>
    </row>
    <row r="1121" spans="1:67" ht="24.95" hidden="1" customHeight="1">
      <c r="A1121" s="1028" t="s">
        <v>542</v>
      </c>
      <c r="B1121" s="643" t="s">
        <v>89</v>
      </c>
      <c r="C1121" s="643">
        <v>176</v>
      </c>
      <c r="D1121" s="643" t="s">
        <v>15</v>
      </c>
      <c r="E1121" s="643">
        <v>6100404</v>
      </c>
      <c r="F1121" s="643">
        <v>244</v>
      </c>
      <c r="G1121" s="103">
        <f>K1121</f>
        <v>0</v>
      </c>
      <c r="H1121" s="103"/>
      <c r="I1121" s="103"/>
      <c r="J1121" s="103"/>
      <c r="K1121" s="103">
        <v>0</v>
      </c>
      <c r="L1121" s="103">
        <v>0</v>
      </c>
      <c r="M1121" s="103"/>
      <c r="N1121" s="703"/>
      <c r="O1121" s="1030" t="s">
        <v>543</v>
      </c>
    </row>
    <row r="1122" spans="1:67" ht="24.95" hidden="1" customHeight="1">
      <c r="A1122" s="1036"/>
      <c r="B1122" s="643" t="s">
        <v>25</v>
      </c>
      <c r="C1122" s="643"/>
      <c r="D1122" s="643"/>
      <c r="E1122" s="643"/>
      <c r="F1122" s="643"/>
      <c r="G1122" s="103">
        <f t="shared" ref="G1122:G1124" si="425">K1122</f>
        <v>0</v>
      </c>
      <c r="H1122" s="103"/>
      <c r="I1122" s="103"/>
      <c r="J1122" s="103"/>
      <c r="K1122" s="103">
        <f>K1123+K1124</f>
        <v>0</v>
      </c>
      <c r="L1122" s="103">
        <f t="shared" ref="L1122:M1122" si="426">L1123+L1124</f>
        <v>0</v>
      </c>
      <c r="M1122" s="103">
        <f t="shared" si="426"/>
        <v>0</v>
      </c>
      <c r="N1122" s="703"/>
      <c r="O1122" s="1032"/>
    </row>
    <row r="1123" spans="1:67" ht="24.95" hidden="1" customHeight="1">
      <c r="A1123" s="1036"/>
      <c r="B1123" s="643" t="s">
        <v>10</v>
      </c>
      <c r="C1123" s="643"/>
      <c r="D1123" s="643"/>
      <c r="E1123" s="643"/>
      <c r="F1123" s="643"/>
      <c r="G1123" s="103">
        <f t="shared" si="425"/>
        <v>0</v>
      </c>
      <c r="H1123" s="103"/>
      <c r="I1123" s="103"/>
      <c r="J1123" s="103"/>
      <c r="K1123" s="103">
        <v>0</v>
      </c>
      <c r="L1123" s="103">
        <v>0</v>
      </c>
      <c r="M1123" s="103"/>
      <c r="N1123" s="703"/>
      <c r="O1123" s="1032"/>
    </row>
    <row r="1124" spans="1:67" ht="24.95" hidden="1" customHeight="1">
      <c r="A1124" s="1029"/>
      <c r="B1124" s="643" t="s">
        <v>502</v>
      </c>
      <c r="C1124" s="643"/>
      <c r="D1124" s="643"/>
      <c r="E1124" s="643"/>
      <c r="F1124" s="643"/>
      <c r="G1124" s="103">
        <f t="shared" si="425"/>
        <v>0</v>
      </c>
      <c r="H1124" s="103"/>
      <c r="I1124" s="103"/>
      <c r="J1124" s="103"/>
      <c r="K1124" s="103">
        <v>0</v>
      </c>
      <c r="L1124" s="103"/>
      <c r="M1124" s="103"/>
      <c r="N1124" s="703"/>
      <c r="O1124" s="1031"/>
    </row>
    <row r="1125" spans="1:67" ht="24.95" customHeight="1">
      <c r="A1125" s="1028" t="s">
        <v>617</v>
      </c>
      <c r="B1125" s="643" t="s">
        <v>89</v>
      </c>
      <c r="C1125" s="643"/>
      <c r="D1125" s="643"/>
      <c r="E1125" s="643"/>
      <c r="F1125" s="643"/>
      <c r="G1125" s="103">
        <f>K1125</f>
        <v>0</v>
      </c>
      <c r="H1125" s="103"/>
      <c r="I1125" s="103"/>
      <c r="J1125" s="103"/>
      <c r="K1125" s="103">
        <v>0</v>
      </c>
      <c r="L1125" s="103">
        <v>11.3</v>
      </c>
      <c r="M1125" s="103">
        <v>7.8</v>
      </c>
      <c r="N1125" s="703"/>
      <c r="O1125" s="1030" t="s">
        <v>1020</v>
      </c>
    </row>
    <row r="1126" spans="1:67" ht="24.95" customHeight="1">
      <c r="A1126" s="1036"/>
      <c r="B1126" s="643" t="s">
        <v>25</v>
      </c>
      <c r="C1126" s="643"/>
      <c r="D1126" s="643"/>
      <c r="E1126" s="643"/>
      <c r="F1126" s="643"/>
      <c r="G1126" s="103">
        <f t="shared" ref="G1126:G1128" si="427">K1126</f>
        <v>0</v>
      </c>
      <c r="H1126" s="103"/>
      <c r="I1126" s="103"/>
      <c r="J1126" s="103"/>
      <c r="K1126" s="103">
        <f>K1127+K1128</f>
        <v>0</v>
      </c>
      <c r="L1126" s="103">
        <f t="shared" ref="L1126:M1126" si="428">L1127+L1128</f>
        <v>145000</v>
      </c>
      <c r="M1126" s="103">
        <f t="shared" si="428"/>
        <v>124920</v>
      </c>
      <c r="N1126" s="703"/>
      <c r="O1126" s="1032"/>
    </row>
    <row r="1127" spans="1:67" ht="24.95" customHeight="1">
      <c r="A1127" s="1036"/>
      <c r="B1127" s="643" t="s">
        <v>10</v>
      </c>
      <c r="C1127" s="643"/>
      <c r="D1127" s="643"/>
      <c r="E1127" s="643"/>
      <c r="F1127" s="643"/>
      <c r="G1127" s="103">
        <f t="shared" si="427"/>
        <v>0</v>
      </c>
      <c r="H1127" s="103"/>
      <c r="I1127" s="103"/>
      <c r="J1127" s="103"/>
      <c r="K1127" s="103">
        <v>0</v>
      </c>
      <c r="L1127" s="103">
        <v>145000</v>
      </c>
      <c r="M1127" s="103">
        <v>124920</v>
      </c>
      <c r="N1127" s="703"/>
      <c r="O1127" s="1032"/>
    </row>
    <row r="1128" spans="1:67" ht="24.75" customHeight="1">
      <c r="A1128" s="1029"/>
      <c r="B1128" s="643" t="s">
        <v>502</v>
      </c>
      <c r="C1128" s="643"/>
      <c r="D1128" s="643"/>
      <c r="E1128" s="643"/>
      <c r="F1128" s="643"/>
      <c r="G1128" s="103">
        <f t="shared" si="427"/>
        <v>0</v>
      </c>
      <c r="H1128" s="103"/>
      <c r="I1128" s="103"/>
      <c r="J1128" s="103"/>
      <c r="K1128" s="103">
        <v>0</v>
      </c>
      <c r="L1128" s="103"/>
      <c r="M1128" s="103"/>
      <c r="N1128" s="703"/>
      <c r="O1128" s="1031"/>
    </row>
    <row r="1129" spans="1:67" ht="23.45" customHeight="1">
      <c r="A1129" s="985" t="s">
        <v>141</v>
      </c>
      <c r="B1129" s="62" t="s">
        <v>89</v>
      </c>
      <c r="C1129" s="62"/>
      <c r="D1129" s="62"/>
      <c r="E1129" s="62"/>
      <c r="F1129" s="62"/>
      <c r="G1129" s="102">
        <f>G1131+G1133</f>
        <v>4.8</v>
      </c>
      <c r="H1129" s="102">
        <f t="shared" ref="H1129:M1129" si="429">H1131+H1133</f>
        <v>0</v>
      </c>
      <c r="I1129" s="102">
        <f t="shared" si="429"/>
        <v>0</v>
      </c>
      <c r="J1129" s="102">
        <f t="shared" si="429"/>
        <v>0</v>
      </c>
      <c r="K1129" s="102">
        <f t="shared" si="429"/>
        <v>4.8</v>
      </c>
      <c r="L1129" s="102">
        <f t="shared" si="429"/>
        <v>3</v>
      </c>
      <c r="M1129" s="102">
        <f t="shared" si="429"/>
        <v>10</v>
      </c>
      <c r="N1129" s="703"/>
      <c r="O1129" s="703"/>
    </row>
    <row r="1130" spans="1:67" ht="24">
      <c r="A1130" s="986"/>
      <c r="B1130" s="658" t="s">
        <v>248</v>
      </c>
      <c r="C1130" s="658"/>
      <c r="D1130" s="658"/>
      <c r="E1130" s="658"/>
      <c r="F1130" s="658"/>
      <c r="G1130" s="290">
        <f>G1132+G1134</f>
        <v>29357.599999999999</v>
      </c>
      <c r="H1130" s="290">
        <f t="shared" ref="H1130:M1130" si="430">H1132+H1134</f>
        <v>0</v>
      </c>
      <c r="I1130" s="290">
        <f t="shared" si="430"/>
        <v>0</v>
      </c>
      <c r="J1130" s="290">
        <f t="shared" si="430"/>
        <v>0</v>
      </c>
      <c r="K1130" s="290">
        <f t="shared" si="430"/>
        <v>29357.599999999999</v>
      </c>
      <c r="L1130" s="290">
        <f t="shared" si="430"/>
        <v>40000</v>
      </c>
      <c r="M1130" s="290">
        <f t="shared" si="430"/>
        <v>160000</v>
      </c>
      <c r="N1130" s="700"/>
      <c r="O1130" s="703"/>
      <c r="P1130" s="295"/>
      <c r="Q1130" s="295"/>
      <c r="R1130" s="295"/>
      <c r="S1130" s="295"/>
      <c r="T1130" s="295"/>
      <c r="U1130" s="295"/>
      <c r="V1130" s="295"/>
      <c r="W1130" s="295"/>
      <c r="X1130" s="295"/>
      <c r="Y1130" s="295"/>
      <c r="Z1130" s="295"/>
      <c r="AA1130" s="295"/>
      <c r="AB1130" s="295"/>
      <c r="AC1130" s="295"/>
      <c r="AD1130" s="295"/>
      <c r="AE1130" s="295"/>
      <c r="AF1130" s="295"/>
      <c r="AG1130" s="295"/>
      <c r="AH1130" s="295"/>
      <c r="AI1130" s="295"/>
      <c r="BJ1130" s="295"/>
      <c r="BK1130" s="295"/>
      <c r="BL1130" s="295"/>
      <c r="BM1130" s="295"/>
      <c r="BN1130" s="295"/>
    </row>
    <row r="1131" spans="1:67" s="55" customFormat="1" ht="26.45" customHeight="1">
      <c r="A1131" s="1039" t="s">
        <v>648</v>
      </c>
      <c r="B1131" s="643" t="s">
        <v>89</v>
      </c>
      <c r="C1131" s="643"/>
      <c r="D1131" s="643"/>
      <c r="E1131" s="643"/>
      <c r="F1131" s="643"/>
      <c r="G1131" s="103">
        <f>K1131</f>
        <v>4.8</v>
      </c>
      <c r="H1131" s="103"/>
      <c r="I1131" s="103"/>
      <c r="J1131" s="103"/>
      <c r="K1131" s="103">
        <v>4.8</v>
      </c>
      <c r="L1131" s="103">
        <v>0</v>
      </c>
      <c r="M1131" s="103"/>
      <c r="N1131" s="703"/>
      <c r="O1131" s="1030" t="s">
        <v>650</v>
      </c>
      <c r="P1131" s="295"/>
      <c r="Q1131" s="295"/>
      <c r="R1131" s="295"/>
      <c r="S1131" s="295"/>
      <c r="T1131" s="295"/>
      <c r="U1131" s="295"/>
      <c r="V1131" s="295"/>
      <c r="W1131" s="295"/>
      <c r="X1131" s="295"/>
      <c r="Y1131" s="295"/>
      <c r="Z1131" s="295"/>
      <c r="AA1131" s="295"/>
      <c r="AB1131" s="295"/>
      <c r="AC1131" s="295"/>
      <c r="AD1131" s="295"/>
      <c r="AE1131" s="295"/>
      <c r="AF1131" s="295"/>
      <c r="AG1131" s="295"/>
      <c r="AH1131" s="294"/>
      <c r="AI1131" s="350"/>
      <c r="AJ1131" s="295"/>
      <c r="AK1131" s="295"/>
      <c r="AL1131" s="295"/>
      <c r="AM1131" s="295"/>
      <c r="AN1131" s="295"/>
      <c r="AO1131" s="295"/>
      <c r="AP1131" s="295"/>
      <c r="AQ1131" s="295"/>
      <c r="AR1131" s="295"/>
      <c r="AS1131" s="295"/>
      <c r="AT1131" s="295"/>
      <c r="AU1131" s="295"/>
      <c r="AV1131" s="295"/>
      <c r="AW1131" s="295"/>
      <c r="AX1131" s="295"/>
      <c r="AY1131" s="295"/>
      <c r="AZ1131" s="295"/>
      <c r="BA1131" s="295"/>
      <c r="BB1131" s="295"/>
      <c r="BC1131" s="295"/>
      <c r="BD1131" s="295"/>
      <c r="BE1131" s="295"/>
      <c r="BF1131" s="295"/>
      <c r="BG1131" s="295"/>
      <c r="BH1131" s="295"/>
      <c r="BI1131" s="295"/>
      <c r="BJ1131" s="295"/>
      <c r="BK1131" s="295"/>
      <c r="BL1131" s="295"/>
      <c r="BM1131" s="295"/>
      <c r="BN1131" s="295"/>
      <c r="BO1131" s="294"/>
    </row>
    <row r="1132" spans="1:67" s="55" customFormat="1" ht="26.45" customHeight="1">
      <c r="A1132" s="1039"/>
      <c r="B1132" s="639" t="s">
        <v>248</v>
      </c>
      <c r="C1132" s="643"/>
      <c r="D1132" s="643"/>
      <c r="E1132" s="643"/>
      <c r="F1132" s="643"/>
      <c r="G1132" s="103">
        <f>K1132</f>
        <v>29357.599999999999</v>
      </c>
      <c r="H1132" s="103"/>
      <c r="I1132" s="103"/>
      <c r="J1132" s="103"/>
      <c r="K1132" s="103">
        <v>29357.599999999999</v>
      </c>
      <c r="L1132" s="103">
        <v>0</v>
      </c>
      <c r="M1132" s="103"/>
      <c r="N1132" s="703"/>
      <c r="O1132" s="1031"/>
      <c r="P1132" s="295"/>
      <c r="Q1132" s="295"/>
      <c r="R1132" s="295"/>
      <c r="S1132" s="295"/>
      <c r="T1132" s="295"/>
      <c r="U1132" s="295"/>
      <c r="V1132" s="295"/>
      <c r="W1132" s="295"/>
      <c r="X1132" s="295"/>
      <c r="Y1132" s="295"/>
      <c r="Z1132" s="295"/>
      <c r="AA1132" s="295"/>
      <c r="AB1132" s="295"/>
      <c r="AC1132" s="295"/>
      <c r="AD1132" s="295"/>
      <c r="AE1132" s="295"/>
      <c r="AF1132" s="295"/>
      <c r="AG1132" s="295"/>
      <c r="AH1132" s="294"/>
      <c r="AI1132" s="350"/>
      <c r="AJ1132" s="295"/>
      <c r="AK1132" s="295"/>
      <c r="AL1132" s="295"/>
      <c r="AM1132" s="295"/>
      <c r="AN1132" s="295"/>
      <c r="AO1132" s="295"/>
      <c r="AP1132" s="295"/>
      <c r="AQ1132" s="295"/>
      <c r="AR1132" s="295"/>
      <c r="AS1132" s="295"/>
      <c r="AT1132" s="295"/>
      <c r="AU1132" s="295"/>
      <c r="AV1132" s="295"/>
      <c r="AW1132" s="295"/>
      <c r="AX1132" s="295"/>
      <c r="AY1132" s="295"/>
      <c r="AZ1132" s="295"/>
      <c r="BA1132" s="295"/>
      <c r="BB1132" s="295"/>
      <c r="BC1132" s="295"/>
      <c r="BD1132" s="295"/>
      <c r="BE1132" s="295"/>
      <c r="BF1132" s="295"/>
      <c r="BG1132" s="295"/>
      <c r="BH1132" s="295"/>
      <c r="BI1132" s="295"/>
      <c r="BJ1132" s="295"/>
      <c r="BK1132" s="295"/>
      <c r="BL1132" s="295"/>
      <c r="BM1132" s="295"/>
      <c r="BN1132" s="295"/>
      <c r="BO1132" s="294"/>
    </row>
    <row r="1133" spans="1:67" s="55" customFormat="1" ht="26.45" customHeight="1">
      <c r="A1133" s="1028" t="s">
        <v>649</v>
      </c>
      <c r="B1133" s="643" t="s">
        <v>89</v>
      </c>
      <c r="C1133" s="643"/>
      <c r="D1133" s="643"/>
      <c r="E1133" s="643"/>
      <c r="F1133" s="643"/>
      <c r="G1133" s="103"/>
      <c r="H1133" s="103"/>
      <c r="I1133" s="103"/>
      <c r="J1133" s="103"/>
      <c r="K1133" s="103"/>
      <c r="L1133" s="103">
        <v>3</v>
      </c>
      <c r="M1133" s="103">
        <v>10</v>
      </c>
      <c r="N1133" s="703"/>
      <c r="O1133" s="1030" t="s">
        <v>1021</v>
      </c>
      <c r="P1133" s="295"/>
      <c r="Q1133" s="295"/>
      <c r="R1133" s="295"/>
      <c r="S1133" s="295"/>
      <c r="T1133" s="295"/>
      <c r="U1133" s="295"/>
      <c r="V1133" s="295"/>
      <c r="W1133" s="295"/>
      <c r="X1133" s="295"/>
      <c r="Y1133" s="295"/>
      <c r="Z1133" s="295"/>
      <c r="AA1133" s="295"/>
      <c r="AB1133" s="295"/>
      <c r="AC1133" s="295"/>
      <c r="AD1133" s="295"/>
      <c r="AE1133" s="295"/>
      <c r="AF1133" s="295"/>
      <c r="AG1133" s="295"/>
      <c r="AH1133" s="294"/>
      <c r="AI1133" s="350"/>
      <c r="AJ1133" s="295"/>
      <c r="AK1133" s="295"/>
      <c r="AL1133" s="295"/>
      <c r="AM1133" s="295"/>
      <c r="AN1133" s="295"/>
      <c r="AO1133" s="295"/>
      <c r="AP1133" s="295"/>
      <c r="AQ1133" s="295"/>
      <c r="AR1133" s="295"/>
      <c r="AS1133" s="295"/>
      <c r="AT1133" s="295"/>
      <c r="AU1133" s="295"/>
      <c r="AV1133" s="295"/>
      <c r="AW1133" s="295"/>
      <c r="AX1133" s="295"/>
      <c r="AY1133" s="295"/>
      <c r="AZ1133" s="295"/>
      <c r="BA1133" s="295"/>
      <c r="BB1133" s="295"/>
      <c r="BC1133" s="295"/>
      <c r="BD1133" s="295"/>
      <c r="BE1133" s="295"/>
      <c r="BF1133" s="295"/>
      <c r="BG1133" s="295"/>
      <c r="BH1133" s="295"/>
      <c r="BI1133" s="295"/>
      <c r="BJ1133" s="295"/>
      <c r="BK1133" s="295"/>
      <c r="BL1133" s="295"/>
      <c r="BM1133" s="295"/>
      <c r="BN1133" s="295"/>
      <c r="BO1133" s="294"/>
    </row>
    <row r="1134" spans="1:67" s="55" customFormat="1" ht="24.75" customHeight="1">
      <c r="A1134" s="1029"/>
      <c r="B1134" s="643" t="s">
        <v>248</v>
      </c>
      <c r="C1134" s="643"/>
      <c r="D1134" s="643"/>
      <c r="E1134" s="643"/>
      <c r="F1134" s="643"/>
      <c r="G1134" s="103"/>
      <c r="H1134" s="103"/>
      <c r="I1134" s="103"/>
      <c r="J1134" s="103"/>
      <c r="K1134" s="103"/>
      <c r="L1134" s="103">
        <v>40000</v>
      </c>
      <c r="M1134" s="103">
        <v>160000</v>
      </c>
      <c r="N1134" s="703"/>
      <c r="O1134" s="1031"/>
      <c r="P1134" s="295"/>
      <c r="Q1134" s="295"/>
      <c r="R1134" s="295"/>
      <c r="S1134" s="295"/>
      <c r="T1134" s="295"/>
      <c r="U1134" s="295"/>
      <c r="V1134" s="295"/>
      <c r="W1134" s="295"/>
      <c r="X1134" s="295"/>
      <c r="Y1134" s="295"/>
      <c r="Z1134" s="295"/>
      <c r="AA1134" s="295"/>
      <c r="AB1134" s="295"/>
      <c r="AC1134" s="295"/>
      <c r="AD1134" s="295"/>
      <c r="AE1134" s="295"/>
      <c r="AF1134" s="295"/>
      <c r="AG1134" s="295"/>
      <c r="AH1134" s="294"/>
      <c r="AI1134" s="350"/>
      <c r="AJ1134" s="295"/>
      <c r="AK1134" s="295"/>
      <c r="AL1134" s="295"/>
      <c r="AM1134" s="295"/>
      <c r="AN1134" s="295"/>
      <c r="AO1134" s="295"/>
      <c r="AP1134" s="295"/>
      <c r="AQ1134" s="295"/>
      <c r="AR1134" s="295"/>
      <c r="AS1134" s="295"/>
      <c r="AT1134" s="295"/>
      <c r="AU1134" s="295"/>
      <c r="AV1134" s="295"/>
      <c r="AW1134" s="295"/>
      <c r="AX1134" s="295"/>
      <c r="AY1134" s="295"/>
      <c r="AZ1134" s="295"/>
      <c r="BA1134" s="295"/>
      <c r="BB1134" s="295"/>
      <c r="BC1134" s="295"/>
      <c r="BD1134" s="295"/>
      <c r="BE1134" s="295"/>
      <c r="BF1134" s="295"/>
      <c r="BG1134" s="295"/>
      <c r="BH1134" s="295"/>
      <c r="BI1134" s="295"/>
      <c r="BJ1134" s="295"/>
      <c r="BK1134" s="295"/>
      <c r="BL1134" s="295"/>
      <c r="BM1134" s="295"/>
      <c r="BN1134" s="295"/>
      <c r="BO1134" s="294"/>
    </row>
    <row r="1135" spans="1:67" s="295" customFormat="1" ht="24.75" customHeight="1">
      <c r="A1135" s="985" t="s">
        <v>107</v>
      </c>
      <c r="B1135" s="62" t="s">
        <v>89</v>
      </c>
      <c r="C1135" s="641"/>
      <c r="D1135" s="641"/>
      <c r="E1135" s="641"/>
      <c r="F1135" s="641"/>
      <c r="G1135" s="108">
        <f>G1137+G1139+G1141</f>
        <v>0</v>
      </c>
      <c r="H1135" s="108">
        <f t="shared" ref="H1135:M1135" si="431">H1137+H1139+H1141</f>
        <v>0</v>
      </c>
      <c r="I1135" s="108">
        <f t="shared" si="431"/>
        <v>0</v>
      </c>
      <c r="J1135" s="108">
        <f t="shared" si="431"/>
        <v>0</v>
      </c>
      <c r="K1135" s="108">
        <f t="shared" si="431"/>
        <v>0</v>
      </c>
      <c r="L1135" s="108">
        <f t="shared" si="431"/>
        <v>2.7</v>
      </c>
      <c r="M1135" s="108">
        <f t="shared" si="431"/>
        <v>6.3</v>
      </c>
      <c r="N1135" s="702"/>
      <c r="O1135" s="702"/>
    </row>
    <row r="1136" spans="1:67" s="295" customFormat="1" ht="24.75" customHeight="1">
      <c r="A1136" s="987"/>
      <c r="B1136" s="658" t="s">
        <v>248</v>
      </c>
      <c r="C1136" s="641"/>
      <c r="D1136" s="641"/>
      <c r="E1136" s="641"/>
      <c r="F1136" s="641"/>
      <c r="G1136" s="108">
        <f>G1138+G1140+G1142</f>
        <v>0</v>
      </c>
      <c r="H1136" s="108">
        <f t="shared" ref="H1136:M1136" si="432">H1138+H1140+H1142</f>
        <v>0</v>
      </c>
      <c r="I1136" s="108">
        <f t="shared" si="432"/>
        <v>0</v>
      </c>
      <c r="J1136" s="108">
        <f t="shared" si="432"/>
        <v>0</v>
      </c>
      <c r="K1136" s="108">
        <f t="shared" si="432"/>
        <v>0</v>
      </c>
      <c r="L1136" s="108">
        <f t="shared" si="432"/>
        <v>32520</v>
      </c>
      <c r="M1136" s="108">
        <f t="shared" si="432"/>
        <v>93366.5</v>
      </c>
      <c r="N1136" s="702"/>
      <c r="O1136" s="702"/>
    </row>
    <row r="1137" spans="1:15" s="295" customFormat="1" ht="24.75" customHeight="1">
      <c r="A1137" s="1028" t="s">
        <v>535</v>
      </c>
      <c r="B1137" s="780" t="s">
        <v>89</v>
      </c>
      <c r="C1137" s="779"/>
      <c r="D1137" s="779"/>
      <c r="E1137" s="779"/>
      <c r="F1137" s="779"/>
      <c r="G1137" s="292"/>
      <c r="H1137" s="292"/>
      <c r="I1137" s="292"/>
      <c r="J1137" s="292"/>
      <c r="K1137" s="292"/>
      <c r="L1137" s="292">
        <v>2.7</v>
      </c>
      <c r="M1137" s="292">
        <v>3</v>
      </c>
      <c r="N1137" s="779"/>
      <c r="O1137" s="1030" t="s">
        <v>1022</v>
      </c>
    </row>
    <row r="1138" spans="1:15" s="295" customFormat="1" ht="24.75" customHeight="1">
      <c r="A1138" s="1029"/>
      <c r="B1138" s="780" t="s">
        <v>248</v>
      </c>
      <c r="C1138" s="779"/>
      <c r="D1138" s="779"/>
      <c r="E1138" s="779"/>
      <c r="F1138" s="779"/>
      <c r="G1138" s="292"/>
      <c r="H1138" s="292"/>
      <c r="I1138" s="292"/>
      <c r="J1138" s="292"/>
      <c r="K1138" s="292"/>
      <c r="L1138" s="292">
        <v>32520</v>
      </c>
      <c r="M1138" s="292">
        <v>45000</v>
      </c>
      <c r="N1138" s="779"/>
      <c r="O1138" s="1031"/>
    </row>
    <row r="1139" spans="1:15" s="295" customFormat="1" ht="24.75" customHeight="1">
      <c r="A1139" s="1028" t="s">
        <v>1023</v>
      </c>
      <c r="B1139" s="780" t="s">
        <v>89</v>
      </c>
      <c r="C1139" s="779"/>
      <c r="D1139" s="779"/>
      <c r="E1139" s="779"/>
      <c r="F1139" s="779"/>
      <c r="G1139" s="292"/>
      <c r="H1139" s="292"/>
      <c r="I1139" s="292"/>
      <c r="J1139" s="292"/>
      <c r="K1139" s="292"/>
      <c r="L1139" s="292">
        <v>0</v>
      </c>
      <c r="M1139" s="292">
        <v>2.2999999999999998</v>
      </c>
      <c r="N1139" s="779"/>
      <c r="O1139" s="1030" t="s">
        <v>1024</v>
      </c>
    </row>
    <row r="1140" spans="1:15" s="295" customFormat="1" ht="24.75" customHeight="1">
      <c r="A1140" s="1029"/>
      <c r="B1140" s="780" t="s">
        <v>248</v>
      </c>
      <c r="C1140" s="779"/>
      <c r="D1140" s="779"/>
      <c r="E1140" s="779"/>
      <c r="F1140" s="779"/>
      <c r="G1140" s="292"/>
      <c r="H1140" s="292"/>
      <c r="I1140" s="292"/>
      <c r="J1140" s="292"/>
      <c r="K1140" s="292"/>
      <c r="L1140" s="292">
        <v>0</v>
      </c>
      <c r="M1140" s="292">
        <v>28986.5</v>
      </c>
      <c r="N1140" s="779"/>
      <c r="O1140" s="1031"/>
    </row>
    <row r="1141" spans="1:15" s="295" customFormat="1" ht="24.75" customHeight="1">
      <c r="A1141" s="1028" t="s">
        <v>1025</v>
      </c>
      <c r="B1141" s="643" t="s">
        <v>89</v>
      </c>
      <c r="C1141" s="641"/>
      <c r="D1141" s="641"/>
      <c r="E1141" s="641"/>
      <c r="F1141" s="641"/>
      <c r="G1141" s="292"/>
      <c r="H1141" s="292"/>
      <c r="I1141" s="292"/>
      <c r="J1141" s="292"/>
      <c r="K1141" s="292"/>
      <c r="L1141" s="292">
        <v>0</v>
      </c>
      <c r="M1141" s="292">
        <v>1</v>
      </c>
      <c r="N1141" s="702"/>
      <c r="O1141" s="1030" t="s">
        <v>596</v>
      </c>
    </row>
    <row r="1142" spans="1:15" s="295" customFormat="1" ht="24.75" customHeight="1">
      <c r="A1142" s="1029"/>
      <c r="B1142" s="643" t="s">
        <v>248</v>
      </c>
      <c r="C1142" s="641"/>
      <c r="D1142" s="641"/>
      <c r="E1142" s="641"/>
      <c r="F1142" s="641"/>
      <c r="G1142" s="292"/>
      <c r="H1142" s="292"/>
      <c r="I1142" s="292"/>
      <c r="J1142" s="292"/>
      <c r="K1142" s="292"/>
      <c r="L1142" s="292">
        <v>0</v>
      </c>
      <c r="M1142" s="292">
        <v>19380</v>
      </c>
      <c r="N1142" s="702"/>
      <c r="O1142" s="1031"/>
    </row>
    <row r="1143" spans="1:15" s="295" customFormat="1" ht="24.75" customHeight="1">
      <c r="A1143" s="985" t="s">
        <v>164</v>
      </c>
      <c r="B1143" s="62" t="s">
        <v>89</v>
      </c>
      <c r="C1143" s="641"/>
      <c r="D1143" s="641"/>
      <c r="E1143" s="641"/>
      <c r="F1143" s="641"/>
      <c r="G1143" s="108">
        <f>G1147+G1149+G1153+G1155</f>
        <v>3.3</v>
      </c>
      <c r="H1143" s="108">
        <f t="shared" ref="H1143:M1143" si="433">H1147+H1149+H1153+H1155</f>
        <v>0</v>
      </c>
      <c r="I1143" s="108">
        <f t="shared" si="433"/>
        <v>0</v>
      </c>
      <c r="J1143" s="108">
        <f t="shared" si="433"/>
        <v>0</v>
      </c>
      <c r="K1143" s="108">
        <f t="shared" si="433"/>
        <v>3.3</v>
      </c>
      <c r="L1143" s="108">
        <f t="shared" si="433"/>
        <v>11</v>
      </c>
      <c r="M1143" s="108">
        <f t="shared" si="433"/>
        <v>10.5</v>
      </c>
      <c r="N1143" s="702"/>
      <c r="O1143" s="702"/>
    </row>
    <row r="1144" spans="1:15" s="295" customFormat="1" ht="24.75" customHeight="1">
      <c r="A1144" s="986"/>
      <c r="B1144" s="62" t="s">
        <v>25</v>
      </c>
      <c r="C1144" s="641"/>
      <c r="D1144" s="641"/>
      <c r="E1144" s="641"/>
      <c r="F1144" s="641"/>
      <c r="G1144" s="108">
        <f>G1145+G1146</f>
        <v>61598.8</v>
      </c>
      <c r="H1144" s="108">
        <f t="shared" ref="H1144:M1144" si="434">H1145+H1146</f>
        <v>0</v>
      </c>
      <c r="I1144" s="108">
        <f t="shared" si="434"/>
        <v>0</v>
      </c>
      <c r="J1144" s="108">
        <f t="shared" si="434"/>
        <v>0</v>
      </c>
      <c r="K1144" s="108">
        <f t="shared" si="434"/>
        <v>61598.8</v>
      </c>
      <c r="L1144" s="108">
        <f t="shared" si="434"/>
        <v>129211</v>
      </c>
      <c r="M1144" s="108">
        <f t="shared" si="434"/>
        <v>154800</v>
      </c>
      <c r="N1144" s="702"/>
      <c r="O1144" s="702"/>
    </row>
    <row r="1145" spans="1:15" s="295" customFormat="1" ht="24.75" customHeight="1">
      <c r="A1145" s="986"/>
      <c r="B1145" s="62" t="s">
        <v>10</v>
      </c>
      <c r="C1145" s="641"/>
      <c r="D1145" s="641"/>
      <c r="E1145" s="641"/>
      <c r="F1145" s="641"/>
      <c r="G1145" s="108">
        <f>G1148+G1151+G1154+G1156</f>
        <v>61598.8</v>
      </c>
      <c r="H1145" s="108">
        <f t="shared" ref="H1145:M1145" si="435">H1148+H1151+H1154+H1156</f>
        <v>0</v>
      </c>
      <c r="I1145" s="108">
        <f t="shared" si="435"/>
        <v>0</v>
      </c>
      <c r="J1145" s="108">
        <f t="shared" si="435"/>
        <v>0</v>
      </c>
      <c r="K1145" s="108">
        <f t="shared" si="435"/>
        <v>61598.8</v>
      </c>
      <c r="L1145" s="108">
        <f t="shared" si="435"/>
        <v>129211</v>
      </c>
      <c r="M1145" s="108">
        <f t="shared" si="435"/>
        <v>154800</v>
      </c>
      <c r="N1145" s="702"/>
      <c r="O1145" s="702"/>
    </row>
    <row r="1146" spans="1:15" s="295" customFormat="1" ht="24.75" customHeight="1">
      <c r="A1146" s="987"/>
      <c r="B1146" s="62" t="s">
        <v>502</v>
      </c>
      <c r="C1146" s="641"/>
      <c r="D1146" s="641"/>
      <c r="E1146" s="641"/>
      <c r="F1146" s="641"/>
      <c r="G1146" s="108">
        <f>G1152</f>
        <v>0</v>
      </c>
      <c r="H1146" s="108">
        <f t="shared" ref="H1146:M1146" si="436">H1152</f>
        <v>0</v>
      </c>
      <c r="I1146" s="108">
        <f t="shared" si="436"/>
        <v>0</v>
      </c>
      <c r="J1146" s="108">
        <f t="shared" si="436"/>
        <v>0</v>
      </c>
      <c r="K1146" s="108">
        <f t="shared" si="436"/>
        <v>0</v>
      </c>
      <c r="L1146" s="108">
        <f t="shared" si="436"/>
        <v>0</v>
      </c>
      <c r="M1146" s="108">
        <f t="shared" si="436"/>
        <v>0</v>
      </c>
      <c r="N1146" s="702"/>
      <c r="O1146" s="702"/>
    </row>
    <row r="1147" spans="1:15" s="295" customFormat="1" ht="24.75" customHeight="1">
      <c r="A1147" s="1028" t="s">
        <v>652</v>
      </c>
      <c r="B1147" s="643" t="s">
        <v>89</v>
      </c>
      <c r="C1147" s="641"/>
      <c r="D1147" s="641"/>
      <c r="E1147" s="641"/>
      <c r="F1147" s="641"/>
      <c r="G1147" s="292"/>
      <c r="H1147" s="292"/>
      <c r="I1147" s="292"/>
      <c r="J1147" s="292"/>
      <c r="K1147" s="292"/>
      <c r="L1147" s="292">
        <v>3</v>
      </c>
      <c r="M1147" s="292">
        <v>2.5</v>
      </c>
      <c r="N1147" s="702"/>
      <c r="O1147" s="1030" t="s">
        <v>1026</v>
      </c>
    </row>
    <row r="1148" spans="1:15" s="295" customFormat="1" ht="24.75" customHeight="1">
      <c r="A1148" s="1029"/>
      <c r="B1148" s="643" t="s">
        <v>248</v>
      </c>
      <c r="C1148" s="641"/>
      <c r="D1148" s="641"/>
      <c r="E1148" s="641"/>
      <c r="F1148" s="641"/>
      <c r="G1148" s="292"/>
      <c r="H1148" s="292"/>
      <c r="I1148" s="292"/>
      <c r="J1148" s="292"/>
      <c r="K1148" s="292"/>
      <c r="L1148" s="292">
        <v>33000</v>
      </c>
      <c r="M1148" s="292">
        <v>39800</v>
      </c>
      <c r="N1148" s="702"/>
      <c r="O1148" s="1031"/>
    </row>
    <row r="1149" spans="1:15" s="295" customFormat="1" ht="24.75" customHeight="1">
      <c r="A1149" s="1028" t="s">
        <v>653</v>
      </c>
      <c r="B1149" s="643" t="s">
        <v>89</v>
      </c>
      <c r="C1149" s="641"/>
      <c r="D1149" s="641"/>
      <c r="E1149" s="641"/>
      <c r="F1149" s="641"/>
      <c r="G1149" s="292">
        <f>K1149</f>
        <v>0</v>
      </c>
      <c r="H1149" s="292"/>
      <c r="I1149" s="292"/>
      <c r="J1149" s="292"/>
      <c r="K1149" s="292">
        <v>0</v>
      </c>
      <c r="L1149" s="292">
        <f>2.9</f>
        <v>2.9</v>
      </c>
      <c r="M1149" s="292">
        <v>8</v>
      </c>
      <c r="N1149" s="702"/>
      <c r="O1149" s="1030" t="s">
        <v>1027</v>
      </c>
    </row>
    <row r="1150" spans="1:15" s="295" customFormat="1" ht="24.75" customHeight="1">
      <c r="A1150" s="1036"/>
      <c r="B1150" s="643" t="s">
        <v>25</v>
      </c>
      <c r="C1150" s="641"/>
      <c r="D1150" s="641"/>
      <c r="E1150" s="641"/>
      <c r="F1150" s="641"/>
      <c r="G1150" s="292">
        <f t="shared" ref="G1150:G1152" si="437">K1150</f>
        <v>0</v>
      </c>
      <c r="H1150" s="292"/>
      <c r="I1150" s="292"/>
      <c r="J1150" s="292"/>
      <c r="K1150" s="292">
        <f>K1151+K1152</f>
        <v>0</v>
      </c>
      <c r="L1150" s="292">
        <f t="shared" ref="L1150:M1150" si="438">L1151+L1152</f>
        <v>33971</v>
      </c>
      <c r="M1150" s="292">
        <f t="shared" si="438"/>
        <v>115000</v>
      </c>
      <c r="N1150" s="702"/>
      <c r="O1150" s="1032"/>
    </row>
    <row r="1151" spans="1:15" s="295" customFormat="1" ht="24.75" customHeight="1">
      <c r="A1151" s="1036"/>
      <c r="B1151" s="643" t="s">
        <v>10</v>
      </c>
      <c r="C1151" s="641"/>
      <c r="D1151" s="641"/>
      <c r="E1151" s="641"/>
      <c r="F1151" s="641"/>
      <c r="G1151" s="292">
        <f t="shared" si="437"/>
        <v>0</v>
      </c>
      <c r="H1151" s="292"/>
      <c r="I1151" s="292"/>
      <c r="J1151" s="292"/>
      <c r="K1151" s="292"/>
      <c r="L1151" s="292">
        <v>33971</v>
      </c>
      <c r="M1151" s="292">
        <v>115000</v>
      </c>
      <c r="N1151" s="702"/>
      <c r="O1151" s="1032"/>
    </row>
    <row r="1152" spans="1:15" s="295" customFormat="1" ht="24.75" customHeight="1">
      <c r="A1152" s="1029"/>
      <c r="B1152" s="643" t="s">
        <v>502</v>
      </c>
      <c r="C1152" s="641"/>
      <c r="D1152" s="641"/>
      <c r="E1152" s="641"/>
      <c r="F1152" s="641"/>
      <c r="G1152" s="292">
        <f t="shared" si="437"/>
        <v>0</v>
      </c>
      <c r="H1152" s="292"/>
      <c r="I1152" s="292"/>
      <c r="J1152" s="292"/>
      <c r="K1152" s="292">
        <v>0</v>
      </c>
      <c r="L1152" s="292"/>
      <c r="M1152" s="292"/>
      <c r="N1152" s="702"/>
      <c r="O1152" s="1031"/>
    </row>
    <row r="1153" spans="1:66" s="295" customFormat="1" ht="24.75" customHeight="1">
      <c r="A1153" s="1028" t="s">
        <v>654</v>
      </c>
      <c r="B1153" s="643" t="s">
        <v>89</v>
      </c>
      <c r="C1153" s="641"/>
      <c r="D1153" s="641"/>
      <c r="E1153" s="641"/>
      <c r="F1153" s="641"/>
      <c r="G1153" s="292">
        <f>K1153</f>
        <v>3.3</v>
      </c>
      <c r="H1153" s="292"/>
      <c r="I1153" s="292"/>
      <c r="J1153" s="292"/>
      <c r="K1153" s="292">
        <v>3.3</v>
      </c>
      <c r="L1153" s="292">
        <v>3.3</v>
      </c>
      <c r="M1153" s="292">
        <v>0</v>
      </c>
      <c r="N1153" s="702"/>
      <c r="O1153" s="1030" t="s">
        <v>655</v>
      </c>
    </row>
    <row r="1154" spans="1:66" s="295" customFormat="1" ht="24.75" customHeight="1">
      <c r="A1154" s="1029"/>
      <c r="B1154" s="643" t="s">
        <v>248</v>
      </c>
      <c r="C1154" s="641"/>
      <c r="D1154" s="641"/>
      <c r="E1154" s="641"/>
      <c r="F1154" s="641"/>
      <c r="G1154" s="292">
        <f>K1154</f>
        <v>61598.8</v>
      </c>
      <c r="H1154" s="292"/>
      <c r="I1154" s="292"/>
      <c r="J1154" s="292"/>
      <c r="K1154" s="292">
        <v>61598.8</v>
      </c>
      <c r="L1154" s="292">
        <v>41000</v>
      </c>
      <c r="M1154" s="292">
        <v>0</v>
      </c>
      <c r="N1154" s="702"/>
      <c r="O1154" s="1031"/>
    </row>
    <row r="1155" spans="1:66" s="295" customFormat="1" ht="24.75" customHeight="1">
      <c r="A1155" s="1028" t="s">
        <v>656</v>
      </c>
      <c r="B1155" s="643" t="s">
        <v>89</v>
      </c>
      <c r="C1155" s="641"/>
      <c r="D1155" s="641"/>
      <c r="E1155" s="641"/>
      <c r="F1155" s="641"/>
      <c r="G1155" s="292"/>
      <c r="H1155" s="292"/>
      <c r="I1155" s="292"/>
      <c r="J1155" s="292"/>
      <c r="K1155" s="292"/>
      <c r="L1155" s="292">
        <v>1.8</v>
      </c>
      <c r="M1155" s="292">
        <v>0</v>
      </c>
      <c r="N1155" s="702"/>
      <c r="O1155" s="1030" t="s">
        <v>657</v>
      </c>
    </row>
    <row r="1156" spans="1:66" s="295" customFormat="1" ht="24.75" customHeight="1">
      <c r="A1156" s="1029"/>
      <c r="B1156" s="643" t="s">
        <v>248</v>
      </c>
      <c r="C1156" s="641"/>
      <c r="D1156" s="641"/>
      <c r="E1156" s="641"/>
      <c r="F1156" s="641"/>
      <c r="G1156" s="292"/>
      <c r="H1156" s="292"/>
      <c r="I1156" s="292"/>
      <c r="J1156" s="292"/>
      <c r="K1156" s="292"/>
      <c r="L1156" s="292">
        <v>21240</v>
      </c>
      <c r="M1156" s="292">
        <v>0</v>
      </c>
      <c r="N1156" s="702"/>
      <c r="O1156" s="1031"/>
    </row>
    <row r="1157" spans="1:66" ht="69.75" hidden="1" customHeight="1">
      <c r="A1157" s="77" t="s">
        <v>32</v>
      </c>
      <c r="B1157" s="641" t="s">
        <v>248</v>
      </c>
      <c r="C1157" s="641">
        <v>176</v>
      </c>
      <c r="D1157" s="641" t="s">
        <v>15</v>
      </c>
      <c r="E1157" s="641">
        <v>6100404</v>
      </c>
      <c r="F1157" s="641">
        <v>244</v>
      </c>
      <c r="G1157" s="108">
        <f>J1157</f>
        <v>0</v>
      </c>
      <c r="H1157" s="108"/>
      <c r="I1157" s="108"/>
      <c r="J1157" s="292">
        <v>0</v>
      </c>
      <c r="K1157" s="108"/>
      <c r="L1157" s="108">
        <v>0</v>
      </c>
      <c r="M1157" s="108">
        <v>0</v>
      </c>
      <c r="N1157" s="702"/>
      <c r="O1157" s="704" t="s">
        <v>479</v>
      </c>
      <c r="P1157" s="295"/>
      <c r="Q1157" s="295"/>
      <c r="R1157" s="295"/>
      <c r="S1157" s="295"/>
      <c r="T1157" s="295"/>
      <c r="U1157" s="295"/>
      <c r="V1157" s="295"/>
      <c r="W1157" s="295"/>
      <c r="X1157" s="295"/>
      <c r="Y1157" s="295"/>
      <c r="Z1157" s="295"/>
      <c r="AA1157" s="295"/>
      <c r="AB1157" s="295"/>
      <c r="AC1157" s="295"/>
      <c r="AD1157" s="295"/>
      <c r="AE1157" s="295"/>
      <c r="AF1157" s="295"/>
      <c r="AG1157" s="295"/>
      <c r="AH1157" s="295"/>
      <c r="AI1157" s="295"/>
      <c r="BJ1157" s="295"/>
      <c r="BK1157" s="295"/>
      <c r="BL1157" s="295"/>
      <c r="BM1157" s="295"/>
      <c r="BN1157" s="295"/>
    </row>
    <row r="1158" spans="1:66" ht="69.75" hidden="1" customHeight="1">
      <c r="A1158" s="651" t="s">
        <v>208</v>
      </c>
      <c r="B1158" s="643" t="s">
        <v>248</v>
      </c>
      <c r="C1158" s="643"/>
      <c r="D1158" s="643"/>
      <c r="E1158" s="643"/>
      <c r="F1158" s="643"/>
      <c r="G1158" s="102"/>
      <c r="H1158" s="103"/>
      <c r="I1158" s="102"/>
      <c r="J1158" s="102"/>
      <c r="K1158" s="102"/>
      <c r="L1158" s="102"/>
      <c r="M1158" s="102"/>
      <c r="N1158" s="703"/>
      <c r="O1158" s="703" t="s">
        <v>352</v>
      </c>
      <c r="P1158" s="295"/>
      <c r="Q1158" s="295"/>
      <c r="R1158" s="295"/>
      <c r="S1158" s="295"/>
      <c r="T1158" s="295"/>
      <c r="U1158" s="295"/>
      <c r="V1158" s="295"/>
      <c r="W1158" s="295"/>
      <c r="X1158" s="295"/>
      <c r="Y1158" s="295"/>
      <c r="Z1158" s="295"/>
      <c r="AA1158" s="295"/>
      <c r="AB1158" s="295"/>
      <c r="AC1158" s="295"/>
      <c r="AD1158" s="295"/>
      <c r="AE1158" s="295"/>
      <c r="AF1158" s="295"/>
      <c r="AG1158" s="295"/>
      <c r="AH1158" s="295"/>
      <c r="AI1158" s="295"/>
      <c r="BJ1158" s="295"/>
      <c r="BK1158" s="295"/>
      <c r="BL1158" s="295"/>
      <c r="BM1158" s="295"/>
      <c r="BN1158" s="295"/>
    </row>
    <row r="1159" spans="1:66" ht="44.25" customHeight="1">
      <c r="A1159" s="985" t="s">
        <v>812</v>
      </c>
      <c r="B1159" s="638" t="s">
        <v>74</v>
      </c>
      <c r="C1159" s="643"/>
      <c r="D1159" s="643"/>
      <c r="E1159" s="643"/>
      <c r="F1159" s="643"/>
      <c r="G1159" s="102">
        <v>5</v>
      </c>
      <c r="H1159" s="103"/>
      <c r="I1159" s="102"/>
      <c r="J1159" s="102"/>
      <c r="K1159" s="102">
        <v>5</v>
      </c>
      <c r="L1159" s="102">
        <v>5</v>
      </c>
      <c r="M1159" s="102">
        <v>5</v>
      </c>
      <c r="N1159" s="1030" t="s">
        <v>816</v>
      </c>
      <c r="O1159" s="1030"/>
      <c r="P1159" s="295"/>
      <c r="Q1159" s="295"/>
      <c r="R1159" s="295"/>
      <c r="S1159" s="295"/>
      <c r="T1159" s="295"/>
      <c r="U1159" s="295"/>
      <c r="V1159" s="295"/>
      <c r="W1159" s="295"/>
      <c r="X1159" s="295"/>
      <c r="Y1159" s="295"/>
      <c r="Z1159" s="295"/>
      <c r="AA1159" s="295"/>
      <c r="AB1159" s="295"/>
      <c r="AC1159" s="295"/>
      <c r="AD1159" s="295"/>
      <c r="AE1159" s="295"/>
      <c r="AF1159" s="295"/>
      <c r="AG1159" s="295"/>
      <c r="AH1159" s="295"/>
      <c r="AI1159" s="295"/>
      <c r="BJ1159" s="295"/>
      <c r="BK1159" s="295"/>
      <c r="BL1159" s="295"/>
      <c r="BM1159" s="295"/>
      <c r="BN1159" s="295"/>
    </row>
    <row r="1160" spans="1:66" ht="23.25" customHeight="1">
      <c r="A1160" s="986"/>
      <c r="B1160" s="638" t="s">
        <v>24</v>
      </c>
      <c r="C1160" s="643"/>
      <c r="D1160" s="643"/>
      <c r="E1160" s="643"/>
      <c r="F1160" s="643"/>
      <c r="G1160" s="102">
        <f>G1161/G1159</f>
        <v>312032.95</v>
      </c>
      <c r="H1160" s="102"/>
      <c r="I1160" s="102"/>
      <c r="J1160" s="102"/>
      <c r="K1160" s="102">
        <f t="shared" ref="K1160:M1160" si="439">K1161/K1159</f>
        <v>312032.95</v>
      </c>
      <c r="L1160" s="102">
        <f t="shared" si="439"/>
        <v>281406.2</v>
      </c>
      <c r="M1160" s="102">
        <f t="shared" si="439"/>
        <v>260869.18</v>
      </c>
      <c r="N1160" s="1032"/>
      <c r="O1160" s="1032"/>
      <c r="P1160" s="295"/>
      <c r="Q1160" s="295"/>
      <c r="R1160" s="295"/>
      <c r="S1160" s="295"/>
      <c r="T1160" s="295"/>
      <c r="U1160" s="295"/>
      <c r="V1160" s="295"/>
      <c r="W1160" s="295"/>
      <c r="X1160" s="295"/>
      <c r="Y1160" s="295"/>
      <c r="Z1160" s="295"/>
      <c r="AA1160" s="295"/>
      <c r="AB1160" s="295"/>
      <c r="AC1160" s="295"/>
      <c r="AD1160" s="295"/>
      <c r="AE1160" s="295"/>
      <c r="AF1160" s="295"/>
      <c r="AG1160" s="295"/>
      <c r="AH1160" s="295"/>
      <c r="AI1160" s="295"/>
      <c r="BJ1160" s="295"/>
      <c r="BK1160" s="295"/>
      <c r="BL1160" s="295"/>
      <c r="BM1160" s="295"/>
      <c r="BN1160" s="295"/>
    </row>
    <row r="1161" spans="1:66" ht="27" customHeight="1">
      <c r="A1161" s="986"/>
      <c r="B1161" s="638" t="s">
        <v>25</v>
      </c>
      <c r="C1161" s="643"/>
      <c r="D1161" s="643"/>
      <c r="E1161" s="643"/>
      <c r="F1161" s="643"/>
      <c r="G1161" s="102">
        <f>G1163+G1164+G1165</f>
        <v>1560164.75</v>
      </c>
      <c r="H1161" s="102">
        <f t="shared" ref="H1161:M1161" si="440">H1163+H1164+H1165</f>
        <v>0</v>
      </c>
      <c r="I1161" s="102">
        <f t="shared" si="440"/>
        <v>0</v>
      </c>
      <c r="J1161" s="102">
        <f t="shared" si="440"/>
        <v>0</v>
      </c>
      <c r="K1161" s="102">
        <f t="shared" si="440"/>
        <v>1560164.75</v>
      </c>
      <c r="L1161" s="102">
        <f t="shared" si="440"/>
        <v>1407031</v>
      </c>
      <c r="M1161" s="102">
        <f t="shared" si="440"/>
        <v>1304345.8999999999</v>
      </c>
      <c r="N1161" s="1032"/>
      <c r="O1161" s="1032"/>
      <c r="P1161" s="295"/>
      <c r="Q1161" s="295"/>
      <c r="R1161" s="295"/>
      <c r="S1161" s="295"/>
      <c r="T1161" s="295"/>
      <c r="U1161" s="295"/>
      <c r="V1161" s="295"/>
      <c r="W1161" s="295"/>
      <c r="X1161" s="295"/>
      <c r="Y1161" s="295"/>
      <c r="Z1161" s="295"/>
      <c r="AA1161" s="295"/>
      <c r="AB1161" s="295"/>
      <c r="AC1161" s="295"/>
      <c r="AD1161" s="295"/>
      <c r="AE1161" s="295"/>
      <c r="AF1161" s="295"/>
      <c r="AG1161" s="295"/>
      <c r="AH1161" s="295"/>
      <c r="AI1161" s="295"/>
      <c r="BJ1161" s="295"/>
      <c r="BK1161" s="295"/>
      <c r="BL1161" s="295"/>
      <c r="BM1161" s="295"/>
      <c r="BN1161" s="295"/>
    </row>
    <row r="1162" spans="1:66" ht="15" customHeight="1">
      <c r="A1162" s="986"/>
      <c r="B1162" s="638" t="s">
        <v>9</v>
      </c>
      <c r="C1162" s="643"/>
      <c r="D1162" s="643"/>
      <c r="E1162" s="643"/>
      <c r="F1162" s="643"/>
      <c r="G1162" s="102"/>
      <c r="H1162" s="103"/>
      <c r="I1162" s="102"/>
      <c r="J1162" s="102"/>
      <c r="K1162" s="102"/>
      <c r="L1162" s="102"/>
      <c r="M1162" s="102"/>
      <c r="N1162" s="1032"/>
      <c r="O1162" s="1032"/>
      <c r="P1162" s="295"/>
      <c r="Q1162" s="295"/>
      <c r="R1162" s="295"/>
      <c r="S1162" s="295"/>
      <c r="T1162" s="295"/>
      <c r="U1162" s="295"/>
      <c r="V1162" s="295"/>
      <c r="W1162" s="295"/>
      <c r="X1162" s="295"/>
      <c r="Y1162" s="295"/>
      <c r="Z1162" s="295"/>
      <c r="AA1162" s="295"/>
      <c r="AB1162" s="295"/>
      <c r="AC1162" s="295"/>
      <c r="AD1162" s="295"/>
      <c r="AE1162" s="295"/>
      <c r="AF1162" s="295"/>
      <c r="AG1162" s="295"/>
      <c r="AH1162" s="295"/>
      <c r="AI1162" s="295"/>
      <c r="BJ1162" s="295"/>
      <c r="BK1162" s="295"/>
      <c r="BL1162" s="295"/>
      <c r="BM1162" s="295"/>
      <c r="BN1162" s="295"/>
    </row>
    <row r="1163" spans="1:66" ht="19.5" customHeight="1">
      <c r="A1163" s="986"/>
      <c r="B1163" s="638" t="s">
        <v>10</v>
      </c>
      <c r="C1163" s="643"/>
      <c r="D1163" s="643"/>
      <c r="E1163" s="643"/>
      <c r="F1163" s="643"/>
      <c r="G1163" s="102">
        <f>G1168+G1172+G1176+G1180+G1184</f>
        <v>675529</v>
      </c>
      <c r="H1163" s="102">
        <f t="shared" ref="H1163:M1163" si="441">H1168+H1172+H1176+H1180+H1184</f>
        <v>0</v>
      </c>
      <c r="I1163" s="102">
        <f t="shared" si="441"/>
        <v>0</v>
      </c>
      <c r="J1163" s="102">
        <f t="shared" si="441"/>
        <v>0</v>
      </c>
      <c r="K1163" s="102">
        <f>K1168+K1172+K1176+K1180+K1184</f>
        <v>675529</v>
      </c>
      <c r="L1163" s="102">
        <f t="shared" si="441"/>
        <v>1035150</v>
      </c>
      <c r="M1163" s="102">
        <f t="shared" si="441"/>
        <v>1035150</v>
      </c>
      <c r="N1163" s="1032"/>
      <c r="O1163" s="1032"/>
      <c r="P1163" s="295"/>
      <c r="Q1163" s="295"/>
      <c r="R1163" s="295"/>
      <c r="S1163" s="295"/>
      <c r="T1163" s="295"/>
      <c r="U1163" s="295"/>
      <c r="V1163" s="295"/>
      <c r="W1163" s="295"/>
      <c r="X1163" s="295"/>
      <c r="Y1163" s="295"/>
      <c r="Z1163" s="295"/>
      <c r="AA1163" s="295"/>
      <c r="AB1163" s="295"/>
      <c r="AC1163" s="295"/>
      <c r="AD1163" s="295"/>
      <c r="AE1163" s="295"/>
      <c r="AF1163" s="295"/>
      <c r="AG1163" s="295"/>
      <c r="AH1163" s="295"/>
      <c r="AI1163" s="295"/>
      <c r="BJ1163" s="295"/>
      <c r="BK1163" s="295"/>
      <c r="BL1163" s="295"/>
      <c r="BM1163" s="295"/>
      <c r="BN1163" s="295"/>
    </row>
    <row r="1164" spans="1:66" ht="21.75" customHeight="1">
      <c r="A1164" s="986"/>
      <c r="B1164" s="638" t="s">
        <v>443</v>
      </c>
      <c r="C1164" s="643"/>
      <c r="D1164" s="643"/>
      <c r="E1164" s="643"/>
      <c r="F1164" s="643"/>
      <c r="G1164" s="102">
        <f>G1169+G1173+G1177+G1181+G1185</f>
        <v>490000</v>
      </c>
      <c r="H1164" s="102">
        <f t="shared" ref="H1164:M1164" si="442">H1169+H1173+H1177+H1181+H1185</f>
        <v>0</v>
      </c>
      <c r="I1164" s="102">
        <f t="shared" si="442"/>
        <v>0</v>
      </c>
      <c r="J1164" s="102">
        <f t="shared" si="442"/>
        <v>0</v>
      </c>
      <c r="K1164" s="102">
        <f t="shared" si="442"/>
        <v>490000</v>
      </c>
      <c r="L1164" s="102">
        <f t="shared" si="442"/>
        <v>0</v>
      </c>
      <c r="M1164" s="102">
        <f t="shared" si="442"/>
        <v>0</v>
      </c>
      <c r="N1164" s="1032"/>
      <c r="O1164" s="1032"/>
      <c r="P1164" s="295"/>
      <c r="Q1164" s="295"/>
      <c r="R1164" s="295"/>
      <c r="S1164" s="295"/>
      <c r="T1164" s="295"/>
      <c r="U1164" s="295"/>
      <c r="V1164" s="295"/>
      <c r="W1164" s="295"/>
      <c r="X1164" s="295"/>
      <c r="Y1164" s="295"/>
      <c r="Z1164" s="295"/>
      <c r="AA1164" s="295"/>
      <c r="AB1164" s="295"/>
      <c r="AC1164" s="295"/>
      <c r="AD1164" s="295"/>
      <c r="AE1164" s="295"/>
      <c r="AF1164" s="295"/>
      <c r="AG1164" s="295"/>
      <c r="AH1164" s="295"/>
      <c r="AI1164" s="295"/>
      <c r="BJ1164" s="295"/>
      <c r="BK1164" s="295"/>
      <c r="BL1164" s="295"/>
      <c r="BM1164" s="295"/>
      <c r="BN1164" s="295"/>
    </row>
    <row r="1165" spans="1:66" ht="21" customHeight="1">
      <c r="A1165" s="986"/>
      <c r="B1165" s="638" t="s">
        <v>11</v>
      </c>
      <c r="C1165" s="643"/>
      <c r="D1165" s="643"/>
      <c r="E1165" s="643"/>
      <c r="F1165" s="643"/>
      <c r="G1165" s="102">
        <f>K1165</f>
        <v>394635.75</v>
      </c>
      <c r="H1165" s="102">
        <f t="shared" ref="H1165:M1165" si="443">H1170+H1174+H1178+H1182+H1186</f>
        <v>0</v>
      </c>
      <c r="I1165" s="102">
        <f t="shared" si="443"/>
        <v>0</v>
      </c>
      <c r="J1165" s="102">
        <f t="shared" si="443"/>
        <v>0</v>
      </c>
      <c r="K1165" s="102">
        <f t="shared" si="443"/>
        <v>394635.75</v>
      </c>
      <c r="L1165" s="102">
        <f t="shared" si="443"/>
        <v>371881</v>
      </c>
      <c r="M1165" s="102">
        <f t="shared" si="443"/>
        <v>269195.90000000002</v>
      </c>
      <c r="N1165" s="1032"/>
      <c r="O1165" s="1032"/>
      <c r="P1165" s="295"/>
      <c r="Q1165" s="295"/>
      <c r="R1165" s="295"/>
      <c r="S1165" s="295"/>
      <c r="T1165" s="295"/>
      <c r="U1165" s="295"/>
      <c r="V1165" s="295"/>
      <c r="W1165" s="295"/>
      <c r="X1165" s="295"/>
      <c r="Y1165" s="295"/>
      <c r="Z1165" s="295"/>
      <c r="AA1165" s="295"/>
      <c r="AB1165" s="295"/>
      <c r="AC1165" s="295"/>
      <c r="AD1165" s="295"/>
      <c r="AE1165" s="295"/>
      <c r="AF1165" s="295"/>
      <c r="AG1165" s="295"/>
      <c r="AH1165" s="295"/>
      <c r="AI1165" s="295"/>
      <c r="BJ1165" s="295"/>
      <c r="BK1165" s="295"/>
      <c r="BL1165" s="295"/>
      <c r="BM1165" s="295"/>
      <c r="BN1165" s="295"/>
    </row>
    <row r="1166" spans="1:66" ht="23.25" customHeight="1">
      <c r="A1166" s="987"/>
      <c r="B1166" s="638" t="s">
        <v>454</v>
      </c>
      <c r="C1166" s="643"/>
      <c r="D1166" s="643"/>
      <c r="E1166" s="643"/>
      <c r="F1166" s="643"/>
      <c r="G1166" s="102">
        <f t="shared" ref="G1166:G1186" si="444">K1166</f>
        <v>0</v>
      </c>
      <c r="H1166" s="103"/>
      <c r="I1166" s="102"/>
      <c r="J1166" s="102"/>
      <c r="K1166" s="102"/>
      <c r="L1166" s="102"/>
      <c r="M1166" s="102"/>
      <c r="N1166" s="1031"/>
      <c r="O1166" s="1031"/>
      <c r="P1166" s="295"/>
      <c r="Q1166" s="295"/>
      <c r="R1166" s="295"/>
      <c r="S1166" s="295"/>
      <c r="T1166" s="295"/>
      <c r="U1166" s="295"/>
      <c r="V1166" s="295"/>
      <c r="W1166" s="295"/>
      <c r="X1166" s="295"/>
      <c r="Y1166" s="295"/>
      <c r="Z1166" s="295"/>
      <c r="AA1166" s="295"/>
      <c r="AB1166" s="295"/>
      <c r="AC1166" s="295"/>
      <c r="AD1166" s="295"/>
      <c r="AE1166" s="295"/>
      <c r="AF1166" s="295"/>
      <c r="AG1166" s="295"/>
      <c r="AH1166" s="295"/>
      <c r="AI1166" s="295"/>
      <c r="BJ1166" s="295"/>
      <c r="BK1166" s="295"/>
      <c r="BL1166" s="295"/>
      <c r="BM1166" s="295"/>
      <c r="BN1166" s="295"/>
    </row>
    <row r="1167" spans="1:66" ht="27.75" customHeight="1">
      <c r="A1167" s="985" t="s">
        <v>75</v>
      </c>
      <c r="B1167" s="128" t="s">
        <v>25</v>
      </c>
      <c r="C1167" s="643"/>
      <c r="D1167" s="643"/>
      <c r="E1167" s="643"/>
      <c r="F1167" s="643"/>
      <c r="G1167" s="102">
        <f t="shared" si="444"/>
        <v>3516.75</v>
      </c>
      <c r="H1167" s="102">
        <f t="shared" ref="H1167:M1167" si="445">H1168+H1169+H1170</f>
        <v>0</v>
      </c>
      <c r="I1167" s="102">
        <f t="shared" si="445"/>
        <v>0</v>
      </c>
      <c r="J1167" s="102">
        <f t="shared" si="445"/>
        <v>0</v>
      </c>
      <c r="K1167" s="102">
        <f t="shared" si="445"/>
        <v>3516.75</v>
      </c>
      <c r="L1167" s="102">
        <f t="shared" si="445"/>
        <v>143770</v>
      </c>
      <c r="M1167" s="102">
        <f t="shared" si="445"/>
        <v>143110</v>
      </c>
      <c r="N1167" s="703"/>
      <c r="O1167" s="1030"/>
      <c r="P1167" s="295"/>
      <c r="Q1167" s="295"/>
      <c r="R1167" s="295"/>
      <c r="S1167" s="295"/>
      <c r="T1167" s="295"/>
      <c r="U1167" s="295"/>
      <c r="V1167" s="295"/>
      <c r="W1167" s="295"/>
      <c r="X1167" s="295"/>
      <c r="Y1167" s="295"/>
      <c r="Z1167" s="295"/>
      <c r="AA1167" s="295"/>
      <c r="AB1167" s="295"/>
      <c r="AC1167" s="295"/>
      <c r="AD1167" s="295"/>
      <c r="AE1167" s="295"/>
      <c r="AF1167" s="295"/>
      <c r="AG1167" s="295"/>
      <c r="AH1167" s="295"/>
      <c r="AI1167" s="295"/>
      <c r="BJ1167" s="295"/>
      <c r="BK1167" s="295"/>
      <c r="BL1167" s="295"/>
      <c r="BM1167" s="295"/>
      <c r="BN1167" s="295"/>
    </row>
    <row r="1168" spans="1:66" ht="26.25" customHeight="1">
      <c r="A1168" s="986"/>
      <c r="B1168" s="634" t="s">
        <v>10</v>
      </c>
      <c r="C1168" s="643"/>
      <c r="D1168" s="643"/>
      <c r="E1168" s="643"/>
      <c r="F1168" s="643"/>
      <c r="G1168" s="102">
        <f t="shared" si="444"/>
        <v>0</v>
      </c>
      <c r="H1168" s="103"/>
      <c r="I1168" s="102"/>
      <c r="J1168" s="102"/>
      <c r="K1168" s="102"/>
      <c r="L1168" s="102">
        <v>140300</v>
      </c>
      <c r="M1168" s="102">
        <v>140300</v>
      </c>
      <c r="N1168" s="703"/>
      <c r="O1168" s="1032"/>
      <c r="P1168" s="295"/>
      <c r="Q1168" s="295"/>
      <c r="R1168" s="295"/>
      <c r="S1168" s="295"/>
      <c r="T1168" s="295"/>
      <c r="U1168" s="295"/>
      <c r="V1168" s="295"/>
      <c r="W1168" s="295"/>
      <c r="X1168" s="295"/>
      <c r="Y1168" s="295"/>
      <c r="Z1168" s="295"/>
      <c r="AA1168" s="295"/>
      <c r="AB1168" s="295"/>
      <c r="AC1168" s="295"/>
      <c r="AD1168" s="295"/>
      <c r="AE1168" s="295"/>
      <c r="AF1168" s="295"/>
      <c r="AG1168" s="295"/>
      <c r="AH1168" s="295"/>
      <c r="AI1168" s="295"/>
      <c r="BJ1168" s="295"/>
      <c r="BK1168" s="295"/>
      <c r="BL1168" s="295"/>
      <c r="BM1168" s="295"/>
      <c r="BN1168" s="295"/>
    </row>
    <row r="1169" spans="1:66" ht="26.25" customHeight="1">
      <c r="A1169" s="986"/>
      <c r="B1169" s="634" t="s">
        <v>443</v>
      </c>
      <c r="C1169" s="643"/>
      <c r="D1169" s="643"/>
      <c r="E1169" s="643"/>
      <c r="F1169" s="643"/>
      <c r="G1169" s="102">
        <f t="shared" si="444"/>
        <v>0</v>
      </c>
      <c r="H1169" s="103"/>
      <c r="I1169" s="102"/>
      <c r="J1169" s="102"/>
      <c r="K1169" s="102"/>
      <c r="L1169" s="102">
        <v>0</v>
      </c>
      <c r="M1169" s="102">
        <v>0</v>
      </c>
      <c r="N1169" s="703"/>
      <c r="O1169" s="1032"/>
      <c r="P1169" s="295"/>
      <c r="Q1169" s="295"/>
      <c r="R1169" s="295"/>
      <c r="S1169" s="295"/>
      <c r="T1169" s="295"/>
      <c r="U1169" s="295"/>
      <c r="V1169" s="295"/>
      <c r="W1169" s="295"/>
      <c r="X1169" s="295"/>
      <c r="Y1169" s="295"/>
      <c r="Z1169" s="295"/>
      <c r="AA1169" s="295"/>
      <c r="AB1169" s="295"/>
      <c r="AC1169" s="295"/>
      <c r="AD1169" s="295"/>
      <c r="AE1169" s="295"/>
      <c r="AF1169" s="295"/>
      <c r="AG1169" s="295"/>
      <c r="AH1169" s="295"/>
      <c r="AI1169" s="295"/>
      <c r="BJ1169" s="295"/>
      <c r="BK1169" s="295"/>
      <c r="BL1169" s="295"/>
      <c r="BM1169" s="295"/>
      <c r="BN1169" s="295"/>
    </row>
    <row r="1170" spans="1:66" ht="26.25" customHeight="1">
      <c r="A1170" s="987"/>
      <c r="B1170" s="634" t="s">
        <v>476</v>
      </c>
      <c r="C1170" s="643"/>
      <c r="D1170" s="643"/>
      <c r="E1170" s="643"/>
      <c r="F1170" s="643"/>
      <c r="G1170" s="102">
        <f t="shared" si="444"/>
        <v>3516.75</v>
      </c>
      <c r="H1170" s="103"/>
      <c r="I1170" s="102"/>
      <c r="J1170" s="102"/>
      <c r="K1170" s="102">
        <v>3516.75</v>
      </c>
      <c r="L1170" s="102">
        <v>3470</v>
      </c>
      <c r="M1170" s="102">
        <v>2810</v>
      </c>
      <c r="N1170" s="703"/>
      <c r="O1170" s="1031"/>
      <c r="P1170" s="295"/>
      <c r="Q1170" s="295"/>
      <c r="R1170" s="295"/>
      <c r="S1170" s="295"/>
      <c r="T1170" s="295"/>
      <c r="U1170" s="295"/>
      <c r="V1170" s="295"/>
      <c r="W1170" s="295"/>
      <c r="X1170" s="295"/>
      <c r="Y1170" s="295"/>
      <c r="Z1170" s="295"/>
      <c r="AA1170" s="295"/>
      <c r="AB1170" s="295"/>
      <c r="AC1170" s="295"/>
      <c r="AD1170" s="295"/>
      <c r="AE1170" s="295"/>
      <c r="AF1170" s="295"/>
      <c r="AG1170" s="295"/>
      <c r="AH1170" s="295"/>
      <c r="AI1170" s="295"/>
      <c r="BJ1170" s="295"/>
      <c r="BK1170" s="295"/>
      <c r="BL1170" s="295"/>
      <c r="BM1170" s="295"/>
      <c r="BN1170" s="295"/>
    </row>
    <row r="1171" spans="1:66" ht="26.25" customHeight="1">
      <c r="A1171" s="985" t="s">
        <v>76</v>
      </c>
      <c r="B1171" s="128" t="s">
        <v>25</v>
      </c>
      <c r="C1171" s="643"/>
      <c r="D1171" s="643"/>
      <c r="E1171" s="643"/>
      <c r="F1171" s="643"/>
      <c r="G1171" s="102">
        <f t="shared" si="444"/>
        <v>4424</v>
      </c>
      <c r="H1171" s="102">
        <f t="shared" ref="H1171:M1171" si="446">H1172+H1173+H1174</f>
        <v>0</v>
      </c>
      <c r="I1171" s="102">
        <f t="shared" si="446"/>
        <v>0</v>
      </c>
      <c r="J1171" s="102">
        <f t="shared" si="446"/>
        <v>0</v>
      </c>
      <c r="K1171" s="102">
        <f t="shared" si="446"/>
        <v>4424</v>
      </c>
      <c r="L1171" s="102">
        <f t="shared" si="446"/>
        <v>99330</v>
      </c>
      <c r="M1171" s="102">
        <f t="shared" si="446"/>
        <v>99827.9</v>
      </c>
      <c r="N1171" s="703"/>
      <c r="O1171" s="1030"/>
      <c r="P1171" s="295"/>
      <c r="Q1171" s="295"/>
      <c r="R1171" s="295"/>
      <c r="S1171" s="295"/>
      <c r="T1171" s="295"/>
      <c r="U1171" s="295"/>
      <c r="V1171" s="295"/>
      <c r="W1171" s="295"/>
      <c r="X1171" s="295"/>
      <c r="Y1171" s="295"/>
      <c r="Z1171" s="295"/>
      <c r="AA1171" s="295"/>
      <c r="AB1171" s="295"/>
      <c r="AC1171" s="295"/>
      <c r="AD1171" s="295"/>
      <c r="AE1171" s="295"/>
      <c r="AF1171" s="295"/>
      <c r="AG1171" s="295"/>
      <c r="AH1171" s="295"/>
      <c r="AI1171" s="295"/>
      <c r="BJ1171" s="295"/>
      <c r="BK1171" s="295"/>
      <c r="BL1171" s="295"/>
      <c r="BM1171" s="295"/>
      <c r="BN1171" s="295"/>
    </row>
    <row r="1172" spans="1:66" ht="26.25" customHeight="1">
      <c r="A1172" s="986"/>
      <c r="B1172" s="634" t="s">
        <v>10</v>
      </c>
      <c r="C1172" s="643"/>
      <c r="D1172" s="643"/>
      <c r="E1172" s="643"/>
      <c r="F1172" s="643"/>
      <c r="G1172" s="102">
        <f t="shared" si="444"/>
        <v>0</v>
      </c>
      <c r="H1172" s="103"/>
      <c r="I1172" s="102"/>
      <c r="J1172" s="102"/>
      <c r="K1172" s="102"/>
      <c r="L1172" s="102">
        <v>94850</v>
      </c>
      <c r="M1172" s="102">
        <v>94850</v>
      </c>
      <c r="N1172" s="703"/>
      <c r="O1172" s="1032"/>
      <c r="P1172" s="295"/>
      <c r="Q1172" s="295"/>
      <c r="R1172" s="295"/>
      <c r="S1172" s="295"/>
      <c r="T1172" s="295"/>
      <c r="U1172" s="295"/>
      <c r="V1172" s="295"/>
      <c r="W1172" s="295"/>
      <c r="X1172" s="295"/>
      <c r="Y1172" s="295"/>
      <c r="Z1172" s="295"/>
      <c r="AA1172" s="295"/>
      <c r="AB1172" s="295"/>
      <c r="AC1172" s="295"/>
      <c r="AD1172" s="295"/>
      <c r="AE1172" s="295"/>
      <c r="AF1172" s="295"/>
      <c r="AG1172" s="295"/>
      <c r="AH1172" s="295"/>
      <c r="AI1172" s="295"/>
      <c r="BJ1172" s="295"/>
      <c r="BK1172" s="295"/>
      <c r="BL1172" s="295"/>
      <c r="BM1172" s="295"/>
      <c r="BN1172" s="295"/>
    </row>
    <row r="1173" spans="1:66" ht="21.75" customHeight="1">
      <c r="A1173" s="986"/>
      <c r="B1173" s="634" t="s">
        <v>443</v>
      </c>
      <c r="C1173" s="643"/>
      <c r="D1173" s="643"/>
      <c r="E1173" s="643"/>
      <c r="F1173" s="643"/>
      <c r="G1173" s="102">
        <f t="shared" si="444"/>
        <v>0</v>
      </c>
      <c r="H1173" s="103"/>
      <c r="I1173" s="102"/>
      <c r="J1173" s="102"/>
      <c r="K1173" s="102"/>
      <c r="L1173" s="102">
        <v>0</v>
      </c>
      <c r="M1173" s="102">
        <v>0</v>
      </c>
      <c r="N1173" s="703"/>
      <c r="O1173" s="1032"/>
      <c r="P1173" s="295"/>
      <c r="Q1173" s="295"/>
      <c r="R1173" s="295"/>
      <c r="S1173" s="295"/>
      <c r="T1173" s="295"/>
      <c r="U1173" s="295"/>
      <c r="V1173" s="295"/>
      <c r="W1173" s="295"/>
      <c r="X1173" s="295"/>
      <c r="Y1173" s="295"/>
      <c r="Z1173" s="295"/>
      <c r="AA1173" s="295"/>
      <c r="AB1173" s="295"/>
      <c r="AC1173" s="295"/>
      <c r="AD1173" s="295"/>
      <c r="AE1173" s="295"/>
      <c r="AF1173" s="295"/>
      <c r="AG1173" s="295"/>
      <c r="AH1173" s="295"/>
      <c r="AI1173" s="295"/>
      <c r="BJ1173" s="295"/>
      <c r="BK1173" s="295"/>
      <c r="BL1173" s="295"/>
      <c r="BM1173" s="295"/>
      <c r="BN1173" s="295"/>
    </row>
    <row r="1174" spans="1:66" ht="21.75" customHeight="1">
      <c r="A1174" s="987"/>
      <c r="B1174" s="634" t="s">
        <v>476</v>
      </c>
      <c r="C1174" s="643"/>
      <c r="D1174" s="643"/>
      <c r="E1174" s="643"/>
      <c r="F1174" s="643"/>
      <c r="G1174" s="102">
        <f t="shared" si="444"/>
        <v>4424</v>
      </c>
      <c r="H1174" s="103"/>
      <c r="I1174" s="102"/>
      <c r="J1174" s="102"/>
      <c r="K1174" s="102">
        <v>4424</v>
      </c>
      <c r="L1174" s="102">
        <v>4480</v>
      </c>
      <c r="M1174" s="102">
        <v>4977.8999999999996</v>
      </c>
      <c r="N1174" s="703"/>
      <c r="O1174" s="1031"/>
      <c r="P1174" s="295"/>
      <c r="Q1174" s="295"/>
      <c r="R1174" s="295"/>
      <c r="S1174" s="295"/>
      <c r="T1174" s="295"/>
      <c r="U1174" s="295"/>
      <c r="V1174" s="295"/>
      <c r="W1174" s="295"/>
      <c r="X1174" s="295"/>
      <c r="Y1174" s="295"/>
      <c r="Z1174" s="295"/>
      <c r="AA1174" s="295"/>
      <c r="AB1174" s="295"/>
      <c r="AC1174" s="295"/>
      <c r="AD1174" s="295"/>
      <c r="AE1174" s="295"/>
      <c r="AF1174" s="295"/>
      <c r="AG1174" s="295"/>
      <c r="AH1174" s="295"/>
      <c r="AI1174" s="295"/>
      <c r="BJ1174" s="295"/>
      <c r="BK1174" s="295"/>
      <c r="BL1174" s="295"/>
      <c r="BM1174" s="295"/>
      <c r="BN1174" s="295"/>
    </row>
    <row r="1175" spans="1:66" ht="21.75" hidden="1" customHeight="1">
      <c r="A1175" s="985" t="s">
        <v>77</v>
      </c>
      <c r="B1175" s="128" t="s">
        <v>25</v>
      </c>
      <c r="C1175" s="643"/>
      <c r="D1175" s="643"/>
      <c r="E1175" s="643"/>
      <c r="F1175" s="643"/>
      <c r="G1175" s="102">
        <f t="shared" si="444"/>
        <v>0</v>
      </c>
      <c r="H1175" s="102">
        <f t="shared" ref="H1175:K1175" si="447">H1176+H1177+H1178</f>
        <v>0</v>
      </c>
      <c r="I1175" s="102">
        <f t="shared" si="447"/>
        <v>0</v>
      </c>
      <c r="J1175" s="102">
        <f t="shared" si="447"/>
        <v>0</v>
      </c>
      <c r="K1175" s="102">
        <f t="shared" si="447"/>
        <v>0</v>
      </c>
      <c r="L1175" s="102"/>
      <c r="M1175" s="102"/>
      <c r="N1175" s="703"/>
      <c r="O1175" s="1030"/>
      <c r="P1175" s="295"/>
      <c r="Q1175" s="295"/>
      <c r="R1175" s="295"/>
      <c r="S1175" s="295"/>
      <c r="T1175" s="295"/>
      <c r="U1175" s="295"/>
      <c r="V1175" s="295"/>
      <c r="W1175" s="295"/>
      <c r="X1175" s="295"/>
      <c r="Y1175" s="295"/>
      <c r="Z1175" s="295"/>
      <c r="AA1175" s="295"/>
      <c r="AB1175" s="295"/>
      <c r="AC1175" s="295"/>
      <c r="AD1175" s="295"/>
      <c r="AE1175" s="295"/>
      <c r="AF1175" s="295"/>
      <c r="AG1175" s="295"/>
      <c r="AH1175" s="295"/>
      <c r="AI1175" s="295"/>
      <c r="BJ1175" s="295"/>
      <c r="BK1175" s="295"/>
      <c r="BL1175" s="295"/>
      <c r="BM1175" s="295"/>
      <c r="BN1175" s="295"/>
    </row>
    <row r="1176" spans="1:66" ht="21.75" hidden="1" customHeight="1">
      <c r="A1176" s="986"/>
      <c r="B1176" s="634" t="s">
        <v>10</v>
      </c>
      <c r="C1176" s="643"/>
      <c r="D1176" s="643"/>
      <c r="E1176" s="643"/>
      <c r="F1176" s="643"/>
      <c r="G1176" s="102">
        <f t="shared" si="444"/>
        <v>0</v>
      </c>
      <c r="H1176" s="103"/>
      <c r="I1176" s="102"/>
      <c r="J1176" s="102"/>
      <c r="K1176" s="102"/>
      <c r="L1176" s="102"/>
      <c r="M1176" s="102"/>
      <c r="N1176" s="703"/>
      <c r="O1176" s="1032"/>
      <c r="P1176" s="295"/>
      <c r="Q1176" s="295"/>
      <c r="R1176" s="295"/>
      <c r="S1176" s="295"/>
      <c r="T1176" s="295"/>
      <c r="U1176" s="295"/>
      <c r="V1176" s="295"/>
      <c r="W1176" s="295"/>
      <c r="X1176" s="295"/>
      <c r="Y1176" s="295"/>
      <c r="Z1176" s="295"/>
      <c r="AA1176" s="295"/>
      <c r="AB1176" s="295"/>
      <c r="AC1176" s="295"/>
      <c r="AD1176" s="295"/>
      <c r="AE1176" s="295"/>
      <c r="AF1176" s="295"/>
      <c r="AG1176" s="295"/>
      <c r="AH1176" s="295"/>
      <c r="AI1176" s="295"/>
      <c r="BJ1176" s="295"/>
      <c r="BK1176" s="295"/>
      <c r="BL1176" s="295"/>
      <c r="BM1176" s="295"/>
      <c r="BN1176" s="295"/>
    </row>
    <row r="1177" spans="1:66" ht="21.75" hidden="1" customHeight="1">
      <c r="A1177" s="986"/>
      <c r="B1177" s="634" t="s">
        <v>443</v>
      </c>
      <c r="C1177" s="643"/>
      <c r="D1177" s="643"/>
      <c r="E1177" s="643"/>
      <c r="F1177" s="643"/>
      <c r="G1177" s="102">
        <f t="shared" si="444"/>
        <v>0</v>
      </c>
      <c r="H1177" s="103"/>
      <c r="I1177" s="102"/>
      <c r="J1177" s="102"/>
      <c r="K1177" s="102">
        <v>0</v>
      </c>
      <c r="L1177" s="102"/>
      <c r="M1177" s="102"/>
      <c r="N1177" s="703"/>
      <c r="O1177" s="1032"/>
      <c r="P1177" s="295"/>
      <c r="Q1177" s="295"/>
      <c r="R1177" s="295"/>
      <c r="S1177" s="295"/>
      <c r="T1177" s="295"/>
      <c r="U1177" s="295"/>
      <c r="V1177" s="295"/>
      <c r="W1177" s="295"/>
      <c r="X1177" s="295"/>
      <c r="Y1177" s="295"/>
      <c r="Z1177" s="295"/>
      <c r="AA1177" s="295"/>
      <c r="AB1177" s="295"/>
      <c r="AC1177" s="295"/>
      <c r="AD1177" s="295"/>
      <c r="AE1177" s="295"/>
      <c r="AF1177" s="295"/>
      <c r="AG1177" s="295"/>
      <c r="AH1177" s="295"/>
      <c r="AI1177" s="295"/>
      <c r="BJ1177" s="295"/>
      <c r="BK1177" s="295"/>
      <c r="BL1177" s="295"/>
      <c r="BM1177" s="295"/>
      <c r="BN1177" s="295"/>
    </row>
    <row r="1178" spans="1:66" ht="21.75" hidden="1" customHeight="1">
      <c r="A1178" s="987"/>
      <c r="B1178" s="634" t="s">
        <v>476</v>
      </c>
      <c r="C1178" s="643"/>
      <c r="D1178" s="643"/>
      <c r="E1178" s="643"/>
      <c r="F1178" s="643"/>
      <c r="G1178" s="102">
        <f t="shared" si="444"/>
        <v>0</v>
      </c>
      <c r="H1178" s="103"/>
      <c r="I1178" s="102"/>
      <c r="J1178" s="102"/>
      <c r="K1178" s="102"/>
      <c r="L1178" s="102"/>
      <c r="M1178" s="102"/>
      <c r="N1178" s="703"/>
      <c r="O1178" s="1031"/>
      <c r="P1178" s="295"/>
      <c r="Q1178" s="295"/>
      <c r="R1178" s="295"/>
      <c r="S1178" s="295"/>
      <c r="T1178" s="295"/>
      <c r="U1178" s="295"/>
      <c r="V1178" s="295"/>
      <c r="W1178" s="295"/>
      <c r="X1178" s="295"/>
      <c r="Y1178" s="295"/>
      <c r="Z1178" s="295"/>
      <c r="AA1178" s="295"/>
      <c r="AB1178" s="295"/>
      <c r="AC1178" s="295"/>
      <c r="AD1178" s="295"/>
      <c r="AE1178" s="295"/>
      <c r="AF1178" s="295"/>
      <c r="AG1178" s="295"/>
      <c r="AH1178" s="295"/>
      <c r="AI1178" s="295"/>
      <c r="BJ1178" s="295"/>
      <c r="BK1178" s="295"/>
      <c r="BL1178" s="295"/>
      <c r="BM1178" s="295"/>
      <c r="BN1178" s="295"/>
    </row>
    <row r="1179" spans="1:66" ht="21.75" hidden="1" customHeight="1">
      <c r="A1179" s="985" t="s">
        <v>78</v>
      </c>
      <c r="B1179" s="128" t="s">
        <v>25</v>
      </c>
      <c r="C1179" s="643"/>
      <c r="D1179" s="643"/>
      <c r="E1179" s="643"/>
      <c r="F1179" s="643"/>
      <c r="G1179" s="102">
        <f t="shared" si="444"/>
        <v>0</v>
      </c>
      <c r="H1179" s="102">
        <f t="shared" ref="H1179:K1179" si="448">H1180+H1181+H1182</f>
        <v>0</v>
      </c>
      <c r="I1179" s="102">
        <f t="shared" si="448"/>
        <v>0</v>
      </c>
      <c r="J1179" s="102">
        <f t="shared" si="448"/>
        <v>0</v>
      </c>
      <c r="K1179" s="102">
        <f t="shared" si="448"/>
        <v>0</v>
      </c>
      <c r="L1179" s="102"/>
      <c r="M1179" s="102"/>
      <c r="N1179" s="703"/>
      <c r="O1179" s="1030"/>
      <c r="P1179" s="295"/>
      <c r="Q1179" s="295"/>
      <c r="R1179" s="295"/>
      <c r="S1179" s="295"/>
      <c r="T1179" s="295"/>
      <c r="U1179" s="295"/>
      <c r="V1179" s="295"/>
      <c r="W1179" s="295"/>
      <c r="X1179" s="295"/>
      <c r="Y1179" s="295"/>
      <c r="Z1179" s="295"/>
      <c r="AA1179" s="295"/>
      <c r="AB1179" s="295"/>
      <c r="AC1179" s="295"/>
      <c r="AD1179" s="295"/>
      <c r="AE1179" s="295"/>
      <c r="AF1179" s="295"/>
      <c r="AG1179" s="295"/>
      <c r="AH1179" s="295"/>
      <c r="AI1179" s="295"/>
      <c r="BJ1179" s="295"/>
      <c r="BK1179" s="295"/>
      <c r="BL1179" s="295"/>
      <c r="BM1179" s="295"/>
      <c r="BN1179" s="295"/>
    </row>
    <row r="1180" spans="1:66" ht="21.75" hidden="1" customHeight="1">
      <c r="A1180" s="986"/>
      <c r="B1180" s="634" t="s">
        <v>10</v>
      </c>
      <c r="C1180" s="643"/>
      <c r="D1180" s="643"/>
      <c r="E1180" s="643"/>
      <c r="F1180" s="643"/>
      <c r="G1180" s="102">
        <f t="shared" si="444"/>
        <v>0</v>
      </c>
      <c r="H1180" s="103"/>
      <c r="I1180" s="102"/>
      <c r="J1180" s="102"/>
      <c r="K1180" s="102"/>
      <c r="L1180" s="102"/>
      <c r="M1180" s="102"/>
      <c r="N1180" s="703"/>
      <c r="O1180" s="1032"/>
      <c r="P1180" s="295"/>
      <c r="Q1180" s="295"/>
      <c r="R1180" s="295"/>
      <c r="S1180" s="295"/>
      <c r="T1180" s="295"/>
      <c r="U1180" s="295"/>
      <c r="V1180" s="295"/>
      <c r="W1180" s="295"/>
      <c r="X1180" s="295"/>
      <c r="Y1180" s="295"/>
      <c r="Z1180" s="295"/>
      <c r="AA1180" s="295"/>
      <c r="AB1180" s="295"/>
      <c r="AC1180" s="295"/>
      <c r="AD1180" s="295"/>
      <c r="AE1180" s="295"/>
      <c r="AF1180" s="295"/>
      <c r="AG1180" s="295"/>
      <c r="AH1180" s="295"/>
      <c r="AI1180" s="295"/>
      <c r="BJ1180" s="295"/>
      <c r="BK1180" s="295"/>
      <c r="BL1180" s="295"/>
      <c r="BM1180" s="295"/>
      <c r="BN1180" s="295"/>
    </row>
    <row r="1181" spans="1:66" ht="21.75" hidden="1" customHeight="1">
      <c r="A1181" s="986"/>
      <c r="B1181" s="634" t="s">
        <v>443</v>
      </c>
      <c r="C1181" s="643"/>
      <c r="D1181" s="643"/>
      <c r="E1181" s="643"/>
      <c r="F1181" s="643"/>
      <c r="G1181" s="102">
        <f t="shared" si="444"/>
        <v>0</v>
      </c>
      <c r="H1181" s="103"/>
      <c r="I1181" s="102"/>
      <c r="J1181" s="102"/>
      <c r="K1181" s="102">
        <v>0</v>
      </c>
      <c r="L1181" s="102"/>
      <c r="M1181" s="102"/>
      <c r="N1181" s="703"/>
      <c r="O1181" s="1032"/>
      <c r="P1181" s="295"/>
      <c r="Q1181" s="295"/>
      <c r="R1181" s="295"/>
      <c r="S1181" s="295"/>
      <c r="T1181" s="295"/>
      <c r="U1181" s="295"/>
      <c r="V1181" s="295"/>
      <c r="W1181" s="295"/>
      <c r="X1181" s="295"/>
      <c r="Y1181" s="295"/>
      <c r="Z1181" s="295"/>
      <c r="AA1181" s="295"/>
      <c r="AB1181" s="295"/>
      <c r="AC1181" s="295"/>
      <c r="AD1181" s="295"/>
      <c r="AE1181" s="295"/>
      <c r="AF1181" s="295"/>
      <c r="AG1181" s="295"/>
      <c r="AH1181" s="295"/>
      <c r="AI1181" s="295"/>
      <c r="BJ1181" s="295"/>
      <c r="BK1181" s="295"/>
      <c r="BL1181" s="295"/>
      <c r="BM1181" s="295"/>
      <c r="BN1181" s="295"/>
    </row>
    <row r="1182" spans="1:66" ht="21.75" hidden="1" customHeight="1">
      <c r="A1182" s="987"/>
      <c r="B1182" s="634" t="s">
        <v>476</v>
      </c>
      <c r="C1182" s="643"/>
      <c r="D1182" s="643"/>
      <c r="E1182" s="643"/>
      <c r="F1182" s="643"/>
      <c r="G1182" s="102">
        <f t="shared" si="444"/>
        <v>0</v>
      </c>
      <c r="H1182" s="103"/>
      <c r="I1182" s="102"/>
      <c r="J1182" s="102"/>
      <c r="K1182" s="102"/>
      <c r="L1182" s="102"/>
      <c r="M1182" s="102"/>
      <c r="N1182" s="703"/>
      <c r="O1182" s="1031"/>
      <c r="P1182" s="295"/>
      <c r="Q1182" s="295"/>
      <c r="R1182" s="295"/>
      <c r="S1182" s="295"/>
      <c r="T1182" s="295"/>
      <c r="U1182" s="295"/>
      <c r="V1182" s="295"/>
      <c r="W1182" s="295"/>
      <c r="X1182" s="295"/>
      <c r="Y1182" s="295"/>
      <c r="Z1182" s="295"/>
      <c r="AA1182" s="295"/>
      <c r="AB1182" s="295"/>
      <c r="AC1182" s="295"/>
      <c r="AD1182" s="295"/>
      <c r="AE1182" s="295"/>
      <c r="AF1182" s="295"/>
      <c r="AG1182" s="295"/>
      <c r="AH1182" s="295"/>
      <c r="AI1182" s="295"/>
      <c r="BJ1182" s="295"/>
      <c r="BK1182" s="295"/>
      <c r="BL1182" s="295"/>
      <c r="BM1182" s="295"/>
      <c r="BN1182" s="295"/>
    </row>
    <row r="1183" spans="1:66" ht="21.75" customHeight="1">
      <c r="A1183" s="985" t="s">
        <v>79</v>
      </c>
      <c r="B1183" s="128" t="s">
        <v>25</v>
      </c>
      <c r="C1183" s="643"/>
      <c r="D1183" s="643"/>
      <c r="E1183" s="643"/>
      <c r="F1183" s="643"/>
      <c r="G1183" s="102">
        <f t="shared" si="444"/>
        <v>1552224</v>
      </c>
      <c r="H1183" s="102">
        <f t="shared" ref="H1183:M1183" si="449">H1184+H1185+H1186</f>
        <v>0</v>
      </c>
      <c r="I1183" s="102">
        <f t="shared" si="449"/>
        <v>0</v>
      </c>
      <c r="J1183" s="102">
        <f t="shared" si="449"/>
        <v>0</v>
      </c>
      <c r="K1183" s="102">
        <f t="shared" si="449"/>
        <v>1552224</v>
      </c>
      <c r="L1183" s="102">
        <f t="shared" si="449"/>
        <v>1163931</v>
      </c>
      <c r="M1183" s="102">
        <f t="shared" si="449"/>
        <v>1061408</v>
      </c>
      <c r="N1183" s="703"/>
      <c r="O1183" s="1030"/>
      <c r="P1183" s="295"/>
      <c r="Q1183" s="295"/>
      <c r="R1183" s="295"/>
      <c r="S1183" s="295"/>
      <c r="T1183" s="295"/>
      <c r="U1183" s="295"/>
      <c r="V1183" s="295"/>
      <c r="W1183" s="295"/>
      <c r="X1183" s="295"/>
      <c r="Y1183" s="295"/>
      <c r="Z1183" s="295"/>
      <c r="AA1183" s="295"/>
      <c r="AB1183" s="295"/>
      <c r="AC1183" s="295"/>
      <c r="AD1183" s="295"/>
      <c r="AE1183" s="295"/>
      <c r="AF1183" s="295"/>
      <c r="AG1183" s="295"/>
      <c r="AH1183" s="295"/>
      <c r="AI1183" s="295"/>
      <c r="BJ1183" s="295"/>
      <c r="BK1183" s="295"/>
      <c r="BL1183" s="295"/>
      <c r="BM1183" s="295"/>
      <c r="BN1183" s="295"/>
    </row>
    <row r="1184" spans="1:66" ht="21.75" customHeight="1">
      <c r="A1184" s="986"/>
      <c r="B1184" s="634" t="s">
        <v>10</v>
      </c>
      <c r="C1184" s="643"/>
      <c r="D1184" s="643"/>
      <c r="E1184" s="643"/>
      <c r="F1184" s="643"/>
      <c r="G1184" s="102">
        <f t="shared" si="444"/>
        <v>675529</v>
      </c>
      <c r="H1184" s="103"/>
      <c r="I1184" s="102"/>
      <c r="J1184" s="102"/>
      <c r="K1184" s="102">
        <f>169054+126133.3+76420.8+100920.9+203000</f>
        <v>675529</v>
      </c>
      <c r="L1184" s="102">
        <f>621000+60000+60000+59000</f>
        <v>800000</v>
      </c>
      <c r="M1184" s="102">
        <f>300000+200000+300000</f>
        <v>800000</v>
      </c>
      <c r="N1184" s="703"/>
      <c r="O1184" s="1032"/>
      <c r="P1184" s="295"/>
      <c r="Q1184" s="295"/>
      <c r="R1184" s="295"/>
      <c r="S1184" s="295"/>
      <c r="T1184" s="295"/>
      <c r="U1184" s="295"/>
      <c r="V1184" s="295"/>
      <c r="W1184" s="295"/>
      <c r="X1184" s="295"/>
      <c r="Y1184" s="295"/>
      <c r="Z1184" s="295"/>
      <c r="AA1184" s="295"/>
      <c r="AB1184" s="295"/>
      <c r="AC1184" s="295"/>
      <c r="AD1184" s="295"/>
      <c r="AE1184" s="295"/>
      <c r="AF1184" s="295"/>
      <c r="AG1184" s="295"/>
      <c r="AH1184" s="295"/>
      <c r="AI1184" s="295"/>
      <c r="BJ1184" s="295"/>
      <c r="BK1184" s="295"/>
      <c r="BL1184" s="295"/>
      <c r="BM1184" s="295"/>
      <c r="BN1184" s="295"/>
    </row>
    <row r="1185" spans="1:66" ht="21.75" customHeight="1">
      <c r="A1185" s="986"/>
      <c r="B1185" s="634" t="s">
        <v>443</v>
      </c>
      <c r="C1185" s="643"/>
      <c r="D1185" s="643"/>
      <c r="E1185" s="643"/>
      <c r="F1185" s="643"/>
      <c r="G1185" s="102">
        <f t="shared" si="444"/>
        <v>490000</v>
      </c>
      <c r="H1185" s="103"/>
      <c r="I1185" s="102"/>
      <c r="J1185" s="102"/>
      <c r="K1185" s="102">
        <v>490000</v>
      </c>
      <c r="L1185" s="102">
        <v>0</v>
      </c>
      <c r="M1185" s="102">
        <v>0</v>
      </c>
      <c r="N1185" s="703"/>
      <c r="O1185" s="1032"/>
      <c r="P1185" s="295"/>
      <c r="Q1185" s="295"/>
      <c r="R1185" s="295"/>
      <c r="S1185" s="295"/>
      <c r="T1185" s="295"/>
      <c r="U1185" s="295"/>
      <c r="V1185" s="295"/>
      <c r="W1185" s="295"/>
      <c r="X1185" s="295"/>
      <c r="Y1185" s="295"/>
      <c r="Z1185" s="295"/>
      <c r="AA1185" s="295"/>
      <c r="AB1185" s="295"/>
      <c r="AC1185" s="295"/>
      <c r="AD1185" s="295"/>
      <c r="AE1185" s="295"/>
      <c r="AF1185" s="295"/>
      <c r="AG1185" s="295"/>
      <c r="AH1185" s="295"/>
      <c r="AI1185" s="295"/>
      <c r="BJ1185" s="295"/>
      <c r="BK1185" s="295"/>
      <c r="BL1185" s="295"/>
      <c r="BM1185" s="295"/>
      <c r="BN1185" s="295"/>
    </row>
    <row r="1186" spans="1:66" ht="27" customHeight="1">
      <c r="A1186" s="987"/>
      <c r="B1186" s="634" t="s">
        <v>476</v>
      </c>
      <c r="C1186" s="643"/>
      <c r="D1186" s="643"/>
      <c r="E1186" s="643"/>
      <c r="F1186" s="643"/>
      <c r="G1186" s="102">
        <f t="shared" si="444"/>
        <v>386695</v>
      </c>
      <c r="H1186" s="103"/>
      <c r="I1186" s="102"/>
      <c r="J1186" s="102"/>
      <c r="K1186" s="102">
        <v>386695</v>
      </c>
      <c r="L1186" s="102">
        <v>363931</v>
      </c>
      <c r="M1186" s="102">
        <v>261408</v>
      </c>
      <c r="N1186" s="703"/>
      <c r="O1186" s="1031"/>
    </row>
    <row r="1187" spans="1:66" ht="21" customHeight="1">
      <c r="A1187" s="985" t="s">
        <v>659</v>
      </c>
      <c r="B1187" s="128" t="s">
        <v>25</v>
      </c>
      <c r="C1187" s="643"/>
      <c r="D1187" s="643"/>
      <c r="E1187" s="643"/>
      <c r="F1187" s="643"/>
      <c r="G1187" s="102">
        <f>G1188+G1189+G1190</f>
        <v>4284752.45</v>
      </c>
      <c r="H1187" s="102">
        <f t="shared" ref="H1187:M1187" si="450">H1188+H1189+H1190</f>
        <v>5736.3</v>
      </c>
      <c r="I1187" s="102">
        <f t="shared" si="450"/>
        <v>0</v>
      </c>
      <c r="J1187" s="102">
        <f t="shared" si="450"/>
        <v>0</v>
      </c>
      <c r="K1187" s="102">
        <f t="shared" si="450"/>
        <v>4279016.1500000004</v>
      </c>
      <c r="L1187" s="102">
        <f t="shared" si="450"/>
        <v>6478204.5</v>
      </c>
      <c r="M1187" s="102">
        <f t="shared" si="450"/>
        <v>4698758.3000000007</v>
      </c>
      <c r="N1187" s="703"/>
      <c r="O1187" s="1030"/>
    </row>
    <row r="1188" spans="1:66" ht="18.75" customHeight="1">
      <c r="A1188" s="986"/>
      <c r="B1188" s="634" t="s">
        <v>10</v>
      </c>
      <c r="C1188" s="643"/>
      <c r="D1188" s="643"/>
      <c r="E1188" s="643"/>
      <c r="F1188" s="643"/>
      <c r="G1188" s="102">
        <f t="shared" ref="G1188:M1189" si="451">G15+G450+G775+G1163</f>
        <v>2400116.7000000002</v>
      </c>
      <c r="H1188" s="102">
        <f t="shared" si="451"/>
        <v>5736.3</v>
      </c>
      <c r="I1188" s="102">
        <f t="shared" si="451"/>
        <v>0</v>
      </c>
      <c r="J1188" s="102">
        <f t="shared" si="451"/>
        <v>0</v>
      </c>
      <c r="K1188" s="102">
        <f>K15+K450+K775+K1163</f>
        <v>2394380.4000000004</v>
      </c>
      <c r="L1188" s="102">
        <f t="shared" si="451"/>
        <v>5106323.5</v>
      </c>
      <c r="M1188" s="102">
        <f t="shared" si="451"/>
        <v>4429562.4000000004</v>
      </c>
      <c r="N1188" s="703"/>
      <c r="O1188" s="1032"/>
    </row>
    <row r="1189" spans="1:66" ht="18.75" customHeight="1">
      <c r="A1189" s="986"/>
      <c r="B1189" s="634" t="s">
        <v>443</v>
      </c>
      <c r="C1189" s="643"/>
      <c r="D1189" s="643"/>
      <c r="E1189" s="643"/>
      <c r="F1189" s="643"/>
      <c r="G1189" s="102">
        <f t="shared" si="451"/>
        <v>1490000</v>
      </c>
      <c r="H1189" s="102">
        <f t="shared" si="451"/>
        <v>0</v>
      </c>
      <c r="I1189" s="102">
        <f t="shared" si="451"/>
        <v>0</v>
      </c>
      <c r="J1189" s="102">
        <f t="shared" si="451"/>
        <v>0</v>
      </c>
      <c r="K1189" s="102">
        <f t="shared" si="451"/>
        <v>1490000</v>
      </c>
      <c r="L1189" s="102">
        <f t="shared" si="451"/>
        <v>1000000</v>
      </c>
      <c r="M1189" s="102">
        <f t="shared" si="451"/>
        <v>0</v>
      </c>
      <c r="N1189" s="703"/>
      <c r="O1189" s="1032"/>
    </row>
    <row r="1190" spans="1:66" ht="18.75" customHeight="1">
      <c r="A1190" s="986"/>
      <c r="B1190" s="634" t="s">
        <v>476</v>
      </c>
      <c r="C1190" s="643"/>
      <c r="D1190" s="643"/>
      <c r="E1190" s="643"/>
      <c r="F1190" s="643"/>
      <c r="G1190" s="102">
        <f>G1165</f>
        <v>394635.75</v>
      </c>
      <c r="H1190" s="102">
        <f t="shared" ref="H1190:M1190" si="452">H1165</f>
        <v>0</v>
      </c>
      <c r="I1190" s="102">
        <f t="shared" si="452"/>
        <v>0</v>
      </c>
      <c r="J1190" s="102">
        <f t="shared" si="452"/>
        <v>0</v>
      </c>
      <c r="K1190" s="102">
        <f t="shared" si="452"/>
        <v>394635.75</v>
      </c>
      <c r="L1190" s="102">
        <f t="shared" si="452"/>
        <v>371881</v>
      </c>
      <c r="M1190" s="102">
        <f t="shared" si="452"/>
        <v>269195.90000000002</v>
      </c>
      <c r="N1190" s="703"/>
      <c r="O1190" s="1032"/>
    </row>
    <row r="1191" spans="1:66" ht="22.5" customHeight="1">
      <c r="A1191" s="987"/>
      <c r="B1191" s="634" t="s">
        <v>454</v>
      </c>
      <c r="C1191" s="635"/>
      <c r="D1191" s="635"/>
      <c r="E1191" s="635"/>
      <c r="F1191" s="635"/>
      <c r="G1191" s="23"/>
      <c r="H1191" s="23"/>
      <c r="I1191" s="23"/>
      <c r="J1191" s="23"/>
      <c r="K1191" s="23"/>
      <c r="L1191" s="23"/>
      <c r="M1191" s="23"/>
      <c r="N1191" s="699"/>
      <c r="O1191" s="1031"/>
    </row>
    <row r="1192" spans="1:66" ht="17.25" customHeight="1">
      <c r="A1192" s="1136"/>
      <c r="B1192" s="1136"/>
      <c r="C1192" s="1136"/>
      <c r="D1192" s="1136"/>
      <c r="E1192" s="1136"/>
      <c r="F1192" s="1136"/>
      <c r="G1192" s="1136"/>
      <c r="H1192" s="1136"/>
      <c r="I1192" s="1136"/>
      <c r="J1192" s="1136"/>
      <c r="K1192" s="1136"/>
      <c r="L1192" s="1136"/>
      <c r="M1192" s="1136"/>
      <c r="N1192" s="1136"/>
      <c r="O1192" s="1136"/>
    </row>
    <row r="1193" spans="1:66" ht="39.6" customHeight="1">
      <c r="A1193" s="1136" t="s">
        <v>674</v>
      </c>
      <c r="B1193" s="1136"/>
      <c r="C1193" s="1136"/>
      <c r="D1193" s="1136"/>
      <c r="E1193" s="1136"/>
      <c r="F1193" s="1136"/>
      <c r="G1193" s="1136"/>
      <c r="H1193" s="1136"/>
      <c r="I1193" s="1136"/>
      <c r="J1193" s="1136"/>
      <c r="K1193" s="1136"/>
      <c r="L1193" s="1136"/>
      <c r="M1193" s="1136"/>
      <c r="N1193" s="1136"/>
      <c r="O1193" s="1136"/>
    </row>
    <row r="1194" spans="1:66" ht="24.6" customHeight="1">
      <c r="A1194" s="1136"/>
      <c r="B1194" s="1136"/>
      <c r="C1194" s="1136"/>
      <c r="D1194" s="1136"/>
      <c r="E1194" s="1136"/>
      <c r="F1194" s="1136"/>
      <c r="G1194" s="1136"/>
      <c r="H1194" s="1136"/>
      <c r="I1194" s="1136"/>
      <c r="J1194" s="1136"/>
      <c r="K1194" s="1136"/>
      <c r="L1194" s="1136"/>
      <c r="M1194" s="1136"/>
      <c r="N1194" s="1136"/>
      <c r="O1194" s="1136"/>
    </row>
    <row r="1195" spans="1:66" ht="31.15" hidden="1" customHeight="1">
      <c r="A1195" s="1136" t="s">
        <v>562</v>
      </c>
      <c r="B1195" s="1136"/>
      <c r="C1195" s="1136"/>
      <c r="D1195" s="1136"/>
      <c r="E1195" s="1136"/>
      <c r="F1195" s="1136"/>
      <c r="G1195" s="1136"/>
      <c r="H1195" s="1136"/>
      <c r="I1195" s="1136"/>
      <c r="J1195" s="1136"/>
      <c r="K1195" s="1136"/>
      <c r="L1195" s="1136"/>
      <c r="M1195" s="1136"/>
      <c r="N1195" s="1136"/>
      <c r="O1195" s="1136"/>
    </row>
    <row r="1196" spans="1:66">
      <c r="A1196" s="1137"/>
      <c r="B1196" s="1137"/>
      <c r="C1196" s="1137"/>
      <c r="D1196" s="1137"/>
      <c r="E1196" s="1137"/>
      <c r="F1196" s="1137"/>
      <c r="G1196" s="1137"/>
      <c r="H1196" s="1137"/>
      <c r="I1196" s="1137"/>
      <c r="J1196" s="1137"/>
      <c r="K1196" s="1137"/>
      <c r="L1196" s="1137"/>
      <c r="M1196" s="1137"/>
      <c r="N1196" s="1137"/>
      <c r="O1196" s="1137"/>
    </row>
  </sheetData>
  <mergeCells count="679">
    <mergeCell ref="R444:S444"/>
    <mergeCell ref="T444:U444"/>
    <mergeCell ref="V444:W444"/>
    <mergeCell ref="R446:S446"/>
    <mergeCell ref="T446:U446"/>
    <mergeCell ref="V446:W446"/>
    <mergeCell ref="N415:N425"/>
    <mergeCell ref="O415:O417"/>
    <mergeCell ref="A977:A980"/>
    <mergeCell ref="O942:O943"/>
    <mergeCell ref="O944:O945"/>
    <mergeCell ref="O946:O947"/>
    <mergeCell ref="O948:O949"/>
    <mergeCell ref="O950:O951"/>
    <mergeCell ref="A466:A467"/>
    <mergeCell ref="O466:O467"/>
    <mergeCell ref="A476:A477"/>
    <mergeCell ref="O476:O477"/>
    <mergeCell ref="O969:O970"/>
    <mergeCell ref="O914:O915"/>
    <mergeCell ref="A971:A974"/>
    <mergeCell ref="A975:A976"/>
    <mergeCell ref="A950:A951"/>
    <mergeCell ref="O967:O968"/>
    <mergeCell ref="A983:A984"/>
    <mergeCell ref="O977:O980"/>
    <mergeCell ref="O983:O984"/>
    <mergeCell ref="A1069:A1070"/>
    <mergeCell ref="A1071:A1072"/>
    <mergeCell ref="O1071:O1072"/>
    <mergeCell ref="O989:O990"/>
    <mergeCell ref="A952:A953"/>
    <mergeCell ref="A954:A955"/>
    <mergeCell ref="O952:O953"/>
    <mergeCell ref="O954:O955"/>
    <mergeCell ref="A969:A970"/>
    <mergeCell ref="O999:O1000"/>
    <mergeCell ref="A1011:A1014"/>
    <mergeCell ref="O1063:O1066"/>
    <mergeCell ref="O1067:O1068"/>
    <mergeCell ref="A1051:A1052"/>
    <mergeCell ref="O1051:O1052"/>
    <mergeCell ref="O1023:O1026"/>
    <mergeCell ref="O1011:O1014"/>
    <mergeCell ref="A1057:A1060"/>
    <mergeCell ref="O1061:O1062"/>
    <mergeCell ref="A1019:A1022"/>
    <mergeCell ref="A1023:A1026"/>
    <mergeCell ref="A1194:O1194"/>
    <mergeCell ref="A1192:O1192"/>
    <mergeCell ref="A1196:O1196"/>
    <mergeCell ref="A1195:O1195"/>
    <mergeCell ref="A1193:O1193"/>
    <mergeCell ref="O991:O994"/>
    <mergeCell ref="A1015:A1018"/>
    <mergeCell ref="A1073:A1074"/>
    <mergeCell ref="A1039:A1042"/>
    <mergeCell ref="O1039:O1042"/>
    <mergeCell ref="A1043:A1046"/>
    <mergeCell ref="O1015:O1018"/>
    <mergeCell ref="A1085:A1086"/>
    <mergeCell ref="O1007:O1010"/>
    <mergeCell ref="A1101:A1102"/>
    <mergeCell ref="O1101:O1102"/>
    <mergeCell ref="A1061:A1062"/>
    <mergeCell ref="A1031:A1034"/>
    <mergeCell ref="O1031:O1034"/>
    <mergeCell ref="A1035:A1038"/>
    <mergeCell ref="O1035:O1038"/>
    <mergeCell ref="O1019:O1022"/>
    <mergeCell ref="A1027:A1030"/>
    <mergeCell ref="O1027:O1030"/>
    <mergeCell ref="A908:A909"/>
    <mergeCell ref="O940:O941"/>
    <mergeCell ref="A910:A913"/>
    <mergeCell ref="O920:O923"/>
    <mergeCell ref="A920:A923"/>
    <mergeCell ref="A956:A959"/>
    <mergeCell ref="A944:A945"/>
    <mergeCell ref="A946:A947"/>
    <mergeCell ref="A948:A949"/>
    <mergeCell ref="A480:A481"/>
    <mergeCell ref="A482:A483"/>
    <mergeCell ref="O482:O483"/>
    <mergeCell ref="O486:O487"/>
    <mergeCell ref="A468:A469"/>
    <mergeCell ref="O468:O469"/>
    <mergeCell ref="A470:A471"/>
    <mergeCell ref="O470:O471"/>
    <mergeCell ref="A472:A473"/>
    <mergeCell ref="A474:A475"/>
    <mergeCell ref="O474:O475"/>
    <mergeCell ref="A205:A207"/>
    <mergeCell ref="O205:O207"/>
    <mergeCell ref="A297:A300"/>
    <mergeCell ref="O297:O300"/>
    <mergeCell ref="A318:A321"/>
    <mergeCell ref="O318:O321"/>
    <mergeCell ref="O426:O429"/>
    <mergeCell ref="A426:A429"/>
    <mergeCell ref="O422:O425"/>
    <mergeCell ref="A422:A425"/>
    <mergeCell ref="O418:O421"/>
    <mergeCell ref="A418:A421"/>
    <mergeCell ref="A224:A226"/>
    <mergeCell ref="O224:O226"/>
    <mergeCell ref="A227:A229"/>
    <mergeCell ref="O227:O229"/>
    <mergeCell ref="A238:A241"/>
    <mergeCell ref="O238:O241"/>
    <mergeCell ref="A208:A211"/>
    <mergeCell ref="O208:O211"/>
    <mergeCell ref="A212:A215"/>
    <mergeCell ref="O249:O252"/>
    <mergeCell ref="A257:A260"/>
    <mergeCell ref="A253:A256"/>
    <mergeCell ref="A201:A204"/>
    <mergeCell ref="A185:A187"/>
    <mergeCell ref="A169:A172"/>
    <mergeCell ref="O169:O172"/>
    <mergeCell ref="A173:A176"/>
    <mergeCell ref="O173:O176"/>
    <mergeCell ref="A191:A193"/>
    <mergeCell ref="O191:O193"/>
    <mergeCell ref="A194:A197"/>
    <mergeCell ref="A198:A200"/>
    <mergeCell ref="O198:O200"/>
    <mergeCell ref="O194:O197"/>
    <mergeCell ref="A177:A180"/>
    <mergeCell ref="O177:O180"/>
    <mergeCell ref="A154:A157"/>
    <mergeCell ref="A158:A161"/>
    <mergeCell ref="O154:O157"/>
    <mergeCell ref="O158:O161"/>
    <mergeCell ref="A150:A153"/>
    <mergeCell ref="A181:A184"/>
    <mergeCell ref="O185:O187"/>
    <mergeCell ref="A188:A190"/>
    <mergeCell ref="O188:O190"/>
    <mergeCell ref="A165:A168"/>
    <mergeCell ref="A3:O3"/>
    <mergeCell ref="A4:O4"/>
    <mergeCell ref="A6:A8"/>
    <mergeCell ref="B6:B8"/>
    <mergeCell ref="C6:F7"/>
    <mergeCell ref="G6:G8"/>
    <mergeCell ref="M6:M7"/>
    <mergeCell ref="O253:O256"/>
    <mergeCell ref="A120:A122"/>
    <mergeCell ref="A146:A149"/>
    <mergeCell ref="A162:A164"/>
    <mergeCell ref="O162:O164"/>
    <mergeCell ref="A130:A133"/>
    <mergeCell ref="O130:O133"/>
    <mergeCell ref="A134:A137"/>
    <mergeCell ref="O134:O137"/>
    <mergeCell ref="A138:A141"/>
    <mergeCell ref="O142:O145"/>
    <mergeCell ref="A142:A145"/>
    <mergeCell ref="A123:A125"/>
    <mergeCell ref="O123:O125"/>
    <mergeCell ref="A126:A129"/>
    <mergeCell ref="O126:O129"/>
    <mergeCell ref="O150:O153"/>
    <mergeCell ref="P27:R27"/>
    <mergeCell ref="A29:A32"/>
    <mergeCell ref="A33:A36"/>
    <mergeCell ref="O33:O36"/>
    <mergeCell ref="A37:A40"/>
    <mergeCell ref="O37:O40"/>
    <mergeCell ref="L6:L8"/>
    <mergeCell ref="N6:N8"/>
    <mergeCell ref="O6:O8"/>
    <mergeCell ref="H6:K6"/>
    <mergeCell ref="A11:A19"/>
    <mergeCell ref="A20:A27"/>
    <mergeCell ref="N11:N19"/>
    <mergeCell ref="N20:N27"/>
    <mergeCell ref="O11:O19"/>
    <mergeCell ref="O20:O27"/>
    <mergeCell ref="A56:A58"/>
    <mergeCell ref="O56:O58"/>
    <mergeCell ref="A59:A62"/>
    <mergeCell ref="A63:A66"/>
    <mergeCell ref="O64:O66"/>
    <mergeCell ref="A67:A70"/>
    <mergeCell ref="O67:O70"/>
    <mergeCell ref="O87:O89"/>
    <mergeCell ref="A41:A44"/>
    <mergeCell ref="O41:O44"/>
    <mergeCell ref="A45:A48"/>
    <mergeCell ref="O49:O52"/>
    <mergeCell ref="A53:A55"/>
    <mergeCell ref="A49:A52"/>
    <mergeCell ref="A271:A274"/>
    <mergeCell ref="O271:O274"/>
    <mergeCell ref="A71:A73"/>
    <mergeCell ref="O71:O73"/>
    <mergeCell ref="A94:A97"/>
    <mergeCell ref="A98:A101"/>
    <mergeCell ref="O98:O101"/>
    <mergeCell ref="A114:A116"/>
    <mergeCell ref="O114:O116"/>
    <mergeCell ref="A117:A119"/>
    <mergeCell ref="O117:O119"/>
    <mergeCell ref="A90:A93"/>
    <mergeCell ref="A78:A81"/>
    <mergeCell ref="A106:A109"/>
    <mergeCell ref="O74:O77"/>
    <mergeCell ref="O78:O81"/>
    <mergeCell ref="O90:O93"/>
    <mergeCell ref="O106:O109"/>
    <mergeCell ref="A102:A105"/>
    <mergeCell ref="O103:O105"/>
    <mergeCell ref="A110:A113"/>
    <mergeCell ref="A82:A85"/>
    <mergeCell ref="O82:O85"/>
    <mergeCell ref="A86:A89"/>
    <mergeCell ref="O342:O345"/>
    <mergeCell ref="A346:A349"/>
    <mergeCell ref="A309:A313"/>
    <mergeCell ref="O309:O313"/>
    <mergeCell ref="A330:A333"/>
    <mergeCell ref="O330:O333"/>
    <mergeCell ref="A216:A219"/>
    <mergeCell ref="O216:O219"/>
    <mergeCell ref="A220:A223"/>
    <mergeCell ref="A280:A283"/>
    <mergeCell ref="O280:O283"/>
    <mergeCell ref="A284:A287"/>
    <mergeCell ref="O284:O287"/>
    <mergeCell ref="A230:A233"/>
    <mergeCell ref="O220:O223"/>
    <mergeCell ref="O230:O233"/>
    <mergeCell ref="A261:A264"/>
    <mergeCell ref="O261:O264"/>
    <mergeCell ref="A275:A279"/>
    <mergeCell ref="O275:O279"/>
    <mergeCell ref="A242:A244"/>
    <mergeCell ref="O242:O244"/>
    <mergeCell ref="A245:A248"/>
    <mergeCell ref="A249:A252"/>
    <mergeCell ref="A305:A308"/>
    <mergeCell ref="O305:O308"/>
    <mergeCell ref="A326:A329"/>
    <mergeCell ref="O334:O337"/>
    <mergeCell ref="A288:A291"/>
    <mergeCell ref="O288:O291"/>
    <mergeCell ref="A314:A317"/>
    <mergeCell ref="A322:A325"/>
    <mergeCell ref="O314:O317"/>
    <mergeCell ref="O322:O325"/>
    <mergeCell ref="O301:O304"/>
    <mergeCell ref="A301:A304"/>
    <mergeCell ref="A334:A337"/>
    <mergeCell ref="A410:A413"/>
    <mergeCell ref="O410:O413"/>
    <mergeCell ref="A382:A385"/>
    <mergeCell ref="O382:O385"/>
    <mergeCell ref="A386:A389"/>
    <mergeCell ref="A390:A393"/>
    <mergeCell ref="O390:O393"/>
    <mergeCell ref="A398:A401"/>
    <mergeCell ref="A394:A397"/>
    <mergeCell ref="O394:O397"/>
    <mergeCell ref="A402:A405"/>
    <mergeCell ref="O402:O405"/>
    <mergeCell ref="A406:A409"/>
    <mergeCell ref="A434:A436"/>
    <mergeCell ref="A447:A453"/>
    <mergeCell ref="N447:N453"/>
    <mergeCell ref="O447:O453"/>
    <mergeCell ref="O434:O436"/>
    <mergeCell ref="A464:A465"/>
    <mergeCell ref="O464:O465"/>
    <mergeCell ref="A430:A433"/>
    <mergeCell ref="O430:O433"/>
    <mergeCell ref="A454:A455"/>
    <mergeCell ref="A456:A457"/>
    <mergeCell ref="O456:O457"/>
    <mergeCell ref="A460:A461"/>
    <mergeCell ref="O460:O461"/>
    <mergeCell ref="A437:A439"/>
    <mergeCell ref="O437:O439"/>
    <mergeCell ref="N437:N439"/>
    <mergeCell ref="A440:A446"/>
    <mergeCell ref="N440:N446"/>
    <mergeCell ref="O440:O446"/>
    <mergeCell ref="A502:A503"/>
    <mergeCell ref="O502:O503"/>
    <mergeCell ref="A508:A511"/>
    <mergeCell ref="A512:A513"/>
    <mergeCell ref="O512:O513"/>
    <mergeCell ref="A516:A519"/>
    <mergeCell ref="O516:O519"/>
    <mergeCell ref="A490:A491"/>
    <mergeCell ref="A492:A493"/>
    <mergeCell ref="O492:O493"/>
    <mergeCell ref="A494:A495"/>
    <mergeCell ref="A496:A499"/>
    <mergeCell ref="A500:A501"/>
    <mergeCell ref="O500:O501"/>
    <mergeCell ref="O504:O507"/>
    <mergeCell ref="A514:A515"/>
    <mergeCell ref="O514:O515"/>
    <mergeCell ref="O494:O495"/>
    <mergeCell ref="A504:A507"/>
    <mergeCell ref="A536:A537"/>
    <mergeCell ref="O536:O537"/>
    <mergeCell ref="A538:A541"/>
    <mergeCell ref="A542:A543"/>
    <mergeCell ref="O542:O543"/>
    <mergeCell ref="O550:O551"/>
    <mergeCell ref="A524:A527"/>
    <mergeCell ref="A528:A531"/>
    <mergeCell ref="O528:O531"/>
    <mergeCell ref="A532:A533"/>
    <mergeCell ref="O532:O533"/>
    <mergeCell ref="A534:A535"/>
    <mergeCell ref="O534:O535"/>
    <mergeCell ref="A544:A547"/>
    <mergeCell ref="O544:O547"/>
    <mergeCell ref="A570:A571"/>
    <mergeCell ref="O570:O571"/>
    <mergeCell ref="A572:A573"/>
    <mergeCell ref="O576:O577"/>
    <mergeCell ref="A578:A579"/>
    <mergeCell ref="A582:A583"/>
    <mergeCell ref="O582:O583"/>
    <mergeCell ref="A554:A557"/>
    <mergeCell ref="A558:A559"/>
    <mergeCell ref="O558:O559"/>
    <mergeCell ref="A560:A561"/>
    <mergeCell ref="O560:O561"/>
    <mergeCell ref="O564:O565"/>
    <mergeCell ref="A566:A569"/>
    <mergeCell ref="O566:O569"/>
    <mergeCell ref="A580:A581"/>
    <mergeCell ref="O580:O581"/>
    <mergeCell ref="A576:A577"/>
    <mergeCell ref="A563:A565"/>
    <mergeCell ref="A598:A599"/>
    <mergeCell ref="O598:O599"/>
    <mergeCell ref="A600:A601"/>
    <mergeCell ref="A602:A603"/>
    <mergeCell ref="O602:O603"/>
    <mergeCell ref="A604:A605"/>
    <mergeCell ref="O604:O605"/>
    <mergeCell ref="A584:A585"/>
    <mergeCell ref="A588:A589"/>
    <mergeCell ref="O588:O589"/>
    <mergeCell ref="A590:A591"/>
    <mergeCell ref="A592:A593"/>
    <mergeCell ref="O592:O593"/>
    <mergeCell ref="A586:A587"/>
    <mergeCell ref="O586:O587"/>
    <mergeCell ref="A626:A627"/>
    <mergeCell ref="O626:O627"/>
    <mergeCell ref="A628:A629"/>
    <mergeCell ref="O628:O629"/>
    <mergeCell ref="A630:A633"/>
    <mergeCell ref="O630:O631"/>
    <mergeCell ref="A606:A609"/>
    <mergeCell ref="A610:A611"/>
    <mergeCell ref="O610:O611"/>
    <mergeCell ref="A612:A615"/>
    <mergeCell ref="O612:O615"/>
    <mergeCell ref="A616:A617"/>
    <mergeCell ref="O616:O617"/>
    <mergeCell ref="A622:A625"/>
    <mergeCell ref="O622:O625"/>
    <mergeCell ref="A618:A620"/>
    <mergeCell ref="A661:A662"/>
    <mergeCell ref="O661:O662"/>
    <mergeCell ref="A663:A664"/>
    <mergeCell ref="A665:A666"/>
    <mergeCell ref="O665:O666"/>
    <mergeCell ref="A667:A668"/>
    <mergeCell ref="O667:O668"/>
    <mergeCell ref="A634:A637"/>
    <mergeCell ref="O638:O641"/>
    <mergeCell ref="O642:O643"/>
    <mergeCell ref="A644:A647"/>
    <mergeCell ref="A650:A651"/>
    <mergeCell ref="O650:O651"/>
    <mergeCell ref="A638:A641"/>
    <mergeCell ref="A642:A643"/>
    <mergeCell ref="A652:A656"/>
    <mergeCell ref="A657:A660"/>
    <mergeCell ref="O652:O656"/>
    <mergeCell ref="O657:O660"/>
    <mergeCell ref="A648:A649"/>
    <mergeCell ref="O648:O649"/>
    <mergeCell ref="A683:A686"/>
    <mergeCell ref="O687:O688"/>
    <mergeCell ref="A689:A692"/>
    <mergeCell ref="O689:O692"/>
    <mergeCell ref="A669:A670"/>
    <mergeCell ref="A671:A672"/>
    <mergeCell ref="O671:O672"/>
    <mergeCell ref="A675:A676"/>
    <mergeCell ref="O675:O676"/>
    <mergeCell ref="A681:A682"/>
    <mergeCell ref="O681:O682"/>
    <mergeCell ref="A679:A680"/>
    <mergeCell ref="O679:O680"/>
    <mergeCell ref="A687:A688"/>
    <mergeCell ref="A693:A696"/>
    <mergeCell ref="O693:O696"/>
    <mergeCell ref="A697:A698"/>
    <mergeCell ref="A699:A700"/>
    <mergeCell ref="O699:O700"/>
    <mergeCell ref="A701:A702"/>
    <mergeCell ref="O711:O714"/>
    <mergeCell ref="O715:O718"/>
    <mergeCell ref="O701:O702"/>
    <mergeCell ref="O721:O724"/>
    <mergeCell ref="A725:A728"/>
    <mergeCell ref="A729:A730"/>
    <mergeCell ref="O729:O730"/>
    <mergeCell ref="A731:A734"/>
    <mergeCell ref="O731:O734"/>
    <mergeCell ref="A721:A724"/>
    <mergeCell ref="A703:A704"/>
    <mergeCell ref="O703:O704"/>
    <mergeCell ref="A705:A710"/>
    <mergeCell ref="A711:A714"/>
    <mergeCell ref="A715:A718"/>
    <mergeCell ref="A719:A720"/>
    <mergeCell ref="O719:O720"/>
    <mergeCell ref="A749:A750"/>
    <mergeCell ref="O749:O750"/>
    <mergeCell ref="A753:A754"/>
    <mergeCell ref="A791:A792"/>
    <mergeCell ref="A805:A806"/>
    <mergeCell ref="O801:O802"/>
    <mergeCell ref="A763:A764"/>
    <mergeCell ref="O763:O764"/>
    <mergeCell ref="A765:A766"/>
    <mergeCell ref="O765:O766"/>
    <mergeCell ref="A772:A778"/>
    <mergeCell ref="A755:A756"/>
    <mergeCell ref="O753:O754"/>
    <mergeCell ref="A757:A758"/>
    <mergeCell ref="O757:O758"/>
    <mergeCell ref="A759:A760"/>
    <mergeCell ref="O759:O760"/>
    <mergeCell ref="A761:A762"/>
    <mergeCell ref="O793:O794"/>
    <mergeCell ref="O805:O806"/>
    <mergeCell ref="A801:A804"/>
    <mergeCell ref="A797:A800"/>
    <mergeCell ref="A769:A771"/>
    <mergeCell ref="N769:N771"/>
    <mergeCell ref="A735:A736"/>
    <mergeCell ref="O735:O736"/>
    <mergeCell ref="A737:A738"/>
    <mergeCell ref="A739:A740"/>
    <mergeCell ref="O739:O740"/>
    <mergeCell ref="A741:A742"/>
    <mergeCell ref="O741:O742"/>
    <mergeCell ref="A745:A746"/>
    <mergeCell ref="A747:A748"/>
    <mergeCell ref="O747:O748"/>
    <mergeCell ref="A851:A852"/>
    <mergeCell ref="N772:N778"/>
    <mergeCell ref="O772:O778"/>
    <mergeCell ref="A795:A796"/>
    <mergeCell ref="O795:O796"/>
    <mergeCell ref="A819:A822"/>
    <mergeCell ref="A827:A830"/>
    <mergeCell ref="O827:O830"/>
    <mergeCell ref="A831:A834"/>
    <mergeCell ref="A807:A810"/>
    <mergeCell ref="A815:A816"/>
    <mergeCell ref="A817:A818"/>
    <mergeCell ref="O815:O816"/>
    <mergeCell ref="O817:O818"/>
    <mergeCell ref="A823:A826"/>
    <mergeCell ref="O823:O826"/>
    <mergeCell ref="O791:O792"/>
    <mergeCell ref="A811:A814"/>
    <mergeCell ref="A793:A794"/>
    <mergeCell ref="O789:O790"/>
    <mergeCell ref="O811:O814"/>
    <mergeCell ref="O851:O852"/>
    <mergeCell ref="A835:A838"/>
    <mergeCell ref="W9:Y9"/>
    <mergeCell ref="Q9:S9"/>
    <mergeCell ref="T9:V9"/>
    <mergeCell ref="A234:A237"/>
    <mergeCell ref="A265:A270"/>
    <mergeCell ref="A362:A365"/>
    <mergeCell ref="A74:A77"/>
    <mergeCell ref="A414:A417"/>
    <mergeCell ref="A370:A373"/>
    <mergeCell ref="O370:O373"/>
    <mergeCell ref="A378:A381"/>
    <mergeCell ref="O378:O381"/>
    <mergeCell ref="A374:A377"/>
    <mergeCell ref="A350:A353"/>
    <mergeCell ref="O350:O353"/>
    <mergeCell ref="A354:A357"/>
    <mergeCell ref="O354:O357"/>
    <mergeCell ref="A358:A361"/>
    <mergeCell ref="O358:O361"/>
    <mergeCell ref="A292:A296"/>
    <mergeCell ref="O292:O296"/>
    <mergeCell ref="A366:A369"/>
    <mergeCell ref="O366:O369"/>
    <mergeCell ref="O406:O409"/>
    <mergeCell ref="A338:A341"/>
    <mergeCell ref="A342:A345"/>
    <mergeCell ref="O1073:O1074"/>
    <mergeCell ref="A989:A990"/>
    <mergeCell ref="A1003:A1006"/>
    <mergeCell ref="A1007:A1010"/>
    <mergeCell ref="A965:A966"/>
    <mergeCell ref="O965:O966"/>
    <mergeCell ref="A963:A964"/>
    <mergeCell ref="A853:A854"/>
    <mergeCell ref="O853:O854"/>
    <mergeCell ref="A855:A856"/>
    <mergeCell ref="O855:O856"/>
    <mergeCell ref="O520:O523"/>
    <mergeCell ref="A574:A575"/>
    <mergeCell ref="O574:O575"/>
    <mergeCell ref="O881:O884"/>
    <mergeCell ref="A520:A523"/>
    <mergeCell ref="A779:A782"/>
    <mergeCell ref="A783:A786"/>
    <mergeCell ref="O783:O786"/>
    <mergeCell ref="A787:A788"/>
    <mergeCell ref="A789:A790"/>
    <mergeCell ref="O835:O838"/>
    <mergeCell ref="A1187:A1191"/>
    <mergeCell ref="A1155:A1156"/>
    <mergeCell ref="O1153:O1154"/>
    <mergeCell ref="O1155:O1156"/>
    <mergeCell ref="O1141:O1142"/>
    <mergeCell ref="A1143:A1146"/>
    <mergeCell ref="A1147:A1148"/>
    <mergeCell ref="O1147:O1148"/>
    <mergeCell ref="A1149:A1152"/>
    <mergeCell ref="O1149:O1152"/>
    <mergeCell ref="A1153:A1154"/>
    <mergeCell ref="A1167:A1170"/>
    <mergeCell ref="A1171:A1174"/>
    <mergeCell ref="A1175:A1178"/>
    <mergeCell ref="A1141:A1142"/>
    <mergeCell ref="A1179:A1182"/>
    <mergeCell ref="A1183:A1186"/>
    <mergeCell ref="N1159:N1166"/>
    <mergeCell ref="O1183:O1186"/>
    <mergeCell ref="O1187:O1191"/>
    <mergeCell ref="O1175:O1178"/>
    <mergeCell ref="O1179:O1182"/>
    <mergeCell ref="O1167:O1170"/>
    <mergeCell ref="A1159:A1166"/>
    <mergeCell ref="O1159:O1166"/>
    <mergeCell ref="O1171:O1174"/>
    <mergeCell ref="A1047:A1050"/>
    <mergeCell ref="O1047:O1050"/>
    <mergeCell ref="O1133:O1134"/>
    <mergeCell ref="A1135:A1136"/>
    <mergeCell ref="A1131:A1132"/>
    <mergeCell ref="A1133:A1134"/>
    <mergeCell ref="O1131:O1132"/>
    <mergeCell ref="A1129:A1130"/>
    <mergeCell ref="A1095:A1098"/>
    <mergeCell ref="A1121:A1124"/>
    <mergeCell ref="A1125:A1128"/>
    <mergeCell ref="O1121:O1124"/>
    <mergeCell ref="O1125:O1128"/>
    <mergeCell ref="A1081:A1084"/>
    <mergeCell ref="O1079:O1080"/>
    <mergeCell ref="O1081:O1084"/>
    <mergeCell ref="O1095:O1098"/>
    <mergeCell ref="A1109:A1112"/>
    <mergeCell ref="A1103:A1104"/>
    <mergeCell ref="A1105:A1106"/>
    <mergeCell ref="A1137:A1138"/>
    <mergeCell ref="O1137:O1138"/>
    <mergeCell ref="A985:A988"/>
    <mergeCell ref="A938:A939"/>
    <mergeCell ref="A940:A941"/>
    <mergeCell ref="A904:A905"/>
    <mergeCell ref="A906:A907"/>
    <mergeCell ref="O904:O905"/>
    <mergeCell ref="A897:A900"/>
    <mergeCell ref="O906:O907"/>
    <mergeCell ref="O901:O903"/>
    <mergeCell ref="A967:A968"/>
    <mergeCell ref="O975:O976"/>
    <mergeCell ref="A932:A935"/>
    <mergeCell ref="A936:A937"/>
    <mergeCell ref="O928:O931"/>
    <mergeCell ref="O932:O935"/>
    <mergeCell ref="O936:O937"/>
    <mergeCell ref="A942:A943"/>
    <mergeCell ref="A918:A919"/>
    <mergeCell ref="O918:O919"/>
    <mergeCell ref="A924:A927"/>
    <mergeCell ref="A928:A931"/>
    <mergeCell ref="O897:O900"/>
    <mergeCell ref="A901:A903"/>
    <mergeCell ref="O908:O909"/>
    <mergeCell ref="A991:A994"/>
    <mergeCell ref="O1001:O1002"/>
    <mergeCell ref="A1063:A1066"/>
    <mergeCell ref="A1067:A1068"/>
    <mergeCell ref="A1117:A1120"/>
    <mergeCell ref="A1113:A1116"/>
    <mergeCell ref="A1099:A1100"/>
    <mergeCell ref="O1099:O1100"/>
    <mergeCell ref="O1113:O1116"/>
    <mergeCell ref="A1053:A1056"/>
    <mergeCell ref="O1053:O1056"/>
    <mergeCell ref="A1087:A1090"/>
    <mergeCell ref="A1075:A1078"/>
    <mergeCell ref="A1079:A1080"/>
    <mergeCell ref="O1085:O1086"/>
    <mergeCell ref="A1107:A1108"/>
    <mergeCell ref="O1105:O1106"/>
    <mergeCell ref="O1107:O1108"/>
    <mergeCell ref="A1091:A1094"/>
    <mergeCell ref="O1091:O1094"/>
    <mergeCell ref="A995:A998"/>
    <mergeCell ref="A999:A1000"/>
    <mergeCell ref="A1001:A1002"/>
    <mergeCell ref="O995:O998"/>
    <mergeCell ref="A981:A982"/>
    <mergeCell ref="O981:O982"/>
    <mergeCell ref="T6:X6"/>
    <mergeCell ref="R451:S451"/>
    <mergeCell ref="T451:U451"/>
    <mergeCell ref="V451:W451"/>
    <mergeCell ref="R453:S453"/>
    <mergeCell ref="T453:U453"/>
    <mergeCell ref="V453:W453"/>
    <mergeCell ref="O857:O858"/>
    <mergeCell ref="A859:A860"/>
    <mergeCell ref="A857:A858"/>
    <mergeCell ref="A861:A862"/>
    <mergeCell ref="O889:O892"/>
    <mergeCell ref="A885:A888"/>
    <mergeCell ref="O885:O888"/>
    <mergeCell ref="A889:A892"/>
    <mergeCell ref="O861:O862"/>
    <mergeCell ref="A843:A846"/>
    <mergeCell ref="O843:O846"/>
    <mergeCell ref="O869:O870"/>
    <mergeCell ref="A914:A915"/>
    <mergeCell ref="A847:A848"/>
    <mergeCell ref="A849:A850"/>
    <mergeCell ref="A1139:A1140"/>
    <mergeCell ref="O1139:O1140"/>
    <mergeCell ref="O769:O771"/>
    <mergeCell ref="A839:A842"/>
    <mergeCell ref="O839:O842"/>
    <mergeCell ref="A916:A917"/>
    <mergeCell ref="O916:O917"/>
    <mergeCell ref="A960:A962"/>
    <mergeCell ref="O960:O962"/>
    <mergeCell ref="A865:A866"/>
    <mergeCell ref="A867:A868"/>
    <mergeCell ref="O867:O868"/>
    <mergeCell ref="A869:A870"/>
    <mergeCell ref="A863:A864"/>
    <mergeCell ref="A871:A872"/>
    <mergeCell ref="A873:A874"/>
    <mergeCell ref="O871:O872"/>
    <mergeCell ref="O873:O874"/>
    <mergeCell ref="O863:O864"/>
    <mergeCell ref="A893:A896"/>
    <mergeCell ref="A877:A880"/>
    <mergeCell ref="A875:A876"/>
    <mergeCell ref="O875:O876"/>
    <mergeCell ref="O849:O850"/>
  </mergeCells>
  <conditionalFormatting sqref="L152:L160">
    <cfRule type="cellIs" dxfId="4" priority="3" stopIfTrue="1" operator="equal">
      <formula>0</formula>
    </cfRule>
  </conditionalFormatting>
  <conditionalFormatting sqref="M279">
    <cfRule type="cellIs" dxfId="3" priority="1" stopIfTrue="1" operator="equal">
      <formula>0</formula>
    </cfRule>
  </conditionalFormatting>
  <printOptions horizontalCentered="1"/>
  <pageMargins left="0.39370078740157483" right="0.39370078740157483" top="0.98425196850393704" bottom="0.39370078740157483" header="0.31496062992125984" footer="0.31496062992125984"/>
  <pageSetup paperSize="9" scale="53" fitToHeight="20" orientation="landscape" r:id="rId1"/>
  <headerFooter differentFirst="1">
    <oddHeader>Страница &amp;P</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O1346"/>
  <sheetViews>
    <sheetView showZeros="0" zoomScaleNormal="100" zoomScaleSheetLayoutView="90" workbookViewId="0">
      <pane xSplit="1" ySplit="9" topLeftCell="B516" activePane="bottomRight" state="frozen"/>
      <selection pane="topRight" activeCell="B1" sqref="B1"/>
      <selection pane="bottomLeft" activeCell="A11" sqref="A11"/>
      <selection pane="bottomRight" activeCell="P1" sqref="P1:AG1048576"/>
    </sheetView>
  </sheetViews>
  <sheetFormatPr defaultColWidth="8.85546875" defaultRowHeight="15"/>
  <cols>
    <col min="1" max="1" width="40.5703125" style="79" customWidth="1"/>
    <col min="2" max="2" width="21.85546875" style="566" customWidth="1"/>
    <col min="3" max="4" width="8.85546875" style="79" hidden="1" customWidth="1"/>
    <col min="5" max="5" width="9.7109375" style="79" hidden="1" customWidth="1"/>
    <col min="6" max="6" width="8.85546875" style="79" hidden="1" customWidth="1"/>
    <col min="7" max="7" width="12.85546875" style="354" customWidth="1"/>
    <col min="8" max="8" width="11.7109375" style="354" customWidth="1"/>
    <col min="9" max="9" width="11.28515625" style="354" customWidth="1"/>
    <col min="10" max="10" width="10.5703125" style="354" customWidth="1"/>
    <col min="11" max="11" width="11" style="354" customWidth="1"/>
    <col min="12" max="12" width="12.5703125" style="354" customWidth="1"/>
    <col min="13" max="13" width="13" style="697" customWidth="1"/>
    <col min="14" max="14" width="15.42578125" style="354" customWidth="1"/>
    <col min="15" max="15" width="25.5703125" style="354" customWidth="1"/>
    <col min="16" max="18" width="9.85546875" style="44" hidden="1" customWidth="1"/>
    <col min="19" max="19" width="10.85546875" style="44" hidden="1" customWidth="1"/>
    <col min="20" max="20" width="15.140625" style="44" hidden="1" customWidth="1"/>
    <col min="21" max="21" width="12.140625" style="44" hidden="1" customWidth="1"/>
    <col min="22" max="22" width="12.28515625" style="44" hidden="1" customWidth="1"/>
    <col min="23" max="23" width="14.85546875" style="44" hidden="1" customWidth="1"/>
    <col min="24" max="24" width="12.85546875" style="44" hidden="1" customWidth="1"/>
    <col min="25" max="25" width="11.42578125" style="44" hidden="1" customWidth="1"/>
    <col min="26" max="26" width="8.85546875" style="44" hidden="1" customWidth="1"/>
    <col min="27" max="27" width="15.85546875" style="44" hidden="1" customWidth="1"/>
    <col min="28" max="28" width="8.85546875" style="44" hidden="1" customWidth="1"/>
    <col min="29" max="29" width="50.85546875" style="44" hidden="1" customWidth="1"/>
    <col min="30" max="33" width="0" style="44" hidden="1" customWidth="1"/>
    <col min="34" max="35" width="8.85546875" style="44"/>
    <col min="36" max="61" width="8.85546875" style="295"/>
    <col min="62" max="16384" width="8.85546875" style="44"/>
  </cols>
  <sheetData>
    <row r="1" spans="1:25" ht="23.25" customHeight="1">
      <c r="A1" s="1153" t="s">
        <v>821</v>
      </c>
      <c r="B1" s="1153"/>
      <c r="C1" s="1153"/>
      <c r="D1" s="1153"/>
      <c r="E1" s="1153"/>
      <c r="F1" s="1153"/>
      <c r="G1" s="1153"/>
      <c r="H1" s="1153"/>
      <c r="I1" s="1153"/>
      <c r="J1" s="1153"/>
      <c r="K1" s="1153"/>
      <c r="L1" s="1153"/>
      <c r="M1" s="1153"/>
      <c r="N1" s="1153"/>
      <c r="O1" s="1153"/>
    </row>
    <row r="2" spans="1:25" ht="26.45" customHeight="1">
      <c r="A2" s="1153"/>
      <c r="B2" s="1153"/>
      <c r="C2" s="1153"/>
      <c r="D2" s="1153"/>
      <c r="E2" s="1153"/>
      <c r="F2" s="1153"/>
      <c r="G2" s="1153"/>
      <c r="H2" s="1153"/>
      <c r="I2" s="1153"/>
      <c r="J2" s="1153"/>
      <c r="K2" s="1153"/>
      <c r="L2" s="1153"/>
      <c r="M2" s="1153"/>
      <c r="N2" s="1153"/>
      <c r="O2" s="1153"/>
    </row>
    <row r="3" spans="1:25" ht="21" customHeight="1">
      <c r="A3" s="1111" t="s">
        <v>822</v>
      </c>
      <c r="B3" s="1111"/>
      <c r="C3" s="1111"/>
      <c r="D3" s="1111"/>
      <c r="E3" s="1111"/>
      <c r="F3" s="1111"/>
      <c r="G3" s="1111"/>
      <c r="H3" s="1111"/>
      <c r="I3" s="1111"/>
      <c r="J3" s="1111"/>
      <c r="K3" s="1111"/>
      <c r="L3" s="1111"/>
      <c r="M3" s="1111"/>
      <c r="N3" s="1111"/>
      <c r="O3" s="1111"/>
      <c r="P3" s="581"/>
      <c r="Q3" s="581"/>
      <c r="R3" s="581"/>
      <c r="S3" s="581"/>
      <c r="T3" s="581"/>
      <c r="U3" s="581"/>
      <c r="V3" s="581"/>
      <c r="W3" s="581"/>
      <c r="X3" s="581"/>
      <c r="Y3" s="581"/>
    </row>
    <row r="4" spans="1:25" ht="43.9" customHeight="1">
      <c r="A4" s="1111"/>
      <c r="B4" s="1111"/>
      <c r="C4" s="1111"/>
      <c r="D4" s="1111"/>
      <c r="E4" s="1111"/>
      <c r="F4" s="1111"/>
      <c r="G4" s="1111"/>
      <c r="H4" s="1111"/>
      <c r="I4" s="1111"/>
      <c r="J4" s="1111"/>
      <c r="K4" s="1111"/>
      <c r="L4" s="1111"/>
      <c r="M4" s="1111"/>
      <c r="N4" s="1111"/>
      <c r="O4" s="1111"/>
      <c r="P4" s="581"/>
      <c r="Q4" s="581"/>
      <c r="R4" s="581"/>
      <c r="S4" s="581"/>
      <c r="T4" s="581"/>
      <c r="U4" s="581"/>
      <c r="V4" s="581"/>
      <c r="W4" s="581"/>
      <c r="X4" s="581"/>
      <c r="Y4" s="581"/>
    </row>
    <row r="5" spans="1:25" ht="21" customHeight="1">
      <c r="A5" s="1112" t="s">
        <v>0</v>
      </c>
      <c r="B5" s="1112" t="s">
        <v>1</v>
      </c>
      <c r="C5" s="1112" t="s">
        <v>143</v>
      </c>
      <c r="D5" s="1112"/>
      <c r="E5" s="1112"/>
      <c r="F5" s="1112"/>
      <c r="G5" s="1037" t="s">
        <v>465</v>
      </c>
      <c r="H5" s="1105" t="s">
        <v>923</v>
      </c>
      <c r="I5" s="1106"/>
      <c r="J5" s="1106"/>
      <c r="K5" s="1107"/>
      <c r="L5" s="1037" t="s">
        <v>525</v>
      </c>
      <c r="M5" s="1138" t="s">
        <v>924</v>
      </c>
      <c r="N5" s="1037" t="s">
        <v>2</v>
      </c>
      <c r="O5" s="1037" t="s">
        <v>3</v>
      </c>
      <c r="T5" s="1041" t="s">
        <v>737</v>
      </c>
      <c r="U5" s="1041"/>
      <c r="V5" s="1041"/>
      <c r="W5" s="1041"/>
      <c r="X5" s="1041"/>
    </row>
    <row r="6" spans="1:25" ht="20.45" customHeight="1">
      <c r="A6" s="1112"/>
      <c r="B6" s="1112"/>
      <c r="C6" s="1112"/>
      <c r="D6" s="1112"/>
      <c r="E6" s="1112"/>
      <c r="F6" s="1112"/>
      <c r="G6" s="1037"/>
      <c r="H6" s="564" t="s">
        <v>146</v>
      </c>
      <c r="I6" s="564" t="s">
        <v>147</v>
      </c>
      <c r="J6" s="564" t="s">
        <v>148</v>
      </c>
      <c r="K6" s="746" t="s">
        <v>149</v>
      </c>
      <c r="L6" s="1037"/>
      <c r="M6" s="1139"/>
      <c r="N6" s="1037"/>
      <c r="O6" s="1037"/>
    </row>
    <row r="7" spans="1:25" ht="4.9000000000000004" hidden="1" customHeight="1">
      <c r="A7" s="1112"/>
      <c r="B7" s="1112"/>
      <c r="C7" s="569" t="s">
        <v>4</v>
      </c>
      <c r="D7" s="569" t="s">
        <v>5</v>
      </c>
      <c r="E7" s="569" t="s">
        <v>6</v>
      </c>
      <c r="F7" s="569" t="s">
        <v>7</v>
      </c>
      <c r="G7" s="1037"/>
      <c r="H7" s="564"/>
      <c r="I7" s="564"/>
      <c r="J7" s="564"/>
      <c r="K7" s="746"/>
      <c r="L7" s="1037"/>
      <c r="M7" s="675"/>
      <c r="N7" s="1037"/>
      <c r="O7" s="1037"/>
    </row>
    <row r="8" spans="1:25">
      <c r="A8" s="569">
        <v>1</v>
      </c>
      <c r="B8" s="569">
        <v>2</v>
      </c>
      <c r="C8" s="569">
        <v>3</v>
      </c>
      <c r="D8" s="569">
        <v>4</v>
      </c>
      <c r="E8" s="569">
        <v>5</v>
      </c>
      <c r="F8" s="569">
        <v>6</v>
      </c>
      <c r="G8" s="564">
        <v>3</v>
      </c>
      <c r="H8" s="564">
        <v>4</v>
      </c>
      <c r="I8" s="564">
        <v>5</v>
      </c>
      <c r="J8" s="564">
        <v>6</v>
      </c>
      <c r="K8" s="746">
        <v>7</v>
      </c>
      <c r="L8" s="855">
        <v>8</v>
      </c>
      <c r="M8" s="675">
        <v>9</v>
      </c>
      <c r="N8" s="564">
        <v>10</v>
      </c>
      <c r="O8" s="564">
        <v>11</v>
      </c>
      <c r="Q8" s="1066">
        <v>2020</v>
      </c>
      <c r="R8" s="1066"/>
      <c r="S8" s="1066"/>
      <c r="T8" s="1066">
        <v>2021</v>
      </c>
      <c r="U8" s="1066"/>
      <c r="V8" s="1066"/>
      <c r="W8" s="1066">
        <v>2022</v>
      </c>
      <c r="X8" s="1066"/>
      <c r="Y8" s="1066"/>
    </row>
    <row r="9" spans="1:25" ht="136.15" hidden="1" customHeight="1">
      <c r="A9" s="573" t="s">
        <v>12</v>
      </c>
      <c r="B9" s="569"/>
      <c r="C9" s="569">
        <v>176</v>
      </c>
      <c r="D9" s="569" t="s">
        <v>15</v>
      </c>
      <c r="E9" s="569" t="s">
        <v>16</v>
      </c>
      <c r="F9" s="569" t="s">
        <v>28</v>
      </c>
      <c r="G9" s="564"/>
      <c r="H9" s="564"/>
      <c r="I9" s="564"/>
      <c r="J9" s="564"/>
      <c r="K9" s="746"/>
      <c r="L9" s="855"/>
      <c r="M9" s="675"/>
      <c r="N9" s="564"/>
      <c r="O9" s="564"/>
      <c r="Q9" s="55"/>
      <c r="R9" s="55"/>
      <c r="S9" s="55"/>
      <c r="T9" s="55"/>
      <c r="U9" s="55"/>
      <c r="V9" s="55"/>
      <c r="W9" s="55"/>
      <c r="X9" s="55"/>
      <c r="Y9" s="55"/>
    </row>
    <row r="10" spans="1:25" ht="27" customHeight="1">
      <c r="A10" s="985" t="s">
        <v>553</v>
      </c>
      <c r="B10" s="62" t="s">
        <v>89</v>
      </c>
      <c r="C10" s="62"/>
      <c r="D10" s="62"/>
      <c r="E10" s="62"/>
      <c r="F10" s="62"/>
      <c r="G10" s="758">
        <f>K10</f>
        <v>16.586000000000002</v>
      </c>
      <c r="H10" s="622">
        <f>H19+H49+H85+H102+H130+H162+H178+H198+H209+H242+H254+H262+H330+H350+H362+H378+H390+H414+H426+H438</f>
        <v>0</v>
      </c>
      <c r="I10" s="622">
        <f>I19+I49+I85+I102+I130+I162+I178+I198+I209+I242+I254+I262+I330+I350+I362+I378+I390+I414+I426+I438</f>
        <v>0</v>
      </c>
      <c r="J10" s="622">
        <f>J19+J49+J85+J102+J130+J162+J178+J198+J209+J242+J254+J262+J330+J350+J362+J378+J390+J414+J426+J438</f>
        <v>0</v>
      </c>
      <c r="K10" s="758">
        <f>K19+K49+K85+K102+K130+K162+K178+K198+K209+K242+K254+K262+K330+K350+K362+K378+K390+K414+K426+K438</f>
        <v>16.586000000000002</v>
      </c>
      <c r="L10" s="101">
        <f>L49+L130</f>
        <v>16.024896008779283</v>
      </c>
      <c r="M10" s="676">
        <f>M19+M49+M85+M102+M130+M162+M178+M198+M209+M242+M254+M262+M330+M350+M362+M378+M390+M414+M426+M438+M406</f>
        <v>15.1</v>
      </c>
      <c r="N10" s="1030" t="s">
        <v>534</v>
      </c>
      <c r="O10" s="1030" t="s">
        <v>990</v>
      </c>
      <c r="Q10" s="55"/>
      <c r="R10" s="574" t="s">
        <v>274</v>
      </c>
      <c r="S10" s="574" t="s">
        <v>275</v>
      </c>
      <c r="T10" s="55"/>
      <c r="U10" s="574" t="s">
        <v>274</v>
      </c>
      <c r="V10" s="574" t="s">
        <v>275</v>
      </c>
      <c r="W10" s="55"/>
      <c r="X10" s="574" t="s">
        <v>274</v>
      </c>
      <c r="Y10" s="574" t="s">
        <v>275</v>
      </c>
    </row>
    <row r="11" spans="1:25" ht="27" customHeight="1">
      <c r="A11" s="986"/>
      <c r="B11" s="62" t="s">
        <v>24</v>
      </c>
      <c r="C11" s="62"/>
      <c r="D11" s="62"/>
      <c r="E11" s="62"/>
      <c r="F11" s="62"/>
      <c r="G11" s="743">
        <f>G12/G10</f>
        <v>65907.446038827926</v>
      </c>
      <c r="H11" s="743"/>
      <c r="I11" s="743"/>
      <c r="J11" s="743"/>
      <c r="K11" s="743"/>
      <c r="L11" s="743">
        <v>43517.4</v>
      </c>
      <c r="M11" s="499">
        <f t="shared" ref="M11" si="0">M12/M10</f>
        <v>91854.304635761597</v>
      </c>
      <c r="N11" s="1032"/>
      <c r="O11" s="1032"/>
      <c r="Q11" s="55"/>
      <c r="R11" s="56"/>
      <c r="S11" s="56"/>
      <c r="T11" s="57"/>
      <c r="U11" s="56"/>
      <c r="V11" s="56"/>
      <c r="W11" s="57"/>
      <c r="X11" s="56"/>
      <c r="Y11" s="56"/>
    </row>
    <row r="12" spans="1:25" ht="27" customHeight="1">
      <c r="A12" s="986"/>
      <c r="B12" s="62" t="s">
        <v>25</v>
      </c>
      <c r="C12" s="62">
        <v>176</v>
      </c>
      <c r="D12" s="62" t="s">
        <v>15</v>
      </c>
      <c r="E12" s="62">
        <v>6100404</v>
      </c>
      <c r="F12" s="62">
        <v>414</v>
      </c>
      <c r="G12" s="102">
        <f>G15+G14</f>
        <v>1093140.9000000001</v>
      </c>
      <c r="H12" s="102">
        <f t="shared" ref="H12:M12" si="1">H15+H14</f>
        <v>0</v>
      </c>
      <c r="I12" s="102">
        <f t="shared" si="1"/>
        <v>0</v>
      </c>
      <c r="J12" s="102">
        <f t="shared" si="1"/>
        <v>0</v>
      </c>
      <c r="K12" s="102">
        <f t="shared" si="1"/>
        <v>1092529.4000000001</v>
      </c>
      <c r="L12" s="102">
        <f t="shared" si="1"/>
        <v>687575.6</v>
      </c>
      <c r="M12" s="499">
        <f t="shared" si="1"/>
        <v>1387000</v>
      </c>
      <c r="N12" s="1032"/>
      <c r="O12" s="1032"/>
      <c r="Q12" s="574" t="s">
        <v>272</v>
      </c>
      <c r="R12" s="355">
        <f>K118+K170</f>
        <v>4.066643600216211</v>
      </c>
      <c r="S12" s="355">
        <v>0</v>
      </c>
      <c r="T12" s="574" t="s">
        <v>272</v>
      </c>
      <c r="U12" s="356">
        <f>L64</f>
        <v>3.2248960087792837</v>
      </c>
      <c r="V12" s="299">
        <f>L166</f>
        <v>0</v>
      </c>
      <c r="W12" s="574" t="s">
        <v>272</v>
      </c>
      <c r="X12" s="125">
        <v>0</v>
      </c>
      <c r="Y12" s="299"/>
    </row>
    <row r="13" spans="1:25" ht="27" customHeight="1">
      <c r="A13" s="986"/>
      <c r="B13" s="62" t="s">
        <v>9</v>
      </c>
      <c r="C13" s="62"/>
      <c r="D13" s="62"/>
      <c r="E13" s="62"/>
      <c r="F13" s="62"/>
      <c r="G13" s="102"/>
      <c r="H13" s="102"/>
      <c r="I13" s="102"/>
      <c r="J13" s="102"/>
      <c r="K13" s="102"/>
      <c r="L13" s="102"/>
      <c r="M13" s="499"/>
      <c r="N13" s="1032"/>
      <c r="O13" s="1032"/>
      <c r="Q13" s="574" t="s">
        <v>273</v>
      </c>
      <c r="R13" s="355">
        <f>S13</f>
        <v>12.486000000000001</v>
      </c>
      <c r="S13" s="355">
        <f>K80</f>
        <v>12.486000000000001</v>
      </c>
      <c r="T13" s="574" t="s">
        <v>273</v>
      </c>
      <c r="U13" s="716">
        <f>V13</f>
        <v>12.8</v>
      </c>
      <c r="V13" s="716">
        <f>L134</f>
        <v>12.8</v>
      </c>
      <c r="W13" s="574" t="s">
        <v>273</v>
      </c>
      <c r="X13" s="355">
        <f>Y13</f>
        <v>15.1</v>
      </c>
      <c r="Y13" s="299">
        <f>M93+M410</f>
        <v>15.1</v>
      </c>
    </row>
    <row r="14" spans="1:25" ht="27" customHeight="1">
      <c r="A14" s="986"/>
      <c r="B14" s="62" t="s">
        <v>249</v>
      </c>
      <c r="C14" s="62">
        <v>176</v>
      </c>
      <c r="D14" s="62" t="s">
        <v>15</v>
      </c>
      <c r="E14" s="62">
        <v>6100404</v>
      </c>
      <c r="F14" s="62">
        <v>414</v>
      </c>
      <c r="G14" s="102">
        <f>G21+G37+G51+G87+G104+G132+G164+G180+G200+G211+G244+G256+G264+G332+G352+G364+G380+G392+G408+G416+G428+G440+G145</f>
        <v>857478.8</v>
      </c>
      <c r="H14" s="102">
        <f t="shared" ref="H14:M14" si="2">H21+H37+H51+H87+H104+H132+H164+H180+H200+H211+H244+H256+H264+H332+H352+H364+H380+H392+H408+H416+H428+H440</f>
        <v>0</v>
      </c>
      <c r="I14" s="102">
        <f t="shared" si="2"/>
        <v>0</v>
      </c>
      <c r="J14" s="102">
        <f t="shared" si="2"/>
        <v>0</v>
      </c>
      <c r="K14" s="102">
        <f t="shared" si="2"/>
        <v>856867.3</v>
      </c>
      <c r="L14" s="102">
        <f t="shared" si="2"/>
        <v>582285.5</v>
      </c>
      <c r="M14" s="102">
        <f t="shared" si="2"/>
        <v>1277232.6000000001</v>
      </c>
      <c r="N14" s="1032"/>
      <c r="O14" s="1032"/>
      <c r="P14" s="122"/>
      <c r="Q14" s="48"/>
      <c r="R14" s="530"/>
      <c r="S14" s="463"/>
      <c r="T14" s="463"/>
      <c r="U14" s="715"/>
      <c r="V14" s="715"/>
      <c r="W14" s="463"/>
      <c r="X14" s="463">
        <f t="shared" ref="X14:Y14" si="3">X12+X13</f>
        <v>15.1</v>
      </c>
      <c r="Y14" s="463">
        <f t="shared" si="3"/>
        <v>15.1</v>
      </c>
    </row>
    <row r="15" spans="1:25" ht="27" customHeight="1">
      <c r="A15" s="986"/>
      <c r="B15" s="62" t="s">
        <v>502</v>
      </c>
      <c r="C15" s="62"/>
      <c r="D15" s="62"/>
      <c r="E15" s="62"/>
      <c r="F15" s="62"/>
      <c r="G15" s="102">
        <f t="shared" ref="G15:K15" si="4">G22+G52+G88+G105+G133+G165+G181+G201+G212+G245+G257+G265+G333+G353+G365+G381+G393+G417+G429+G441+G469</f>
        <v>235662.1</v>
      </c>
      <c r="H15" s="102">
        <f t="shared" si="4"/>
        <v>0</v>
      </c>
      <c r="I15" s="102">
        <f t="shared" si="4"/>
        <v>0</v>
      </c>
      <c r="J15" s="102">
        <f t="shared" si="4"/>
        <v>0</v>
      </c>
      <c r="K15" s="102">
        <f t="shared" si="4"/>
        <v>235662.1</v>
      </c>
      <c r="L15" s="102">
        <f>L22+L52+L88+L105+L133+L165+L181+L201+L212+L245+L257+L265+L333+L353+L365+L381+L393+L417+L429+L441+L469</f>
        <v>105290.1</v>
      </c>
      <c r="M15" s="499">
        <f>M22+M52+M88+M105+M133+M165+M181+M201+M212+M245+M257+M265+M333+M353+M365+M381+M393+M417+M429+M441+M469</f>
        <v>109767.4</v>
      </c>
      <c r="N15" s="1032"/>
      <c r="O15" s="1032"/>
      <c r="P15" s="122"/>
      <c r="Q15" s="48"/>
      <c r="R15" s="530"/>
      <c r="V15" s="463"/>
      <c r="Y15" s="463"/>
    </row>
    <row r="16" spans="1:25" ht="27" customHeight="1">
      <c r="A16" s="986"/>
      <c r="B16" s="62" t="s">
        <v>442</v>
      </c>
      <c r="C16" s="62">
        <v>176</v>
      </c>
      <c r="D16" s="62" t="s">
        <v>15</v>
      </c>
      <c r="E16" s="62" t="s">
        <v>27</v>
      </c>
      <c r="F16" s="62" t="s">
        <v>28</v>
      </c>
      <c r="G16" s="102"/>
      <c r="H16" s="102">
        <f t="shared" ref="H16:J16" si="5">H22</f>
        <v>0</v>
      </c>
      <c r="I16" s="102">
        <f t="shared" si="5"/>
        <v>0</v>
      </c>
      <c r="J16" s="102">
        <f t="shared" si="5"/>
        <v>0</v>
      </c>
      <c r="K16" s="102"/>
      <c r="L16" s="102"/>
      <c r="M16" s="499"/>
      <c r="N16" s="1032"/>
      <c r="O16" s="1032"/>
      <c r="Q16" s="48"/>
      <c r="R16" s="48"/>
      <c r="S16" s="48"/>
      <c r="T16" s="48"/>
      <c r="U16" s="48"/>
      <c r="V16" s="48"/>
      <c r="W16" s="48"/>
      <c r="X16" s="48"/>
      <c r="Y16" s="48"/>
    </row>
    <row r="17" spans="1:61" ht="27" customHeight="1">
      <c r="A17" s="987"/>
      <c r="B17" s="62" t="s">
        <v>454</v>
      </c>
      <c r="C17" s="62"/>
      <c r="D17" s="62"/>
      <c r="E17" s="62"/>
      <c r="F17" s="62"/>
      <c r="G17" s="102">
        <v>0</v>
      </c>
      <c r="H17" s="102">
        <f t="shared" ref="H17:I17" si="6">H74+H78</f>
        <v>0</v>
      </c>
      <c r="I17" s="102">
        <f t="shared" si="6"/>
        <v>0</v>
      </c>
      <c r="J17" s="102">
        <v>0</v>
      </c>
      <c r="K17" s="102">
        <v>0</v>
      </c>
      <c r="L17" s="102"/>
      <c r="M17" s="499"/>
      <c r="N17" s="1031"/>
      <c r="O17" s="1031"/>
      <c r="Q17" s="48"/>
      <c r="R17" s="48"/>
      <c r="S17" s="48"/>
      <c r="T17" s="48"/>
      <c r="U17" s="48"/>
      <c r="V17" s="48"/>
      <c r="W17" s="48"/>
      <c r="X17" s="48"/>
      <c r="Y17" s="48"/>
    </row>
    <row r="18" spans="1:61" ht="17.45" customHeight="1">
      <c r="A18" s="535" t="s">
        <v>29</v>
      </c>
      <c r="B18" s="573"/>
      <c r="C18" s="573"/>
      <c r="D18" s="573"/>
      <c r="E18" s="573"/>
      <c r="F18" s="573"/>
      <c r="G18" s="573"/>
      <c r="H18" s="573"/>
      <c r="I18" s="573"/>
      <c r="J18" s="573"/>
      <c r="K18" s="747"/>
      <c r="L18" s="856"/>
      <c r="M18" s="677"/>
      <c r="N18" s="573"/>
      <c r="O18" s="573"/>
    </row>
    <row r="19" spans="1:61" s="45" customFormat="1" ht="24.6" customHeight="1">
      <c r="A19" s="1038" t="s">
        <v>96</v>
      </c>
      <c r="B19" s="62" t="s">
        <v>89</v>
      </c>
      <c r="C19" s="62"/>
      <c r="D19" s="62"/>
      <c r="E19" s="62"/>
      <c r="F19" s="62"/>
      <c r="G19" s="115">
        <f>G23+G27+G31</f>
        <v>0</v>
      </c>
      <c r="H19" s="115">
        <f>H23+H27+H31</f>
        <v>0</v>
      </c>
      <c r="I19" s="115">
        <f>I23+I27+I31</f>
        <v>0</v>
      </c>
      <c r="J19" s="115">
        <f>J23+J27+J31</f>
        <v>0</v>
      </c>
      <c r="K19" s="115">
        <f>K23+K27+K31</f>
        <v>0</v>
      </c>
      <c r="L19" s="102">
        <f>L23</f>
        <v>0</v>
      </c>
      <c r="M19" s="499">
        <f>M23+M27+M31</f>
        <v>0</v>
      </c>
      <c r="N19" s="573"/>
      <c r="O19" s="62"/>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row>
    <row r="20" spans="1:61" s="45" customFormat="1" ht="24.6" customHeight="1">
      <c r="A20" s="1038"/>
      <c r="B20" s="62" t="s">
        <v>237</v>
      </c>
      <c r="C20" s="62"/>
      <c r="D20" s="62"/>
      <c r="E20" s="62"/>
      <c r="F20" s="62"/>
      <c r="G20" s="102">
        <f t="shared" ref="G20:M20" si="7">G21+G22</f>
        <v>4000</v>
      </c>
      <c r="H20" s="102">
        <f t="shared" si="7"/>
        <v>0</v>
      </c>
      <c r="I20" s="102">
        <f t="shared" si="7"/>
        <v>0</v>
      </c>
      <c r="J20" s="102">
        <f t="shared" si="7"/>
        <v>0</v>
      </c>
      <c r="K20" s="102">
        <f t="shared" si="7"/>
        <v>4000</v>
      </c>
      <c r="L20" s="102">
        <f t="shared" si="7"/>
        <v>7028.3</v>
      </c>
      <c r="M20" s="499">
        <f t="shared" si="7"/>
        <v>0</v>
      </c>
      <c r="N20" s="573"/>
      <c r="O20" s="62"/>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row>
    <row r="21" spans="1:61" s="45" customFormat="1" ht="24.6" customHeight="1">
      <c r="A21" s="1038"/>
      <c r="B21" s="62" t="s">
        <v>249</v>
      </c>
      <c r="C21" s="62"/>
      <c r="D21" s="62"/>
      <c r="E21" s="62"/>
      <c r="F21" s="62"/>
      <c r="G21" s="102">
        <f>G25</f>
        <v>4000</v>
      </c>
      <c r="H21" s="102">
        <f t="shared" ref="H21:M21" si="8">H25</f>
        <v>0</v>
      </c>
      <c r="I21" s="102">
        <f t="shared" si="8"/>
        <v>0</v>
      </c>
      <c r="J21" s="102">
        <f t="shared" si="8"/>
        <v>0</v>
      </c>
      <c r="K21" s="102">
        <f t="shared" si="8"/>
        <v>4000</v>
      </c>
      <c r="L21" s="102">
        <f t="shared" si="8"/>
        <v>7028.3</v>
      </c>
      <c r="M21" s="499">
        <f t="shared" si="8"/>
        <v>0</v>
      </c>
      <c r="N21" s="573"/>
      <c r="O21" s="62"/>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row>
    <row r="22" spans="1:61" s="45" customFormat="1" ht="28.9" customHeight="1">
      <c r="A22" s="1038"/>
      <c r="B22" s="62" t="s">
        <v>502</v>
      </c>
      <c r="C22" s="62"/>
      <c r="D22" s="62"/>
      <c r="E22" s="62"/>
      <c r="F22" s="62"/>
      <c r="G22" s="102">
        <f>G26</f>
        <v>0</v>
      </c>
      <c r="H22" s="102">
        <f>H26</f>
        <v>0</v>
      </c>
      <c r="I22" s="102">
        <f>I26</f>
        <v>0</v>
      </c>
      <c r="J22" s="102">
        <f>J26</f>
        <v>0</v>
      </c>
      <c r="K22" s="102">
        <f>K26</f>
        <v>0</v>
      </c>
      <c r="L22" s="102"/>
      <c r="M22" s="499">
        <f>M26</f>
        <v>0</v>
      </c>
      <c r="N22" s="573"/>
      <c r="O22" s="62"/>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row>
    <row r="23" spans="1:61" s="45" customFormat="1" ht="28.9" customHeight="1">
      <c r="A23" s="1065" t="s">
        <v>488</v>
      </c>
      <c r="B23" s="564" t="s">
        <v>89</v>
      </c>
      <c r="C23" s="62"/>
      <c r="D23" s="62"/>
      <c r="E23" s="62"/>
      <c r="F23" s="62"/>
      <c r="G23" s="114">
        <f>K23</f>
        <v>0</v>
      </c>
      <c r="H23" s="114"/>
      <c r="I23" s="114"/>
      <c r="J23" s="114"/>
      <c r="K23" s="114"/>
      <c r="L23" s="102"/>
      <c r="M23" s="678"/>
      <c r="N23" s="573"/>
      <c r="O23" s="1037" t="s">
        <v>934</v>
      </c>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row>
    <row r="24" spans="1:61" ht="28.9" customHeight="1">
      <c r="A24" s="1065"/>
      <c r="B24" s="564" t="s">
        <v>237</v>
      </c>
      <c r="C24" s="564">
        <v>176</v>
      </c>
      <c r="D24" s="564" t="s">
        <v>15</v>
      </c>
      <c r="E24" s="564">
        <v>6100404</v>
      </c>
      <c r="F24" s="564">
        <v>414</v>
      </c>
      <c r="G24" s="103">
        <f>K24</f>
        <v>4000</v>
      </c>
      <c r="H24" s="103"/>
      <c r="I24" s="103"/>
      <c r="J24" s="103"/>
      <c r="K24" s="103">
        <f>K25+K26</f>
        <v>4000</v>
      </c>
      <c r="L24" s="103">
        <f t="shared" ref="L24:M24" si="9">L25+L26</f>
        <v>7028.3</v>
      </c>
      <c r="M24" s="679">
        <f t="shared" si="9"/>
        <v>0</v>
      </c>
      <c r="N24" s="573"/>
      <c r="O24" s="1037"/>
    </row>
    <row r="25" spans="1:61" ht="24.6" customHeight="1">
      <c r="A25" s="1065"/>
      <c r="B25" s="564" t="s">
        <v>249</v>
      </c>
      <c r="C25" s="564"/>
      <c r="D25" s="564"/>
      <c r="E25" s="564"/>
      <c r="F25" s="564"/>
      <c r="G25" s="103">
        <f>K25</f>
        <v>4000</v>
      </c>
      <c r="H25" s="103"/>
      <c r="I25" s="103"/>
      <c r="J25" s="103"/>
      <c r="K25" s="103">
        <v>4000</v>
      </c>
      <c r="L25" s="929">
        <v>7028.3</v>
      </c>
      <c r="M25" s="679"/>
      <c r="N25" s="573"/>
      <c r="O25" s="1037"/>
    </row>
    <row r="26" spans="1:61" ht="25.5" customHeight="1">
      <c r="A26" s="1065"/>
      <c r="B26" s="564" t="s">
        <v>502</v>
      </c>
      <c r="C26" s="564"/>
      <c r="D26" s="564"/>
      <c r="E26" s="564"/>
      <c r="F26" s="564"/>
      <c r="G26" s="103">
        <f>K26</f>
        <v>0</v>
      </c>
      <c r="H26" s="103"/>
      <c r="I26" s="103"/>
      <c r="J26" s="103"/>
      <c r="K26" s="103">
        <v>0</v>
      </c>
      <c r="L26" s="360"/>
      <c r="M26" s="679"/>
      <c r="N26" s="573"/>
      <c r="O26" s="1037"/>
    </row>
    <row r="27" spans="1:61" ht="24.6" hidden="1" customHeight="1">
      <c r="A27" s="1104" t="s">
        <v>13</v>
      </c>
      <c r="B27" s="564" t="s">
        <v>89</v>
      </c>
      <c r="C27" s="564"/>
      <c r="D27" s="564"/>
      <c r="E27" s="564"/>
      <c r="F27" s="564"/>
      <c r="G27" s="103"/>
      <c r="H27" s="103"/>
      <c r="I27" s="103"/>
      <c r="J27" s="103"/>
      <c r="K27" s="103"/>
      <c r="L27" s="103"/>
      <c r="M27" s="679"/>
      <c r="N27" s="573"/>
      <c r="O27" s="1037" t="s">
        <v>198</v>
      </c>
    </row>
    <row r="28" spans="1:61" ht="24.6" hidden="1" customHeight="1">
      <c r="A28" s="1104"/>
      <c r="B28" s="564" t="s">
        <v>237</v>
      </c>
      <c r="C28" s="564">
        <v>176</v>
      </c>
      <c r="D28" s="564" t="s">
        <v>15</v>
      </c>
      <c r="E28" s="564">
        <v>6100404</v>
      </c>
      <c r="F28" s="564">
        <v>414</v>
      </c>
      <c r="G28" s="103"/>
      <c r="H28" s="103"/>
      <c r="I28" s="103"/>
      <c r="J28" s="103"/>
      <c r="K28" s="103"/>
      <c r="L28" s="103"/>
      <c r="M28" s="679"/>
      <c r="N28" s="573"/>
      <c r="O28" s="1037"/>
    </row>
    <row r="29" spans="1:61" ht="24.6" hidden="1" customHeight="1">
      <c r="A29" s="1104"/>
      <c r="B29" s="564" t="s">
        <v>10</v>
      </c>
      <c r="C29" s="564"/>
      <c r="D29" s="564"/>
      <c r="E29" s="564"/>
      <c r="F29" s="564"/>
      <c r="G29" s="103"/>
      <c r="H29" s="103"/>
      <c r="I29" s="103"/>
      <c r="J29" s="103"/>
      <c r="K29" s="103"/>
      <c r="L29" s="103"/>
      <c r="M29" s="679"/>
      <c r="N29" s="573"/>
      <c r="O29" s="1037"/>
    </row>
    <row r="30" spans="1:61" ht="24" hidden="1" customHeight="1">
      <c r="A30" s="1104"/>
      <c r="B30" s="564" t="s">
        <v>34</v>
      </c>
      <c r="C30" s="564"/>
      <c r="D30" s="564"/>
      <c r="E30" s="564"/>
      <c r="F30" s="564"/>
      <c r="G30" s="103"/>
      <c r="H30" s="103"/>
      <c r="I30" s="103"/>
      <c r="J30" s="103"/>
      <c r="K30" s="103"/>
      <c r="L30" s="103"/>
      <c r="M30" s="679"/>
      <c r="N30" s="573"/>
      <c r="O30" s="1037"/>
    </row>
    <row r="31" spans="1:61" ht="24.6" hidden="1" customHeight="1">
      <c r="A31" s="1065" t="s">
        <v>14</v>
      </c>
      <c r="B31" s="564" t="s">
        <v>89</v>
      </c>
      <c r="C31" s="564"/>
      <c r="D31" s="564"/>
      <c r="E31" s="564"/>
      <c r="F31" s="564"/>
      <c r="G31" s="103"/>
      <c r="H31" s="103"/>
      <c r="I31" s="103"/>
      <c r="J31" s="103"/>
      <c r="K31" s="103"/>
      <c r="L31" s="103"/>
      <c r="M31" s="679"/>
      <c r="N31" s="573"/>
      <c r="O31" s="1037" t="s">
        <v>199</v>
      </c>
    </row>
    <row r="32" spans="1:61" ht="24.6" hidden="1" customHeight="1">
      <c r="A32" s="1065"/>
      <c r="B32" s="564" t="s">
        <v>237</v>
      </c>
      <c r="C32" s="564">
        <v>176</v>
      </c>
      <c r="D32" s="564" t="s">
        <v>15</v>
      </c>
      <c r="E32" s="564">
        <v>6100404</v>
      </c>
      <c r="F32" s="564">
        <v>414</v>
      </c>
      <c r="G32" s="103"/>
      <c r="H32" s="103"/>
      <c r="I32" s="103"/>
      <c r="J32" s="103"/>
      <c r="K32" s="103"/>
      <c r="L32" s="103"/>
      <c r="M32" s="679"/>
      <c r="N32" s="573"/>
      <c r="O32" s="1037"/>
    </row>
    <row r="33" spans="1:61" ht="24.6" hidden="1" customHeight="1">
      <c r="A33" s="1065"/>
      <c r="B33" s="564" t="s">
        <v>10</v>
      </c>
      <c r="C33" s="564"/>
      <c r="D33" s="564"/>
      <c r="E33" s="564"/>
      <c r="F33" s="564"/>
      <c r="G33" s="103"/>
      <c r="H33" s="103"/>
      <c r="I33" s="103"/>
      <c r="J33" s="103"/>
      <c r="K33" s="103"/>
      <c r="L33" s="103"/>
      <c r="M33" s="679"/>
      <c r="N33" s="573"/>
      <c r="O33" s="1037"/>
    </row>
    <row r="34" spans="1:61" ht="24.6" hidden="1" customHeight="1">
      <c r="A34" s="1065"/>
      <c r="B34" s="564" t="s">
        <v>34</v>
      </c>
      <c r="C34" s="564"/>
      <c r="D34" s="564"/>
      <c r="E34" s="564"/>
      <c r="F34" s="564"/>
      <c r="G34" s="103"/>
      <c r="H34" s="103"/>
      <c r="I34" s="103"/>
      <c r="J34" s="103"/>
      <c r="K34" s="103"/>
      <c r="L34" s="103"/>
      <c r="M34" s="679"/>
      <c r="N34" s="573"/>
      <c r="O34" s="1037"/>
    </row>
    <row r="35" spans="1:61" ht="24.6" customHeight="1">
      <c r="A35" s="1038" t="s">
        <v>116</v>
      </c>
      <c r="B35" s="62" t="s">
        <v>89</v>
      </c>
      <c r="C35" s="62"/>
      <c r="D35" s="62"/>
      <c r="E35" s="62"/>
      <c r="F35" s="62"/>
      <c r="G35" s="102">
        <f>G39</f>
        <v>0</v>
      </c>
      <c r="H35" s="102"/>
      <c r="I35" s="102"/>
      <c r="J35" s="102"/>
      <c r="K35" s="102">
        <f>K39</f>
        <v>0</v>
      </c>
      <c r="L35" s="102"/>
      <c r="M35" s="499"/>
      <c r="N35" s="573"/>
      <c r="O35" s="564"/>
    </row>
    <row r="36" spans="1:61" ht="24.6" customHeight="1">
      <c r="A36" s="1038"/>
      <c r="B36" s="62" t="s">
        <v>237</v>
      </c>
      <c r="C36" s="62"/>
      <c r="D36" s="62"/>
      <c r="E36" s="62"/>
      <c r="F36" s="62"/>
      <c r="G36" s="102">
        <f>G37</f>
        <v>1919.2</v>
      </c>
      <c r="H36" s="102">
        <f t="shared" ref="H36:K36" si="10">H37</f>
        <v>0</v>
      </c>
      <c r="I36" s="102">
        <f t="shared" si="10"/>
        <v>0</v>
      </c>
      <c r="J36" s="102">
        <f t="shared" si="10"/>
        <v>0</v>
      </c>
      <c r="K36" s="102">
        <f t="shared" si="10"/>
        <v>1919.2</v>
      </c>
      <c r="L36" s="102">
        <f t="shared" ref="L36:M36" si="11">L37+L38</f>
        <v>31300</v>
      </c>
      <c r="M36" s="499">
        <f t="shared" si="11"/>
        <v>10000</v>
      </c>
      <c r="N36" s="573"/>
      <c r="O36" s="564"/>
    </row>
    <row r="37" spans="1:61" ht="24.6" customHeight="1">
      <c r="A37" s="1038"/>
      <c r="B37" s="62" t="s">
        <v>10</v>
      </c>
      <c r="C37" s="62"/>
      <c r="D37" s="62"/>
      <c r="E37" s="62"/>
      <c r="F37" s="62"/>
      <c r="G37" s="102">
        <f>G41</f>
        <v>1919.2</v>
      </c>
      <c r="H37" s="102">
        <f t="shared" ref="H37:K37" si="12">H41</f>
        <v>0</v>
      </c>
      <c r="I37" s="102">
        <f t="shared" si="12"/>
        <v>0</v>
      </c>
      <c r="J37" s="102">
        <f t="shared" si="12"/>
        <v>0</v>
      </c>
      <c r="K37" s="102">
        <f t="shared" si="12"/>
        <v>1919.2</v>
      </c>
      <c r="L37" s="102">
        <f>L41</f>
        <v>31300</v>
      </c>
      <c r="M37" s="499">
        <f t="shared" ref="M37" si="13">M41</f>
        <v>10000</v>
      </c>
      <c r="N37" s="573"/>
      <c r="O37" s="564"/>
    </row>
    <row r="38" spans="1:61" ht="24.6" customHeight="1">
      <c r="A38" s="1038"/>
      <c r="B38" s="62" t="s">
        <v>443</v>
      </c>
      <c r="C38" s="62"/>
      <c r="D38" s="62"/>
      <c r="E38" s="62"/>
      <c r="F38" s="62"/>
      <c r="G38" s="102"/>
      <c r="H38" s="102"/>
      <c r="I38" s="102"/>
      <c r="J38" s="102"/>
      <c r="K38" s="102"/>
      <c r="L38" s="102"/>
      <c r="M38" s="499"/>
      <c r="N38" s="573"/>
      <c r="O38" s="564"/>
      <c r="AA38" s="122"/>
      <c r="AC38" s="122"/>
    </row>
    <row r="39" spans="1:61" ht="24.6" customHeight="1">
      <c r="A39" s="1070" t="s">
        <v>297</v>
      </c>
      <c r="B39" s="564" t="s">
        <v>89</v>
      </c>
      <c r="C39" s="62"/>
      <c r="D39" s="62"/>
      <c r="E39" s="62"/>
      <c r="F39" s="62"/>
      <c r="G39" s="102">
        <f>K39</f>
        <v>0</v>
      </c>
      <c r="H39" s="102"/>
      <c r="I39" s="102"/>
      <c r="J39" s="102"/>
      <c r="K39" s="102"/>
      <c r="L39" s="102"/>
      <c r="M39" s="499"/>
      <c r="N39" s="573"/>
      <c r="O39" s="1037" t="s">
        <v>913</v>
      </c>
      <c r="AA39" s="122"/>
      <c r="AC39" s="122"/>
    </row>
    <row r="40" spans="1:61" ht="24.6" customHeight="1">
      <c r="A40" s="1071"/>
      <c r="B40" s="564" t="s">
        <v>237</v>
      </c>
      <c r="C40" s="564"/>
      <c r="D40" s="564"/>
      <c r="E40" s="564"/>
      <c r="F40" s="564"/>
      <c r="G40" s="103">
        <f>G41</f>
        <v>1919.2</v>
      </c>
      <c r="H40" s="103">
        <f>H41</f>
        <v>0</v>
      </c>
      <c r="I40" s="103"/>
      <c r="J40" s="103">
        <f>J41</f>
        <v>0</v>
      </c>
      <c r="K40" s="103">
        <f>K41</f>
        <v>1919.2</v>
      </c>
      <c r="L40" s="103">
        <f t="shared" ref="L40:M40" si="14">L41+L42</f>
        <v>31300</v>
      </c>
      <c r="M40" s="679">
        <f t="shared" si="14"/>
        <v>10000</v>
      </c>
      <c r="N40" s="573"/>
      <c r="O40" s="1037"/>
    </row>
    <row r="41" spans="1:61" ht="24.6" customHeight="1">
      <c r="A41" s="1071"/>
      <c r="B41" s="564" t="s">
        <v>10</v>
      </c>
      <c r="C41" s="564"/>
      <c r="D41" s="564"/>
      <c r="E41" s="564"/>
      <c r="F41" s="564"/>
      <c r="G41" s="103">
        <f>K41</f>
        <v>1919.2</v>
      </c>
      <c r="H41" s="103"/>
      <c r="I41" s="103"/>
      <c r="J41" s="103"/>
      <c r="K41" s="103">
        <v>1919.2</v>
      </c>
      <c r="L41" s="103">
        <v>31300</v>
      </c>
      <c r="M41" s="679">
        <v>10000</v>
      </c>
      <c r="N41" s="573"/>
      <c r="O41" s="1037"/>
    </row>
    <row r="42" spans="1:61" ht="24" customHeight="1">
      <c r="A42" s="1072"/>
      <c r="B42" s="564" t="s">
        <v>443</v>
      </c>
      <c r="C42" s="564"/>
      <c r="D42" s="564"/>
      <c r="E42" s="564"/>
      <c r="F42" s="564"/>
      <c r="G42" s="331"/>
      <c r="H42" s="103"/>
      <c r="I42" s="103"/>
      <c r="J42" s="103"/>
      <c r="K42" s="103"/>
      <c r="L42" s="103"/>
      <c r="M42" s="679"/>
      <c r="N42" s="573"/>
      <c r="O42" s="1037"/>
    </row>
    <row r="43" spans="1:61" s="45" customFormat="1" ht="24.6" hidden="1" customHeight="1">
      <c r="A43" s="1038" t="s">
        <v>97</v>
      </c>
      <c r="B43" s="62" t="s">
        <v>89</v>
      </c>
      <c r="C43" s="62"/>
      <c r="D43" s="62"/>
      <c r="E43" s="62"/>
      <c r="F43" s="62"/>
      <c r="G43" s="102">
        <f t="shared" ref="G43" si="15">SUM(G46)</f>
        <v>0</v>
      </c>
      <c r="H43" s="102"/>
      <c r="I43" s="102"/>
      <c r="J43" s="102"/>
      <c r="K43" s="102"/>
      <c r="L43" s="102"/>
      <c r="M43" s="499"/>
      <c r="N43" s="573"/>
      <c r="O43" s="62"/>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row>
    <row r="44" spans="1:61" s="45" customFormat="1" ht="24.6" hidden="1" customHeight="1">
      <c r="A44" s="1038"/>
      <c r="B44" s="62" t="s">
        <v>237</v>
      </c>
      <c r="C44" s="62"/>
      <c r="D44" s="62"/>
      <c r="E44" s="62"/>
      <c r="F44" s="62"/>
      <c r="G44" s="102">
        <f t="shared" ref="G44" si="16">G45</f>
        <v>0</v>
      </c>
      <c r="H44" s="102"/>
      <c r="I44" s="102"/>
      <c r="J44" s="102"/>
      <c r="K44" s="102"/>
      <c r="L44" s="102"/>
      <c r="M44" s="499"/>
      <c r="N44" s="573"/>
      <c r="O44" s="62"/>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row>
    <row r="45" spans="1:61" s="45" customFormat="1" ht="24.6" hidden="1" customHeight="1">
      <c r="A45" s="1038"/>
      <c r="B45" s="62" t="s">
        <v>34</v>
      </c>
      <c r="C45" s="62"/>
      <c r="D45" s="62"/>
      <c r="E45" s="62"/>
      <c r="F45" s="62"/>
      <c r="G45" s="102"/>
      <c r="H45" s="102"/>
      <c r="I45" s="102"/>
      <c r="J45" s="102"/>
      <c r="K45" s="102"/>
      <c r="L45" s="102"/>
      <c r="M45" s="499"/>
      <c r="N45" s="573"/>
      <c r="O45" s="62"/>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row>
    <row r="46" spans="1:61" ht="24.6" hidden="1" customHeight="1">
      <c r="A46" s="1099" t="s">
        <v>19</v>
      </c>
      <c r="B46" s="564" t="s">
        <v>89</v>
      </c>
      <c r="C46" s="564">
        <v>176</v>
      </c>
      <c r="D46" s="564" t="s">
        <v>15</v>
      </c>
      <c r="E46" s="564">
        <v>6100404</v>
      </c>
      <c r="F46" s="564">
        <v>414</v>
      </c>
      <c r="G46" s="103">
        <v>0</v>
      </c>
      <c r="H46" s="103"/>
      <c r="I46" s="103"/>
      <c r="J46" s="103"/>
      <c r="K46" s="103"/>
      <c r="L46" s="103"/>
      <c r="M46" s="679"/>
      <c r="N46" s="573"/>
      <c r="O46" s="1037" t="s">
        <v>264</v>
      </c>
    </row>
    <row r="47" spans="1:61" ht="24.6" hidden="1" customHeight="1">
      <c r="A47" s="1099"/>
      <c r="B47" s="564" t="s">
        <v>237</v>
      </c>
      <c r="C47" s="564"/>
      <c r="D47" s="564"/>
      <c r="E47" s="564"/>
      <c r="F47" s="564"/>
      <c r="G47" s="103"/>
      <c r="H47" s="103"/>
      <c r="I47" s="103"/>
      <c r="J47" s="103"/>
      <c r="K47" s="103"/>
      <c r="L47" s="103"/>
      <c r="M47" s="679"/>
      <c r="N47" s="573"/>
      <c r="O47" s="1037"/>
    </row>
    <row r="48" spans="1:61" ht="8.25" hidden="1" customHeight="1">
      <c r="A48" s="1099"/>
      <c r="B48" s="564" t="s">
        <v>34</v>
      </c>
      <c r="C48" s="564"/>
      <c r="D48" s="564"/>
      <c r="E48" s="564"/>
      <c r="F48" s="564"/>
      <c r="G48" s="103"/>
      <c r="H48" s="103"/>
      <c r="I48" s="103"/>
      <c r="J48" s="103"/>
      <c r="K48" s="103"/>
      <c r="L48" s="103"/>
      <c r="M48" s="679"/>
      <c r="N48" s="573"/>
      <c r="O48" s="1037"/>
    </row>
    <row r="49" spans="1:61" s="45" customFormat="1" ht="22.9" customHeight="1">
      <c r="A49" s="1100" t="s">
        <v>98</v>
      </c>
      <c r="B49" s="62" t="s">
        <v>89</v>
      </c>
      <c r="C49" s="62"/>
      <c r="D49" s="62"/>
      <c r="E49" s="62"/>
      <c r="F49" s="62"/>
      <c r="G49" s="756">
        <f>G57+G64+G68+G72+G76+G80</f>
        <v>12.486000000000001</v>
      </c>
      <c r="H49" s="102">
        <f t="shared" ref="H49:M50" si="17">H57+H64+H68+H72+H76+H80</f>
        <v>0</v>
      </c>
      <c r="I49" s="102">
        <f t="shared" si="17"/>
        <v>0</v>
      </c>
      <c r="J49" s="102">
        <f t="shared" si="17"/>
        <v>0</v>
      </c>
      <c r="K49" s="756">
        <f t="shared" si="17"/>
        <v>12.486000000000001</v>
      </c>
      <c r="L49" s="102">
        <f t="shared" si="17"/>
        <v>3.2248960087792837</v>
      </c>
      <c r="M49" s="499">
        <f t="shared" si="17"/>
        <v>0</v>
      </c>
      <c r="N49" s="573"/>
      <c r="O49" s="62"/>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row>
    <row r="50" spans="1:61" s="45" customFormat="1" ht="22.9" customHeight="1">
      <c r="A50" s="1101"/>
      <c r="B50" s="62" t="s">
        <v>237</v>
      </c>
      <c r="C50" s="62"/>
      <c r="D50" s="62"/>
      <c r="E50" s="62"/>
      <c r="F50" s="62"/>
      <c r="G50" s="102">
        <f>G58+G65+G69+G73+G77+G81</f>
        <v>462908.3</v>
      </c>
      <c r="H50" s="102">
        <f t="shared" si="17"/>
        <v>0</v>
      </c>
      <c r="I50" s="102">
        <f t="shared" si="17"/>
        <v>0</v>
      </c>
      <c r="J50" s="102">
        <f t="shared" si="17"/>
        <v>0</v>
      </c>
      <c r="K50" s="102">
        <f t="shared" si="17"/>
        <v>462908.3</v>
      </c>
      <c r="L50" s="102">
        <f t="shared" si="17"/>
        <v>25444.6</v>
      </c>
      <c r="M50" s="499">
        <f t="shared" si="17"/>
        <v>0</v>
      </c>
      <c r="N50" s="573"/>
      <c r="O50" s="62"/>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row>
    <row r="51" spans="1:61" s="45" customFormat="1" ht="24.6" customHeight="1">
      <c r="A51" s="1101"/>
      <c r="B51" s="62" t="s">
        <v>249</v>
      </c>
      <c r="C51" s="62"/>
      <c r="D51" s="62"/>
      <c r="E51" s="62"/>
      <c r="F51" s="62"/>
      <c r="G51" s="102">
        <f>G66+G70+G74+G78+G83+G59+G82</f>
        <v>227246.2</v>
      </c>
      <c r="H51" s="102">
        <f t="shared" ref="H51:K51" si="18">H66+H70+H74+H78+H83+H59+H82</f>
        <v>0</v>
      </c>
      <c r="I51" s="102">
        <f t="shared" si="18"/>
        <v>0</v>
      </c>
      <c r="J51" s="102">
        <f t="shared" si="18"/>
        <v>0</v>
      </c>
      <c r="K51" s="102">
        <f t="shared" si="18"/>
        <v>227246.2</v>
      </c>
      <c r="L51" s="102">
        <f>L66+L70+L74+L78+L83+L59+L82</f>
        <v>25444.6</v>
      </c>
      <c r="M51" s="499">
        <f>M59</f>
        <v>0</v>
      </c>
      <c r="N51" s="573"/>
      <c r="O51" s="62"/>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row>
    <row r="52" spans="1:61" s="45" customFormat="1" ht="23.45" customHeight="1">
      <c r="A52" s="1102"/>
      <c r="B52" s="62" t="s">
        <v>502</v>
      </c>
      <c r="C52" s="62"/>
      <c r="D52" s="62"/>
      <c r="E52" s="62"/>
      <c r="F52" s="62"/>
      <c r="G52" s="102">
        <f>G60+G67+G71+G75+G79+G84</f>
        <v>235662.1</v>
      </c>
      <c r="H52" s="102">
        <f t="shared" ref="H52:M52" si="19">H60+H67+H71+H75+H79+H84</f>
        <v>0</v>
      </c>
      <c r="I52" s="102">
        <f t="shared" si="19"/>
        <v>0</v>
      </c>
      <c r="J52" s="102">
        <f t="shared" si="19"/>
        <v>0</v>
      </c>
      <c r="K52" s="102">
        <f t="shared" si="19"/>
        <v>235662.1</v>
      </c>
      <c r="L52" s="102">
        <f t="shared" si="19"/>
        <v>0</v>
      </c>
      <c r="M52" s="499">
        <f t="shared" si="19"/>
        <v>0</v>
      </c>
      <c r="N52" s="573"/>
      <c r="O52" s="62"/>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row>
    <row r="53" spans="1:61" s="45" customFormat="1" ht="24.95" hidden="1" customHeight="1">
      <c r="A53" s="1065" t="s">
        <v>17</v>
      </c>
      <c r="B53" s="564" t="s">
        <v>89</v>
      </c>
      <c r="C53" s="62"/>
      <c r="D53" s="62"/>
      <c r="E53" s="62"/>
      <c r="F53" s="62"/>
      <c r="G53" s="102"/>
      <c r="H53" s="102"/>
      <c r="I53" s="102"/>
      <c r="J53" s="102"/>
      <c r="K53" s="102"/>
      <c r="L53" s="102"/>
      <c r="M53" s="499"/>
      <c r="N53" s="573"/>
      <c r="O53" s="62"/>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row>
    <row r="54" spans="1:61" ht="24.95" hidden="1" customHeight="1">
      <c r="A54" s="1065"/>
      <c r="B54" s="564" t="s">
        <v>237</v>
      </c>
      <c r="C54" s="564">
        <v>176</v>
      </c>
      <c r="D54" s="564" t="s">
        <v>15</v>
      </c>
      <c r="E54" s="564">
        <v>6100404</v>
      </c>
      <c r="F54" s="564">
        <v>414</v>
      </c>
      <c r="G54" s="103">
        <v>0</v>
      </c>
      <c r="H54" s="103"/>
      <c r="I54" s="103"/>
      <c r="J54" s="103"/>
      <c r="K54" s="103"/>
      <c r="L54" s="103">
        <v>0</v>
      </c>
      <c r="M54" s="679"/>
      <c r="N54" s="573"/>
      <c r="O54" s="1037" t="s">
        <v>196</v>
      </c>
    </row>
    <row r="55" spans="1:61" ht="24.95" hidden="1" customHeight="1">
      <c r="A55" s="1065"/>
      <c r="B55" s="564" t="s">
        <v>10</v>
      </c>
      <c r="C55" s="564"/>
      <c r="D55" s="564"/>
      <c r="E55" s="564"/>
      <c r="F55" s="564"/>
      <c r="G55" s="103"/>
      <c r="H55" s="103"/>
      <c r="I55" s="103"/>
      <c r="J55" s="103"/>
      <c r="K55" s="103"/>
      <c r="L55" s="103"/>
      <c r="M55" s="679"/>
      <c r="N55" s="573"/>
      <c r="O55" s="1037"/>
    </row>
    <row r="56" spans="1:61" ht="22.9" hidden="1" customHeight="1">
      <c r="A56" s="1065"/>
      <c r="B56" s="564" t="s">
        <v>34</v>
      </c>
      <c r="C56" s="564"/>
      <c r="D56" s="564"/>
      <c r="E56" s="564"/>
      <c r="F56" s="564"/>
      <c r="G56" s="103"/>
      <c r="H56" s="103"/>
      <c r="I56" s="103"/>
      <c r="J56" s="103"/>
      <c r="K56" s="103"/>
      <c r="L56" s="103"/>
      <c r="M56" s="679"/>
      <c r="N56" s="573"/>
      <c r="O56" s="1037"/>
      <c r="Q56" s="48"/>
      <c r="S56" s="48"/>
    </row>
    <row r="57" spans="1:61" ht="22.9" customHeight="1">
      <c r="A57" s="1065" t="s">
        <v>483</v>
      </c>
      <c r="B57" s="564" t="s">
        <v>89</v>
      </c>
      <c r="C57" s="564"/>
      <c r="D57" s="564"/>
      <c r="E57" s="564"/>
      <c r="F57" s="564"/>
      <c r="G57" s="114"/>
      <c r="H57" s="114"/>
      <c r="I57" s="114"/>
      <c r="J57" s="114"/>
      <c r="K57" s="114"/>
      <c r="L57" s="103"/>
      <c r="M57" s="679">
        <v>0</v>
      </c>
      <c r="N57" s="573"/>
      <c r="O57" s="1037" t="s">
        <v>848</v>
      </c>
    </row>
    <row r="58" spans="1:61" ht="22.9" customHeight="1">
      <c r="A58" s="1065"/>
      <c r="B58" s="564" t="s">
        <v>237</v>
      </c>
      <c r="C58" s="564"/>
      <c r="D58" s="564"/>
      <c r="E58" s="564"/>
      <c r="F58" s="564"/>
      <c r="G58" s="103">
        <f>G59+G60</f>
        <v>19938</v>
      </c>
      <c r="H58" s="103">
        <f t="shared" ref="H58:K58" si="20">H59+H60</f>
        <v>0</v>
      </c>
      <c r="I58" s="103">
        <f t="shared" si="20"/>
        <v>0</v>
      </c>
      <c r="J58" s="103">
        <f t="shared" si="20"/>
        <v>0</v>
      </c>
      <c r="K58" s="103">
        <f t="shared" si="20"/>
        <v>19938</v>
      </c>
      <c r="L58" s="103">
        <f>L59</f>
        <v>0</v>
      </c>
      <c r="M58" s="679">
        <f>M59</f>
        <v>0</v>
      </c>
      <c r="N58" s="573"/>
      <c r="O58" s="1037"/>
      <c r="Q58" s="48"/>
      <c r="X58" s="48" t="e">
        <f>#REF!-S12</f>
        <v>#REF!</v>
      </c>
    </row>
    <row r="59" spans="1:61" ht="24.6" customHeight="1">
      <c r="A59" s="1065"/>
      <c r="B59" s="564" t="s">
        <v>10</v>
      </c>
      <c r="C59" s="564"/>
      <c r="D59" s="564"/>
      <c r="E59" s="564"/>
      <c r="F59" s="564"/>
      <c r="G59" s="103">
        <f>K59</f>
        <v>19938</v>
      </c>
      <c r="H59" s="103"/>
      <c r="I59" s="103"/>
      <c r="J59" s="103"/>
      <c r="K59" s="103">
        <v>19938</v>
      </c>
      <c r="L59" s="103"/>
      <c r="M59" s="679">
        <v>0</v>
      </c>
      <c r="N59" s="573"/>
      <c r="O59" s="1037"/>
      <c r="Q59" s="48"/>
      <c r="X59" s="48"/>
    </row>
    <row r="60" spans="1:61" ht="24.6" customHeight="1">
      <c r="A60" s="1065"/>
      <c r="B60" s="564" t="s">
        <v>443</v>
      </c>
      <c r="C60" s="564"/>
      <c r="D60" s="564"/>
      <c r="E60" s="564"/>
      <c r="F60" s="564"/>
      <c r="G60" s="103">
        <v>0</v>
      </c>
      <c r="H60" s="103"/>
      <c r="I60" s="103"/>
      <c r="J60" s="103"/>
      <c r="K60" s="103"/>
      <c r="L60" s="103"/>
      <c r="M60" s="679"/>
      <c r="N60" s="573"/>
      <c r="O60" s="1037"/>
    </row>
    <row r="61" spans="1:61" ht="24.95" hidden="1" customHeight="1">
      <c r="A61" s="1065" t="s">
        <v>215</v>
      </c>
      <c r="B61" s="564" t="s">
        <v>89</v>
      </c>
      <c r="C61" s="564"/>
      <c r="D61" s="564"/>
      <c r="E61" s="564"/>
      <c r="F61" s="564"/>
      <c r="G61" s="103"/>
      <c r="H61" s="103"/>
      <c r="I61" s="103"/>
      <c r="J61" s="103"/>
      <c r="K61" s="103"/>
      <c r="L61" s="103"/>
      <c r="M61" s="679"/>
      <c r="N61" s="573"/>
      <c r="O61" s="1037" t="s">
        <v>216</v>
      </c>
      <c r="Q61" s="48"/>
    </row>
    <row r="62" spans="1:61" ht="24.95" hidden="1" customHeight="1">
      <c r="A62" s="1065"/>
      <c r="B62" s="564" t="s">
        <v>237</v>
      </c>
      <c r="C62" s="564"/>
      <c r="D62" s="564"/>
      <c r="E62" s="564"/>
      <c r="F62" s="564"/>
      <c r="G62" s="103"/>
      <c r="H62" s="103"/>
      <c r="I62" s="103"/>
      <c r="J62" s="103"/>
      <c r="K62" s="103"/>
      <c r="L62" s="103"/>
      <c r="M62" s="679"/>
      <c r="N62" s="573"/>
      <c r="O62" s="1037"/>
    </row>
    <row r="63" spans="1:61" ht="24.95" hidden="1" customHeight="1">
      <c r="A63" s="1065"/>
      <c r="B63" s="564" t="s">
        <v>34</v>
      </c>
      <c r="C63" s="564"/>
      <c r="D63" s="564"/>
      <c r="E63" s="564"/>
      <c r="F63" s="564"/>
      <c r="G63" s="103"/>
      <c r="H63" s="103"/>
      <c r="I63" s="103"/>
      <c r="J63" s="103"/>
      <c r="K63" s="103"/>
      <c r="L63" s="103"/>
      <c r="M63" s="679"/>
      <c r="N63" s="573"/>
      <c r="O63" s="1037"/>
    </row>
    <row r="64" spans="1:61" ht="20.25" customHeight="1">
      <c r="A64" s="1070" t="s">
        <v>244</v>
      </c>
      <c r="B64" s="564" t="s">
        <v>89</v>
      </c>
      <c r="C64" s="564"/>
      <c r="D64" s="564"/>
      <c r="E64" s="564"/>
      <c r="F64" s="564"/>
      <c r="G64" s="103">
        <f>K64</f>
        <v>0</v>
      </c>
      <c r="H64" s="114"/>
      <c r="I64" s="114"/>
      <c r="J64" s="114"/>
      <c r="K64" s="103"/>
      <c r="L64" s="103">
        <f>P65</f>
        <v>3.2248960087792837</v>
      </c>
      <c r="M64" s="679"/>
      <c r="N64" s="573"/>
      <c r="O64" s="1037" t="s">
        <v>675</v>
      </c>
    </row>
    <row r="65" spans="1:16" ht="24.6" customHeight="1">
      <c r="A65" s="1071"/>
      <c r="B65" s="564" t="s">
        <v>237</v>
      </c>
      <c r="C65" s="564"/>
      <c r="D65" s="564"/>
      <c r="E65" s="564"/>
      <c r="F65" s="564"/>
      <c r="G65" s="103">
        <f>H65+I65+J65+K65</f>
        <v>44985.8</v>
      </c>
      <c r="H65" s="103"/>
      <c r="I65" s="103"/>
      <c r="J65" s="103"/>
      <c r="K65" s="103">
        <f>K66+K67</f>
        <v>44985.8</v>
      </c>
      <c r="L65" s="103">
        <f t="shared" ref="L65" si="21">L66</f>
        <v>25444.6</v>
      </c>
      <c r="M65" s="679"/>
      <c r="N65" s="573"/>
      <c r="O65" s="1037"/>
      <c r="P65" s="656">
        <f>(K66+L66)/29200.7*1.074*1.037*1.049*1.05*1.044*1.044</f>
        <v>3.2248960087792837</v>
      </c>
    </row>
    <row r="66" spans="1:16" ht="24.6" customHeight="1">
      <c r="A66" s="1071"/>
      <c r="B66" s="564" t="s">
        <v>10</v>
      </c>
      <c r="C66" s="564"/>
      <c r="D66" s="564"/>
      <c r="E66" s="564"/>
      <c r="F66" s="564"/>
      <c r="G66" s="103">
        <f>H66+I66+J66+K66</f>
        <v>44985.8</v>
      </c>
      <c r="H66" s="103"/>
      <c r="I66" s="103"/>
      <c r="J66" s="103"/>
      <c r="K66" s="103">
        <v>44985.8</v>
      </c>
      <c r="L66" s="103">
        <v>25444.6</v>
      </c>
      <c r="M66" s="679"/>
      <c r="N66" s="573"/>
      <c r="O66" s="1037"/>
    </row>
    <row r="67" spans="1:16" ht="24.6" customHeight="1">
      <c r="A67" s="1072"/>
      <c r="B67" s="564" t="s">
        <v>443</v>
      </c>
      <c r="C67" s="564"/>
      <c r="D67" s="564"/>
      <c r="E67" s="564"/>
      <c r="F67" s="564"/>
      <c r="G67" s="103">
        <f>K67</f>
        <v>0</v>
      </c>
      <c r="H67" s="103"/>
      <c r="I67" s="103"/>
      <c r="J67" s="103"/>
      <c r="K67" s="103"/>
      <c r="L67" s="103"/>
      <c r="M67" s="679"/>
      <c r="N67" s="573"/>
      <c r="O67" s="1037"/>
    </row>
    <row r="68" spans="1:16" ht="24.6" hidden="1" customHeight="1">
      <c r="A68" s="1070" t="s">
        <v>438</v>
      </c>
      <c r="B68" s="564" t="s">
        <v>89</v>
      </c>
      <c r="C68" s="564"/>
      <c r="D68" s="564"/>
      <c r="E68" s="564"/>
      <c r="F68" s="564"/>
      <c r="G68" s="103"/>
      <c r="H68" s="103"/>
      <c r="I68" s="103"/>
      <c r="J68" s="103"/>
      <c r="K68" s="103"/>
      <c r="L68" s="103"/>
      <c r="M68" s="679"/>
      <c r="N68" s="573"/>
      <c r="O68" s="1037" t="s">
        <v>339</v>
      </c>
    </row>
    <row r="69" spans="1:16" ht="24.6" hidden="1" customHeight="1">
      <c r="A69" s="1071"/>
      <c r="B69" s="564" t="s">
        <v>237</v>
      </c>
      <c r="C69" s="564"/>
      <c r="D69" s="564"/>
      <c r="E69" s="564"/>
      <c r="F69" s="564"/>
      <c r="G69" s="103"/>
      <c r="H69" s="103"/>
      <c r="I69" s="103"/>
      <c r="J69" s="103"/>
      <c r="K69" s="103"/>
      <c r="L69" s="103"/>
      <c r="M69" s="679">
        <f>M70+M71</f>
        <v>0</v>
      </c>
      <c r="N69" s="573"/>
      <c r="O69" s="1037"/>
    </row>
    <row r="70" spans="1:16" ht="24.6" hidden="1" customHeight="1">
      <c r="A70" s="1071"/>
      <c r="B70" s="564" t="s">
        <v>10</v>
      </c>
      <c r="C70" s="564"/>
      <c r="D70" s="564"/>
      <c r="E70" s="564"/>
      <c r="F70" s="564"/>
      <c r="G70" s="103"/>
      <c r="H70" s="103"/>
      <c r="I70" s="103"/>
      <c r="J70" s="103"/>
      <c r="K70" s="103"/>
      <c r="L70" s="103"/>
      <c r="M70" s="679"/>
      <c r="N70" s="573"/>
      <c r="O70" s="1037"/>
    </row>
    <row r="71" spans="1:16" ht="24.6" hidden="1" customHeight="1">
      <c r="A71" s="1072"/>
      <c r="B71" s="561" t="s">
        <v>34</v>
      </c>
      <c r="C71" s="561"/>
      <c r="D71" s="561"/>
      <c r="E71" s="561"/>
      <c r="F71" s="561"/>
      <c r="G71" s="107"/>
      <c r="H71" s="107"/>
      <c r="I71" s="107"/>
      <c r="J71" s="107"/>
      <c r="K71" s="107"/>
      <c r="L71" s="107"/>
      <c r="M71" s="680"/>
      <c r="N71" s="573"/>
      <c r="O71" s="1037"/>
    </row>
    <row r="72" spans="1:16" ht="24.6" hidden="1" customHeight="1">
      <c r="A72" s="1070" t="s">
        <v>344</v>
      </c>
      <c r="B72" s="561" t="s">
        <v>89</v>
      </c>
      <c r="C72" s="561"/>
      <c r="D72" s="561"/>
      <c r="E72" s="561"/>
      <c r="F72" s="561"/>
      <c r="G72" s="332"/>
      <c r="H72" s="332"/>
      <c r="I72" s="332"/>
      <c r="J72" s="332"/>
      <c r="K72" s="332"/>
      <c r="L72" s="107"/>
      <c r="M72" s="681"/>
      <c r="N72" s="573"/>
      <c r="O72" s="1037"/>
    </row>
    <row r="73" spans="1:16" ht="24.6" hidden="1" customHeight="1">
      <c r="A73" s="1071"/>
      <c r="B73" s="561" t="s">
        <v>237</v>
      </c>
      <c r="C73" s="561"/>
      <c r="D73" s="561"/>
      <c r="E73" s="561"/>
      <c r="F73" s="561"/>
      <c r="G73" s="107"/>
      <c r="H73" s="107"/>
      <c r="I73" s="107"/>
      <c r="J73" s="107"/>
      <c r="K73" s="107"/>
      <c r="L73" s="107"/>
      <c r="M73" s="680">
        <f>M75</f>
        <v>0</v>
      </c>
      <c r="N73" s="573"/>
      <c r="O73" s="1037"/>
    </row>
    <row r="74" spans="1:16" ht="24.6" hidden="1" customHeight="1">
      <c r="A74" s="1071"/>
      <c r="B74" s="561" t="s">
        <v>10</v>
      </c>
      <c r="C74" s="561"/>
      <c r="D74" s="561"/>
      <c r="E74" s="561"/>
      <c r="F74" s="561"/>
      <c r="G74" s="107"/>
      <c r="H74" s="107"/>
      <c r="I74" s="107"/>
      <c r="J74" s="107"/>
      <c r="K74" s="107"/>
      <c r="L74" s="107"/>
      <c r="M74" s="680"/>
      <c r="N74" s="573"/>
      <c r="O74" s="1037"/>
    </row>
    <row r="75" spans="1:16" ht="24.6" hidden="1" customHeight="1">
      <c r="A75" s="1072"/>
      <c r="B75" s="561" t="s">
        <v>34</v>
      </c>
      <c r="C75" s="561"/>
      <c r="D75" s="561"/>
      <c r="E75" s="561"/>
      <c r="F75" s="561"/>
      <c r="G75" s="107"/>
      <c r="H75" s="107"/>
      <c r="I75" s="107"/>
      <c r="J75" s="107"/>
      <c r="K75" s="107"/>
      <c r="L75" s="107"/>
      <c r="M75" s="680"/>
      <c r="N75" s="573"/>
      <c r="O75" s="1037"/>
    </row>
    <row r="76" spans="1:16" ht="24.6" hidden="1" customHeight="1">
      <c r="A76" s="1070" t="s">
        <v>298</v>
      </c>
      <c r="B76" s="561" t="s">
        <v>89</v>
      </c>
      <c r="C76" s="561"/>
      <c r="D76" s="561"/>
      <c r="E76" s="561"/>
      <c r="F76" s="561"/>
      <c r="G76" s="332"/>
      <c r="H76" s="332"/>
      <c r="I76" s="332"/>
      <c r="J76" s="332"/>
      <c r="K76" s="332"/>
      <c r="L76" s="107"/>
      <c r="M76" s="681"/>
      <c r="N76" s="573"/>
      <c r="O76" s="564"/>
    </row>
    <row r="77" spans="1:16" ht="24.6" hidden="1" customHeight="1">
      <c r="A77" s="1071"/>
      <c r="B77" s="561" t="s">
        <v>237</v>
      </c>
      <c r="C77" s="561"/>
      <c r="D77" s="561"/>
      <c r="E77" s="561"/>
      <c r="F77" s="561"/>
      <c r="G77" s="107"/>
      <c r="H77" s="107"/>
      <c r="I77" s="107"/>
      <c r="J77" s="107"/>
      <c r="K77" s="107"/>
      <c r="L77" s="107">
        <f>L78+L79</f>
        <v>0</v>
      </c>
      <c r="M77" s="680">
        <f>M79</f>
        <v>0</v>
      </c>
      <c r="N77" s="573"/>
      <c r="O77" s="1030"/>
    </row>
    <row r="78" spans="1:16" ht="24.6" hidden="1" customHeight="1">
      <c r="A78" s="1071"/>
      <c r="B78" s="561" t="s">
        <v>10</v>
      </c>
      <c r="C78" s="561"/>
      <c r="D78" s="561"/>
      <c r="E78" s="561"/>
      <c r="F78" s="561"/>
      <c r="G78" s="107"/>
      <c r="H78" s="107"/>
      <c r="I78" s="107"/>
      <c r="J78" s="107"/>
      <c r="K78" s="107"/>
      <c r="L78" s="107">
        <v>0</v>
      </c>
      <c r="M78" s="680"/>
      <c r="N78" s="573"/>
      <c r="O78" s="1032"/>
    </row>
    <row r="79" spans="1:16" ht="24.6" hidden="1" customHeight="1">
      <c r="A79" s="1072"/>
      <c r="B79" s="561" t="s">
        <v>34</v>
      </c>
      <c r="C79" s="561"/>
      <c r="D79" s="561"/>
      <c r="E79" s="561"/>
      <c r="F79" s="561"/>
      <c r="G79" s="107"/>
      <c r="H79" s="107"/>
      <c r="I79" s="107"/>
      <c r="J79" s="107"/>
      <c r="K79" s="107"/>
      <c r="L79" s="107"/>
      <c r="M79" s="680"/>
      <c r="N79" s="573"/>
      <c r="O79" s="1031"/>
    </row>
    <row r="80" spans="1:16" ht="27" customHeight="1">
      <c r="A80" s="1070" t="s">
        <v>487</v>
      </c>
      <c r="B80" s="561" t="s">
        <v>89</v>
      </c>
      <c r="C80" s="561"/>
      <c r="D80" s="561"/>
      <c r="E80" s="561"/>
      <c r="F80" s="561"/>
      <c r="G80" s="332">
        <f>K80</f>
        <v>12.486000000000001</v>
      </c>
      <c r="H80" s="107"/>
      <c r="I80" s="107"/>
      <c r="J80" s="107"/>
      <c r="K80" s="682">
        <v>12.486000000000001</v>
      </c>
      <c r="L80" s="332"/>
      <c r="M80" s="681"/>
      <c r="N80" s="573"/>
      <c r="O80" s="1037" t="s">
        <v>911</v>
      </c>
    </row>
    <row r="81" spans="1:61" ht="24.6" customHeight="1">
      <c r="A81" s="1071"/>
      <c r="B81" s="561" t="s">
        <v>237</v>
      </c>
      <c r="C81" s="561"/>
      <c r="D81" s="561"/>
      <c r="E81" s="561"/>
      <c r="F81" s="561"/>
      <c r="G81" s="107">
        <f>H81+I81+J81+K81</f>
        <v>397984.5</v>
      </c>
      <c r="H81" s="107"/>
      <c r="I81" s="107"/>
      <c r="J81" s="107">
        <f>J82+J83+J84</f>
        <v>0</v>
      </c>
      <c r="K81" s="107">
        <f>K82+K83+K84</f>
        <v>397984.5</v>
      </c>
      <c r="L81" s="107">
        <f>SUM(L82:L84)</f>
        <v>0</v>
      </c>
      <c r="M81" s="680"/>
      <c r="N81" s="573"/>
      <c r="O81" s="1037"/>
    </row>
    <row r="82" spans="1:61" ht="24.6" customHeight="1">
      <c r="A82" s="1071"/>
      <c r="B82" s="631" t="s">
        <v>10</v>
      </c>
      <c r="C82" s="631"/>
      <c r="D82" s="631"/>
      <c r="E82" s="631"/>
      <c r="F82" s="631"/>
      <c r="G82" s="107">
        <f t="shared" ref="G82:G84" si="22">H82+I82+J82+K82</f>
        <v>11734.2</v>
      </c>
      <c r="H82" s="107"/>
      <c r="I82" s="107"/>
      <c r="J82" s="107"/>
      <c r="K82" s="107">
        <v>11734.2</v>
      </c>
      <c r="L82" s="107"/>
      <c r="M82" s="680"/>
      <c r="N82" s="633"/>
      <c r="O82" s="1037"/>
    </row>
    <row r="83" spans="1:61" ht="24.6" customHeight="1">
      <c r="A83" s="1071"/>
      <c r="B83" s="592" t="s">
        <v>865</v>
      </c>
      <c r="C83" s="561"/>
      <c r="D83" s="561"/>
      <c r="E83" s="561"/>
      <c r="F83" s="561"/>
      <c r="G83" s="107">
        <f t="shared" si="22"/>
        <v>150588.20000000001</v>
      </c>
      <c r="H83" s="107"/>
      <c r="I83" s="107"/>
      <c r="J83" s="107"/>
      <c r="K83" s="107">
        <v>150588.20000000001</v>
      </c>
      <c r="L83" s="107"/>
      <c r="M83" s="680"/>
      <c r="N83" s="573"/>
      <c r="O83" s="1037"/>
    </row>
    <row r="84" spans="1:61" ht="24.6" customHeight="1">
      <c r="A84" s="1072"/>
      <c r="B84" s="564" t="s">
        <v>443</v>
      </c>
      <c r="C84" s="564"/>
      <c r="D84" s="564"/>
      <c r="E84" s="564"/>
      <c r="F84" s="564"/>
      <c r="G84" s="107">
        <f t="shared" si="22"/>
        <v>235662.1</v>
      </c>
      <c r="H84" s="103"/>
      <c r="I84" s="103"/>
      <c r="J84" s="103"/>
      <c r="K84" s="103">
        <v>235662.1</v>
      </c>
      <c r="L84" s="103"/>
      <c r="M84" s="679"/>
      <c r="N84" s="573"/>
      <c r="O84" s="1037"/>
    </row>
    <row r="85" spans="1:61" s="45" customFormat="1" ht="24.95" customHeight="1">
      <c r="A85" s="1067" t="s">
        <v>99</v>
      </c>
      <c r="B85" s="100" t="s">
        <v>89</v>
      </c>
      <c r="C85" s="100"/>
      <c r="D85" s="100"/>
      <c r="E85" s="100"/>
      <c r="F85" s="100"/>
      <c r="G85" s="102">
        <f t="shared" ref="G85:L85" si="23">G89+G93</f>
        <v>0</v>
      </c>
      <c r="H85" s="108"/>
      <c r="I85" s="108"/>
      <c r="J85" s="108"/>
      <c r="K85" s="108"/>
      <c r="L85" s="108">
        <f t="shared" si="23"/>
        <v>0</v>
      </c>
      <c r="M85" s="683">
        <f>M93</f>
        <v>12.6</v>
      </c>
      <c r="N85" s="573"/>
      <c r="O85" s="111"/>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row>
    <row r="86" spans="1:61" s="45" customFormat="1" ht="27.75" customHeight="1">
      <c r="A86" s="1068"/>
      <c r="B86" s="62" t="s">
        <v>237</v>
      </c>
      <c r="C86" s="62"/>
      <c r="D86" s="62"/>
      <c r="E86" s="62"/>
      <c r="F86" s="62"/>
      <c r="G86" s="102">
        <f t="shared" ref="G86:M86" si="24">G87+G88</f>
        <v>2093.1999999999998</v>
      </c>
      <c r="H86" s="102"/>
      <c r="I86" s="102"/>
      <c r="J86" s="102"/>
      <c r="K86" s="102">
        <f>K87+K88</f>
        <v>2093.1999999999998</v>
      </c>
      <c r="L86" s="102">
        <f t="shared" si="24"/>
        <v>7031.1</v>
      </c>
      <c r="M86" s="499">
        <f t="shared" si="24"/>
        <v>437000</v>
      </c>
      <c r="N86" s="573"/>
      <c r="O86" s="62"/>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row>
    <row r="87" spans="1:61" s="45" customFormat="1" ht="24.95" customHeight="1">
      <c r="A87" s="1068"/>
      <c r="B87" s="62" t="s">
        <v>10</v>
      </c>
      <c r="C87" s="62"/>
      <c r="D87" s="62"/>
      <c r="E87" s="62"/>
      <c r="F87" s="62"/>
      <c r="G87" s="102">
        <f>G96</f>
        <v>2093.1999999999998</v>
      </c>
      <c r="H87" s="102"/>
      <c r="I87" s="102"/>
      <c r="J87" s="102">
        <f>J96</f>
        <v>0</v>
      </c>
      <c r="K87" s="102">
        <f>K96</f>
        <v>2093.1999999999998</v>
      </c>
      <c r="L87" s="102">
        <f>L96</f>
        <v>7031.1</v>
      </c>
      <c r="M87" s="499">
        <f>M95+M96</f>
        <v>327232.59999999998</v>
      </c>
      <c r="N87" s="573"/>
      <c r="O87" s="62"/>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row>
    <row r="88" spans="1:61" s="45" customFormat="1" ht="24.95" customHeight="1">
      <c r="A88" s="1069"/>
      <c r="B88" s="62" t="s">
        <v>443</v>
      </c>
      <c r="C88" s="62"/>
      <c r="D88" s="62"/>
      <c r="E88" s="62"/>
      <c r="F88" s="62"/>
      <c r="G88" s="102">
        <f>G92+G97</f>
        <v>0</v>
      </c>
      <c r="H88" s="102"/>
      <c r="I88" s="102"/>
      <c r="J88" s="102">
        <f>J97</f>
        <v>0</v>
      </c>
      <c r="K88" s="102"/>
      <c r="L88" s="102">
        <f>L92+L97</f>
        <v>0</v>
      </c>
      <c r="M88" s="499">
        <f>M97</f>
        <v>109767.4</v>
      </c>
      <c r="N88" s="573"/>
      <c r="O88" s="62"/>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row>
    <row r="89" spans="1:61" s="45" customFormat="1" ht="24.95" hidden="1" customHeight="1">
      <c r="A89" s="1065" t="s">
        <v>18</v>
      </c>
      <c r="B89" s="564" t="s">
        <v>89</v>
      </c>
      <c r="C89" s="62"/>
      <c r="D89" s="62"/>
      <c r="E89" s="62"/>
      <c r="F89" s="62"/>
      <c r="G89" s="102"/>
      <c r="H89" s="102"/>
      <c r="I89" s="102"/>
      <c r="J89" s="102"/>
      <c r="K89" s="102"/>
      <c r="L89" s="102"/>
      <c r="M89" s="499"/>
      <c r="N89" s="573"/>
      <c r="O89" s="1037" t="s">
        <v>234</v>
      </c>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row>
    <row r="90" spans="1:61" ht="24.95" hidden="1" customHeight="1">
      <c r="A90" s="1065"/>
      <c r="B90" s="564" t="s">
        <v>237</v>
      </c>
      <c r="C90" s="564">
        <v>176</v>
      </c>
      <c r="D90" s="564" t="s">
        <v>15</v>
      </c>
      <c r="E90" s="564">
        <v>6100404</v>
      </c>
      <c r="F90" s="564">
        <v>414</v>
      </c>
      <c r="G90" s="103">
        <f>G92</f>
        <v>0</v>
      </c>
      <c r="H90" s="103"/>
      <c r="I90" s="103"/>
      <c r="J90" s="103"/>
      <c r="K90" s="103"/>
      <c r="L90" s="103"/>
      <c r="M90" s="679"/>
      <c r="N90" s="573"/>
      <c r="O90" s="1037"/>
    </row>
    <row r="91" spans="1:61" ht="24.95" hidden="1" customHeight="1">
      <c r="A91" s="1065"/>
      <c r="B91" s="564" t="s">
        <v>10</v>
      </c>
      <c r="C91" s="564"/>
      <c r="D91" s="564"/>
      <c r="E91" s="564"/>
      <c r="F91" s="564"/>
      <c r="G91" s="103"/>
      <c r="H91" s="103"/>
      <c r="I91" s="103"/>
      <c r="J91" s="103"/>
      <c r="K91" s="103"/>
      <c r="L91" s="103"/>
      <c r="M91" s="679"/>
      <c r="N91" s="573"/>
      <c r="O91" s="1037"/>
    </row>
    <row r="92" spans="1:61" ht="24.95" hidden="1" customHeight="1">
      <c r="A92" s="1065"/>
      <c r="B92" s="564" t="s">
        <v>34</v>
      </c>
      <c r="C92" s="564"/>
      <c r="D92" s="564"/>
      <c r="E92" s="564"/>
      <c r="F92" s="564"/>
      <c r="G92" s="103"/>
      <c r="H92" s="103"/>
      <c r="I92" s="103"/>
      <c r="J92" s="103"/>
      <c r="K92" s="103"/>
      <c r="L92" s="103"/>
      <c r="M92" s="679"/>
      <c r="N92" s="573"/>
      <c r="O92" s="1037"/>
    </row>
    <row r="93" spans="1:61" ht="24.95" customHeight="1">
      <c r="A93" s="1065" t="s">
        <v>450</v>
      </c>
      <c r="B93" s="564" t="s">
        <v>89</v>
      </c>
      <c r="C93" s="564"/>
      <c r="D93" s="564"/>
      <c r="E93" s="564"/>
      <c r="F93" s="564"/>
      <c r="G93" s="103"/>
      <c r="H93" s="103"/>
      <c r="I93" s="103"/>
      <c r="J93" s="103"/>
      <c r="K93" s="103"/>
      <c r="L93" s="103"/>
      <c r="M93" s="679">
        <v>12.6</v>
      </c>
      <c r="N93" s="573"/>
      <c r="O93" s="564"/>
    </row>
    <row r="94" spans="1:61" ht="29.25" customHeight="1">
      <c r="A94" s="1065"/>
      <c r="B94" s="564" t="s">
        <v>237</v>
      </c>
      <c r="C94" s="564">
        <v>176</v>
      </c>
      <c r="D94" s="564" t="s">
        <v>15</v>
      </c>
      <c r="E94" s="564">
        <v>6100404</v>
      </c>
      <c r="F94" s="564">
        <v>414</v>
      </c>
      <c r="G94" s="103">
        <f t="shared" ref="G94" si="25">G96+G97</f>
        <v>2093.1999999999998</v>
      </c>
      <c r="H94" s="103"/>
      <c r="I94" s="103"/>
      <c r="J94" s="103"/>
      <c r="K94" s="103">
        <f>K96</f>
        <v>2093.1999999999998</v>
      </c>
      <c r="L94" s="103">
        <f>L96</f>
        <v>7031.1</v>
      </c>
      <c r="M94" s="679">
        <f>M95+M96+M97</f>
        <v>437000</v>
      </c>
      <c r="N94" s="573"/>
      <c r="O94" s="1131" t="s">
        <v>906</v>
      </c>
      <c r="P94" s="122"/>
      <c r="AC94" s="744" t="s">
        <v>901</v>
      </c>
    </row>
    <row r="95" spans="1:61" ht="29.25" customHeight="1">
      <c r="A95" s="1065"/>
      <c r="B95" s="750" t="s">
        <v>865</v>
      </c>
      <c r="C95" s="750"/>
      <c r="D95" s="750"/>
      <c r="E95" s="750"/>
      <c r="F95" s="750"/>
      <c r="G95" s="103"/>
      <c r="H95" s="103"/>
      <c r="I95" s="103"/>
      <c r="J95" s="103"/>
      <c r="K95" s="103"/>
      <c r="L95" s="103"/>
      <c r="M95" s="679">
        <v>257000</v>
      </c>
      <c r="N95" s="848"/>
      <c r="O95" s="1131"/>
      <c r="P95" s="122"/>
      <c r="AC95" s="755"/>
    </row>
    <row r="96" spans="1:61" ht="24.95" customHeight="1">
      <c r="A96" s="1065"/>
      <c r="B96" s="564" t="s">
        <v>10</v>
      </c>
      <c r="C96" s="564"/>
      <c r="D96" s="564"/>
      <c r="E96" s="564"/>
      <c r="F96" s="564"/>
      <c r="G96" s="103">
        <f>K96</f>
        <v>2093.1999999999998</v>
      </c>
      <c r="H96" s="103"/>
      <c r="I96" s="103"/>
      <c r="J96" s="103"/>
      <c r="K96" s="103">
        <v>2093.1999999999998</v>
      </c>
      <c r="L96" s="103">
        <v>7031.1</v>
      </c>
      <c r="M96" s="679">
        <v>70232.600000000006</v>
      </c>
      <c r="N96" s="573"/>
      <c r="O96" s="1131"/>
      <c r="P96" s="122"/>
      <c r="AC96" s="44" t="s">
        <v>902</v>
      </c>
    </row>
    <row r="97" spans="1:61" ht="24.95" customHeight="1">
      <c r="A97" s="1065"/>
      <c r="B97" s="564" t="s">
        <v>34</v>
      </c>
      <c r="C97" s="564"/>
      <c r="D97" s="564"/>
      <c r="E97" s="564"/>
      <c r="F97" s="564"/>
      <c r="G97" s="103"/>
      <c r="H97" s="103"/>
      <c r="I97" s="103"/>
      <c r="J97" s="103"/>
      <c r="K97" s="103"/>
      <c r="L97" s="103"/>
      <c r="M97" s="679">
        <v>109767.4</v>
      </c>
      <c r="N97" s="573"/>
      <c r="O97" s="1131"/>
      <c r="P97" s="122"/>
    </row>
    <row r="98" spans="1:61" ht="24.95" hidden="1" customHeight="1">
      <c r="A98" s="1070" t="s">
        <v>290</v>
      </c>
      <c r="B98" s="564" t="s">
        <v>89</v>
      </c>
      <c r="C98" s="564"/>
      <c r="D98" s="564"/>
      <c r="E98" s="564"/>
      <c r="F98" s="564"/>
      <c r="G98" s="103"/>
      <c r="H98" s="103"/>
      <c r="I98" s="103"/>
      <c r="J98" s="103"/>
      <c r="K98" s="103"/>
      <c r="L98" s="103"/>
      <c r="M98" s="679"/>
      <c r="N98" s="573"/>
      <c r="O98" s="1037" t="s">
        <v>293</v>
      </c>
    </row>
    <row r="99" spans="1:61" ht="24.95" hidden="1" customHeight="1">
      <c r="A99" s="1071"/>
      <c r="B99" s="564" t="s">
        <v>237</v>
      </c>
      <c r="C99" s="564"/>
      <c r="D99" s="564"/>
      <c r="E99" s="564"/>
      <c r="F99" s="564"/>
      <c r="G99" s="103"/>
      <c r="H99" s="103"/>
      <c r="I99" s="103"/>
      <c r="J99" s="103"/>
      <c r="K99" s="103"/>
      <c r="L99" s="103"/>
      <c r="M99" s="679"/>
      <c r="N99" s="573"/>
      <c r="O99" s="1037"/>
    </row>
    <row r="100" spans="1:61" ht="24.95" hidden="1" customHeight="1">
      <c r="A100" s="1071"/>
      <c r="B100" s="564" t="s">
        <v>10</v>
      </c>
      <c r="C100" s="564"/>
      <c r="D100" s="564"/>
      <c r="E100" s="564"/>
      <c r="F100" s="564"/>
      <c r="G100" s="103"/>
      <c r="H100" s="103"/>
      <c r="I100" s="103"/>
      <c r="J100" s="103"/>
      <c r="K100" s="103"/>
      <c r="L100" s="103"/>
      <c r="M100" s="679"/>
      <c r="N100" s="573"/>
      <c r="O100" s="1037"/>
    </row>
    <row r="101" spans="1:61" ht="24.95" hidden="1" customHeight="1">
      <c r="A101" s="1072"/>
      <c r="B101" s="564" t="s">
        <v>443</v>
      </c>
      <c r="C101" s="564"/>
      <c r="D101" s="564"/>
      <c r="E101" s="564"/>
      <c r="F101" s="564"/>
      <c r="G101" s="103"/>
      <c r="H101" s="103"/>
      <c r="I101" s="103"/>
      <c r="J101" s="103"/>
      <c r="K101" s="103"/>
      <c r="L101" s="103"/>
      <c r="M101" s="679"/>
      <c r="N101" s="573"/>
      <c r="O101" s="1037"/>
    </row>
    <row r="102" spans="1:61" s="45" customFormat="1" ht="24.95" customHeight="1">
      <c r="A102" s="1038" t="s">
        <v>100</v>
      </c>
      <c r="B102" s="62" t="s">
        <v>89</v>
      </c>
      <c r="C102" s="62"/>
      <c r="D102" s="62"/>
      <c r="E102" s="62"/>
      <c r="F102" s="62"/>
      <c r="G102" s="102">
        <f>K102</f>
        <v>2.4</v>
      </c>
      <c r="H102" s="102">
        <f t="shared" ref="H102:J102" si="26">H115+H118+H126</f>
        <v>0</v>
      </c>
      <c r="I102" s="102">
        <f t="shared" si="26"/>
        <v>0</v>
      </c>
      <c r="J102" s="102">
        <f t="shared" si="26"/>
        <v>0</v>
      </c>
      <c r="K102" s="102">
        <v>2.4</v>
      </c>
      <c r="L102" s="102">
        <f t="shared" ref="L102:M102" si="27">L115+L118+L126</f>
        <v>0</v>
      </c>
      <c r="M102" s="499">
        <f t="shared" si="27"/>
        <v>0</v>
      </c>
      <c r="N102" s="573"/>
      <c r="O102" s="62"/>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row>
    <row r="103" spans="1:61" s="45" customFormat="1" ht="29.25" customHeight="1">
      <c r="A103" s="1038"/>
      <c r="B103" s="62" t="s">
        <v>237</v>
      </c>
      <c r="C103" s="62"/>
      <c r="D103" s="62"/>
      <c r="E103" s="62"/>
      <c r="F103" s="62"/>
      <c r="G103" s="102">
        <f t="shared" ref="G103:M103" si="28">G104+G105</f>
        <v>56735</v>
      </c>
      <c r="H103" s="102">
        <f t="shared" si="28"/>
        <v>0</v>
      </c>
      <c r="I103" s="102">
        <f t="shared" si="28"/>
        <v>0</v>
      </c>
      <c r="J103" s="102">
        <f t="shared" si="28"/>
        <v>0</v>
      </c>
      <c r="K103" s="102">
        <f t="shared" si="28"/>
        <v>56735</v>
      </c>
      <c r="L103" s="102">
        <f t="shared" si="28"/>
        <v>6000</v>
      </c>
      <c r="M103" s="499">
        <f t="shared" si="28"/>
        <v>0</v>
      </c>
      <c r="N103" s="573"/>
      <c r="O103" s="62"/>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row>
    <row r="104" spans="1:61" s="45" customFormat="1" ht="24.95" customHeight="1">
      <c r="A104" s="1038"/>
      <c r="B104" s="62" t="s">
        <v>10</v>
      </c>
      <c r="C104" s="62"/>
      <c r="D104" s="62"/>
      <c r="E104" s="62"/>
      <c r="F104" s="62"/>
      <c r="G104" s="102">
        <f>G108+G120</f>
        <v>56735</v>
      </c>
      <c r="H104" s="102">
        <f t="shared" ref="H104:K104" si="29">H108+H120</f>
        <v>0</v>
      </c>
      <c r="I104" s="102">
        <f t="shared" si="29"/>
        <v>0</v>
      </c>
      <c r="J104" s="102">
        <f t="shared" si="29"/>
        <v>0</v>
      </c>
      <c r="K104" s="102">
        <f t="shared" si="29"/>
        <v>56735</v>
      </c>
      <c r="L104" s="102">
        <f>L108+L120</f>
        <v>6000</v>
      </c>
      <c r="M104" s="499">
        <f>M108+M120</f>
        <v>0</v>
      </c>
      <c r="N104" s="573"/>
      <c r="O104" s="62"/>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row>
    <row r="105" spans="1:61" s="45" customFormat="1" ht="24.6" customHeight="1">
      <c r="A105" s="1038"/>
      <c r="B105" s="62" t="s">
        <v>443</v>
      </c>
      <c r="C105" s="62"/>
      <c r="D105" s="62"/>
      <c r="E105" s="62"/>
      <c r="F105" s="62"/>
      <c r="G105" s="102">
        <f>G121+G129</f>
        <v>0</v>
      </c>
      <c r="H105" s="102"/>
      <c r="I105" s="102"/>
      <c r="J105" s="102"/>
      <c r="K105" s="102"/>
      <c r="L105" s="102">
        <f t="shared" ref="L105:M105" si="30">L121+L129</f>
        <v>0</v>
      </c>
      <c r="M105" s="499">
        <f t="shared" si="30"/>
        <v>0</v>
      </c>
      <c r="N105" s="573"/>
      <c r="O105" s="62"/>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row>
    <row r="106" spans="1:61" s="45" customFormat="1" ht="24.95" customHeight="1">
      <c r="A106" s="1096" t="s">
        <v>892</v>
      </c>
      <c r="B106" s="564" t="s">
        <v>89</v>
      </c>
      <c r="C106" s="62"/>
      <c r="D106" s="62"/>
      <c r="E106" s="62"/>
      <c r="F106" s="62"/>
      <c r="G106" s="102"/>
      <c r="H106" s="102"/>
      <c r="I106" s="102"/>
      <c r="J106" s="102"/>
      <c r="K106" s="102"/>
      <c r="L106" s="102"/>
      <c r="M106" s="499"/>
      <c r="N106" s="573"/>
      <c r="O106" s="1037" t="s">
        <v>914</v>
      </c>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row>
    <row r="107" spans="1:61" ht="24.95" customHeight="1">
      <c r="A107" s="1097"/>
      <c r="B107" s="564" t="s">
        <v>237</v>
      </c>
      <c r="C107" s="564">
        <v>176</v>
      </c>
      <c r="D107" s="564" t="s">
        <v>15</v>
      </c>
      <c r="E107" s="564">
        <v>6100404</v>
      </c>
      <c r="F107" s="564">
        <v>414</v>
      </c>
      <c r="G107" s="103">
        <f>K107</f>
        <v>400</v>
      </c>
      <c r="H107" s="103"/>
      <c r="I107" s="103"/>
      <c r="J107" s="103"/>
      <c r="K107" s="103">
        <f>K108</f>
        <v>400</v>
      </c>
      <c r="L107" s="103">
        <f>L108</f>
        <v>6000</v>
      </c>
      <c r="M107" s="679">
        <f>M108</f>
        <v>0</v>
      </c>
      <c r="N107" s="573"/>
      <c r="O107" s="1037"/>
    </row>
    <row r="108" spans="1:61" ht="24.95" customHeight="1">
      <c r="A108" s="1098"/>
      <c r="B108" s="564" t="s">
        <v>10</v>
      </c>
      <c r="C108" s="564"/>
      <c r="D108" s="564"/>
      <c r="E108" s="564"/>
      <c r="F108" s="564"/>
      <c r="G108" s="103">
        <f>K108</f>
        <v>400</v>
      </c>
      <c r="H108" s="103"/>
      <c r="I108" s="103"/>
      <c r="J108" s="103"/>
      <c r="K108" s="103">
        <v>400</v>
      </c>
      <c r="L108" s="103">
        <v>6000</v>
      </c>
      <c r="M108" s="679"/>
      <c r="N108" s="573"/>
      <c r="O108" s="1037"/>
    </row>
    <row r="109" spans="1:61" ht="0.6" customHeight="1">
      <c r="A109" s="1096" t="s">
        <v>286</v>
      </c>
      <c r="B109" s="564" t="str">
        <f t="shared" ref="B109:L111" si="31">B106</f>
        <v>Мощность, км</v>
      </c>
      <c r="C109" s="564">
        <f t="shared" si="31"/>
        <v>0</v>
      </c>
      <c r="D109" s="564">
        <f t="shared" si="31"/>
        <v>0</v>
      </c>
      <c r="E109" s="564">
        <f t="shared" si="31"/>
        <v>0</v>
      </c>
      <c r="F109" s="564">
        <f t="shared" si="31"/>
        <v>0</v>
      </c>
      <c r="G109" s="103">
        <f t="shared" si="31"/>
        <v>0</v>
      </c>
      <c r="H109" s="103"/>
      <c r="I109" s="103"/>
      <c r="J109" s="103"/>
      <c r="K109" s="103"/>
      <c r="L109" s="103">
        <f t="shared" si="31"/>
        <v>0</v>
      </c>
      <c r="M109" s="679"/>
      <c r="N109" s="573"/>
      <c r="O109" s="1037" t="str">
        <f>O106</f>
        <v xml:space="preserve">Выкуп земель под объект </v>
      </c>
    </row>
    <row r="110" spans="1:61" ht="24.6" hidden="1" customHeight="1">
      <c r="A110" s="1097"/>
      <c r="B110" s="564" t="str">
        <f t="shared" si="31"/>
        <v>Сумма затрат (тыс.руб.), в том числе:</v>
      </c>
      <c r="C110" s="564">
        <f t="shared" si="31"/>
        <v>176</v>
      </c>
      <c r="D110" s="564" t="str">
        <f t="shared" si="31"/>
        <v>0409</v>
      </c>
      <c r="E110" s="564">
        <f t="shared" si="31"/>
        <v>6100404</v>
      </c>
      <c r="F110" s="564">
        <f t="shared" si="31"/>
        <v>414</v>
      </c>
      <c r="G110" s="103">
        <f t="shared" si="31"/>
        <v>400</v>
      </c>
      <c r="H110" s="103"/>
      <c r="I110" s="103"/>
      <c r="J110" s="103"/>
      <c r="K110" s="103"/>
      <c r="L110" s="103">
        <f>L111</f>
        <v>0</v>
      </c>
      <c r="M110" s="679"/>
      <c r="N110" s="573"/>
      <c r="O110" s="1037"/>
    </row>
    <row r="111" spans="1:61" ht="24.6" hidden="1" customHeight="1">
      <c r="A111" s="1098"/>
      <c r="B111" s="564" t="str">
        <f t="shared" si="31"/>
        <v xml:space="preserve">областной бюджет </v>
      </c>
      <c r="C111" s="564">
        <f t="shared" si="31"/>
        <v>0</v>
      </c>
      <c r="D111" s="564">
        <f t="shared" si="31"/>
        <v>0</v>
      </c>
      <c r="E111" s="564">
        <f t="shared" si="31"/>
        <v>0</v>
      </c>
      <c r="F111" s="564">
        <f t="shared" si="31"/>
        <v>0</v>
      </c>
      <c r="G111" s="103">
        <f t="shared" si="31"/>
        <v>400</v>
      </c>
      <c r="H111" s="103"/>
      <c r="I111" s="103"/>
      <c r="J111" s="103"/>
      <c r="K111" s="103"/>
      <c r="L111" s="103">
        <v>0</v>
      </c>
      <c r="M111" s="679"/>
      <c r="N111" s="573"/>
      <c r="O111" s="1037"/>
    </row>
    <row r="112" spans="1:61" ht="24.6" hidden="1" customHeight="1">
      <c r="A112" s="1096" t="s">
        <v>287</v>
      </c>
      <c r="B112" s="564" t="s">
        <v>89</v>
      </c>
      <c r="C112" s="564"/>
      <c r="D112" s="564"/>
      <c r="E112" s="564"/>
      <c r="F112" s="564"/>
      <c r="G112" s="103"/>
      <c r="H112" s="103"/>
      <c r="I112" s="103"/>
      <c r="J112" s="103"/>
      <c r="K112" s="103"/>
      <c r="L112" s="103"/>
      <c r="M112" s="679"/>
      <c r="N112" s="573"/>
      <c r="O112" s="564" t="s">
        <v>31</v>
      </c>
    </row>
    <row r="113" spans="1:22" ht="24.6" hidden="1" customHeight="1">
      <c r="A113" s="1097"/>
      <c r="B113" s="564" t="s">
        <v>237</v>
      </c>
      <c r="C113" s="564"/>
      <c r="D113" s="564"/>
      <c r="E113" s="564"/>
      <c r="F113" s="564"/>
      <c r="G113" s="103"/>
      <c r="H113" s="103"/>
      <c r="I113" s="103"/>
      <c r="J113" s="103"/>
      <c r="K113" s="103"/>
      <c r="L113" s="103">
        <f>L114</f>
        <v>0</v>
      </c>
      <c r="M113" s="679"/>
      <c r="N113" s="573"/>
      <c r="O113" s="564"/>
    </row>
    <row r="114" spans="1:22" ht="24.6" hidden="1" customHeight="1">
      <c r="A114" s="1098"/>
      <c r="B114" s="564" t="s">
        <v>34</v>
      </c>
      <c r="C114" s="564"/>
      <c r="D114" s="564"/>
      <c r="E114" s="564"/>
      <c r="F114" s="564"/>
      <c r="G114" s="103"/>
      <c r="H114" s="103"/>
      <c r="I114" s="103"/>
      <c r="J114" s="103"/>
      <c r="K114" s="103"/>
      <c r="L114" s="103">
        <v>0</v>
      </c>
      <c r="M114" s="679"/>
      <c r="N114" s="573"/>
      <c r="O114" s="564"/>
    </row>
    <row r="115" spans="1:22" ht="24.95" hidden="1" customHeight="1">
      <c r="A115" s="1096" t="s">
        <v>299</v>
      </c>
      <c r="B115" s="564" t="s">
        <v>89</v>
      </c>
      <c r="C115" s="62"/>
      <c r="D115" s="62"/>
      <c r="E115" s="62"/>
      <c r="F115" s="62"/>
      <c r="G115" s="103"/>
      <c r="H115" s="102"/>
      <c r="I115" s="102"/>
      <c r="J115" s="102"/>
      <c r="K115" s="102"/>
      <c r="L115" s="102"/>
      <c r="M115" s="499">
        <f t="shared" ref="M115" si="32">+M118+M126</f>
        <v>0</v>
      </c>
      <c r="N115" s="573"/>
      <c r="O115" s="1037" t="s">
        <v>444</v>
      </c>
      <c r="V115" s="44">
        <v>63.82</v>
      </c>
    </row>
    <row r="116" spans="1:22" ht="24.95" hidden="1" customHeight="1">
      <c r="A116" s="1097"/>
      <c r="B116" s="564" t="s">
        <v>237</v>
      </c>
      <c r="C116" s="564">
        <v>176</v>
      </c>
      <c r="D116" s="564" t="s">
        <v>15</v>
      </c>
      <c r="E116" s="564">
        <v>6100404</v>
      </c>
      <c r="F116" s="564">
        <v>414</v>
      </c>
      <c r="G116" s="103">
        <f t="shared" ref="G116" si="33">G117</f>
        <v>0</v>
      </c>
      <c r="H116" s="103"/>
      <c r="I116" s="103"/>
      <c r="J116" s="103">
        <f>J117</f>
        <v>0</v>
      </c>
      <c r="K116" s="103"/>
      <c r="L116" s="103"/>
      <c r="M116" s="679"/>
      <c r="N116" s="573"/>
      <c r="O116" s="1037"/>
    </row>
    <row r="117" spans="1:22" ht="22.15" hidden="1" customHeight="1">
      <c r="A117" s="1098"/>
      <c r="B117" s="564" t="s">
        <v>10</v>
      </c>
      <c r="C117" s="564"/>
      <c r="D117" s="564"/>
      <c r="E117" s="564"/>
      <c r="F117" s="564"/>
      <c r="G117" s="103">
        <f>J117</f>
        <v>0</v>
      </c>
      <c r="H117" s="103"/>
      <c r="I117" s="103"/>
      <c r="J117" s="103"/>
      <c r="K117" s="103"/>
      <c r="L117" s="103"/>
      <c r="M117" s="679"/>
      <c r="N117" s="573"/>
      <c r="O117" s="1037"/>
    </row>
    <row r="118" spans="1:22" ht="24.6" customHeight="1">
      <c r="A118" s="1118" t="s">
        <v>239</v>
      </c>
      <c r="B118" s="564" t="s">
        <v>89</v>
      </c>
      <c r="C118" s="564">
        <v>176</v>
      </c>
      <c r="D118" s="564" t="s">
        <v>15</v>
      </c>
      <c r="E118" s="564">
        <v>6100404</v>
      </c>
      <c r="F118" s="564">
        <v>414</v>
      </c>
      <c r="G118" s="103">
        <f>K118</f>
        <v>2.3666436002162108</v>
      </c>
      <c r="H118" s="103"/>
      <c r="I118" s="103"/>
      <c r="J118" s="103"/>
      <c r="K118" s="103">
        <f>P118</f>
        <v>2.3666436002162108</v>
      </c>
      <c r="L118" s="103"/>
      <c r="M118" s="679"/>
      <c r="N118" s="573"/>
      <c r="O118" s="1037" t="s">
        <v>676</v>
      </c>
      <c r="P118" s="663">
        <f>(K119+L119)/29200.7*1.074*1.037*1.049*1.05</f>
        <v>2.3666436002162108</v>
      </c>
    </row>
    <row r="119" spans="1:22" ht="24.6" customHeight="1">
      <c r="A119" s="1118"/>
      <c r="B119" s="564" t="s">
        <v>237</v>
      </c>
      <c r="C119" s="564"/>
      <c r="D119" s="564"/>
      <c r="E119" s="564"/>
      <c r="F119" s="564"/>
      <c r="G119" s="103">
        <f t="shared" ref="G119:J119" si="34">G120+G121</f>
        <v>56335</v>
      </c>
      <c r="H119" s="103">
        <f t="shared" si="34"/>
        <v>0</v>
      </c>
      <c r="I119" s="103">
        <f t="shared" si="34"/>
        <v>0</v>
      </c>
      <c r="J119" s="103">
        <f t="shared" si="34"/>
        <v>0</v>
      </c>
      <c r="K119" s="103">
        <f>K120</f>
        <v>56335</v>
      </c>
      <c r="L119" s="103">
        <f>L120+L121</f>
        <v>0</v>
      </c>
      <c r="M119" s="679"/>
      <c r="N119" s="573"/>
      <c r="O119" s="1037"/>
    </row>
    <row r="120" spans="1:22" ht="24.6" customHeight="1">
      <c r="A120" s="1118"/>
      <c r="B120" s="564" t="s">
        <v>10</v>
      </c>
      <c r="C120" s="564"/>
      <c r="D120" s="564"/>
      <c r="E120" s="564"/>
      <c r="F120" s="564"/>
      <c r="G120" s="103">
        <f>K120</f>
        <v>56335</v>
      </c>
      <c r="H120" s="103"/>
      <c r="I120" s="103"/>
      <c r="J120" s="103"/>
      <c r="K120" s="103">
        <v>56335</v>
      </c>
      <c r="L120" s="103">
        <v>0</v>
      </c>
      <c r="M120" s="679"/>
      <c r="N120" s="573"/>
      <c r="O120" s="1037"/>
    </row>
    <row r="121" spans="1:22" ht="24" customHeight="1">
      <c r="A121" s="1118"/>
      <c r="B121" s="564" t="s">
        <v>443</v>
      </c>
      <c r="C121" s="564"/>
      <c r="D121" s="564"/>
      <c r="E121" s="564"/>
      <c r="F121" s="564"/>
      <c r="G121" s="103">
        <v>0</v>
      </c>
      <c r="H121" s="103"/>
      <c r="I121" s="103"/>
      <c r="J121" s="103"/>
      <c r="K121" s="103"/>
      <c r="L121" s="103"/>
      <c r="M121" s="679"/>
      <c r="N121" s="573"/>
      <c r="O121" s="1037"/>
    </row>
    <row r="122" spans="1:22" ht="24.6" hidden="1" customHeight="1">
      <c r="A122" s="1099" t="s">
        <v>238</v>
      </c>
      <c r="B122" s="564" t="s">
        <v>89</v>
      </c>
      <c r="C122" s="564"/>
      <c r="D122" s="564"/>
      <c r="E122" s="564"/>
      <c r="F122" s="564"/>
      <c r="G122" s="103"/>
      <c r="H122" s="103"/>
      <c r="I122" s="103"/>
      <c r="J122" s="103"/>
      <c r="K122" s="103"/>
      <c r="L122" s="103"/>
      <c r="M122" s="679"/>
      <c r="N122" s="573"/>
      <c r="O122" s="1037" t="s">
        <v>263</v>
      </c>
    </row>
    <row r="123" spans="1:22" ht="24.6" hidden="1" customHeight="1">
      <c r="A123" s="1099"/>
      <c r="B123" s="564" t="s">
        <v>237</v>
      </c>
      <c r="C123" s="564">
        <v>176</v>
      </c>
      <c r="D123" s="564" t="s">
        <v>15</v>
      </c>
      <c r="E123" s="564">
        <v>6100404</v>
      </c>
      <c r="F123" s="564">
        <v>414</v>
      </c>
      <c r="G123" s="103">
        <f t="shared" ref="G123:L123" si="35">G124+G125</f>
        <v>0</v>
      </c>
      <c r="H123" s="103"/>
      <c r="I123" s="103"/>
      <c r="J123" s="103"/>
      <c r="K123" s="103"/>
      <c r="L123" s="103">
        <f t="shared" si="35"/>
        <v>0</v>
      </c>
      <c r="M123" s="679"/>
      <c r="N123" s="573"/>
      <c r="O123" s="1037"/>
    </row>
    <row r="124" spans="1:22" ht="24.6" hidden="1" customHeight="1">
      <c r="A124" s="1099"/>
      <c r="B124" s="564" t="s">
        <v>10</v>
      </c>
      <c r="C124" s="564"/>
      <c r="D124" s="564"/>
      <c r="E124" s="564"/>
      <c r="F124" s="564"/>
      <c r="G124" s="103"/>
      <c r="H124" s="103"/>
      <c r="I124" s="103"/>
      <c r="J124" s="103"/>
      <c r="K124" s="103"/>
      <c r="L124" s="103"/>
      <c r="M124" s="679"/>
      <c r="N124" s="573"/>
      <c r="O124" s="1037"/>
    </row>
    <row r="125" spans="1:22" ht="24.6" hidden="1" customHeight="1">
      <c r="A125" s="1099"/>
      <c r="B125" s="564" t="s">
        <v>34</v>
      </c>
      <c r="C125" s="564"/>
      <c r="D125" s="564"/>
      <c r="E125" s="564"/>
      <c r="F125" s="564"/>
      <c r="G125" s="103"/>
      <c r="H125" s="103"/>
      <c r="I125" s="103"/>
      <c r="J125" s="103"/>
      <c r="K125" s="103"/>
      <c r="L125" s="103"/>
      <c r="M125" s="679"/>
      <c r="N125" s="573"/>
      <c r="O125" s="1037"/>
    </row>
    <row r="126" spans="1:22" ht="0.6" hidden="1" customHeight="1">
      <c r="A126" s="1099" t="s">
        <v>441</v>
      </c>
      <c r="B126" s="564" t="s">
        <v>89</v>
      </c>
      <c r="C126" s="564"/>
      <c r="D126" s="564"/>
      <c r="E126" s="564"/>
      <c r="F126" s="564"/>
      <c r="G126" s="103"/>
      <c r="H126" s="103"/>
      <c r="I126" s="103"/>
      <c r="J126" s="103"/>
      <c r="K126" s="103"/>
      <c r="L126" s="103"/>
      <c r="M126" s="679"/>
      <c r="N126" s="573"/>
      <c r="O126" s="1037" t="s">
        <v>323</v>
      </c>
    </row>
    <row r="127" spans="1:22" ht="24.6" hidden="1" customHeight="1">
      <c r="A127" s="1099"/>
      <c r="B127" s="564" t="s">
        <v>237</v>
      </c>
      <c r="C127" s="564">
        <v>176</v>
      </c>
      <c r="D127" s="564" t="s">
        <v>15</v>
      </c>
      <c r="E127" s="564">
        <v>6100404</v>
      </c>
      <c r="F127" s="564">
        <v>414</v>
      </c>
      <c r="G127" s="103">
        <f t="shared" ref="G127:L127" si="36">G128+G129</f>
        <v>0</v>
      </c>
      <c r="H127" s="103"/>
      <c r="I127" s="103"/>
      <c r="J127" s="103"/>
      <c r="K127" s="103"/>
      <c r="L127" s="103">
        <f t="shared" si="36"/>
        <v>0</v>
      </c>
      <c r="M127" s="679"/>
      <c r="N127" s="573"/>
      <c r="O127" s="1037"/>
    </row>
    <row r="128" spans="1:22" ht="30.6" hidden="1" customHeight="1">
      <c r="A128" s="1099"/>
      <c r="B128" s="564" t="s">
        <v>10</v>
      </c>
      <c r="C128" s="564"/>
      <c r="D128" s="564"/>
      <c r="E128" s="564"/>
      <c r="F128" s="564"/>
      <c r="G128" s="103"/>
      <c r="H128" s="103"/>
      <c r="I128" s="103"/>
      <c r="J128" s="103"/>
      <c r="K128" s="103"/>
      <c r="L128" s="103"/>
      <c r="M128" s="679"/>
      <c r="N128" s="573"/>
      <c r="O128" s="1037"/>
    </row>
    <row r="129" spans="1:15" ht="24" hidden="1" customHeight="1">
      <c r="A129" s="1099"/>
      <c r="B129" s="564" t="s">
        <v>34</v>
      </c>
      <c r="C129" s="564"/>
      <c r="D129" s="564"/>
      <c r="E129" s="564"/>
      <c r="F129" s="564"/>
      <c r="G129" s="103">
        <v>0</v>
      </c>
      <c r="H129" s="103"/>
      <c r="I129" s="103"/>
      <c r="J129" s="103"/>
      <c r="K129" s="103"/>
      <c r="L129" s="103"/>
      <c r="M129" s="679"/>
      <c r="N129" s="573"/>
      <c r="O129" s="1037"/>
    </row>
    <row r="130" spans="1:15" ht="24.75" customHeight="1">
      <c r="A130" s="1073" t="s">
        <v>119</v>
      </c>
      <c r="B130" s="62" t="s">
        <v>89</v>
      </c>
      <c r="C130" s="564"/>
      <c r="D130" s="564"/>
      <c r="E130" s="564"/>
      <c r="F130" s="564"/>
      <c r="G130" s="102"/>
      <c r="H130" s="102">
        <f t="shared" ref="H130:M130" si="37">H139</f>
        <v>0</v>
      </c>
      <c r="I130" s="102">
        <f t="shared" si="37"/>
        <v>0</v>
      </c>
      <c r="J130" s="102">
        <f t="shared" si="37"/>
        <v>0</v>
      </c>
      <c r="K130" s="102">
        <f t="shared" si="37"/>
        <v>0</v>
      </c>
      <c r="L130" s="102">
        <f>L134</f>
        <v>12.8</v>
      </c>
      <c r="M130" s="499">
        <f t="shared" si="37"/>
        <v>0</v>
      </c>
      <c r="N130" s="573"/>
      <c r="O130" s="564"/>
    </row>
    <row r="131" spans="1:15" ht="21.6" customHeight="1">
      <c r="A131" s="1073"/>
      <c r="B131" s="62" t="s">
        <v>237</v>
      </c>
      <c r="C131" s="564"/>
      <c r="D131" s="564"/>
      <c r="E131" s="564"/>
      <c r="F131" s="564"/>
      <c r="G131" s="102">
        <f>G135+G140</f>
        <v>5601.5</v>
      </c>
      <c r="H131" s="102">
        <f t="shared" ref="H131:L131" si="38">H135+H140</f>
        <v>0</v>
      </c>
      <c r="I131" s="102">
        <f t="shared" si="38"/>
        <v>0</v>
      </c>
      <c r="J131" s="102">
        <f t="shared" si="38"/>
        <v>0</v>
      </c>
      <c r="K131" s="102">
        <f t="shared" si="38"/>
        <v>5601.5</v>
      </c>
      <c r="L131" s="102">
        <f t="shared" si="38"/>
        <v>303409.30000000005</v>
      </c>
      <c r="M131" s="499">
        <f>M132+M133</f>
        <v>100000</v>
      </c>
      <c r="N131" s="573"/>
      <c r="O131" s="564"/>
    </row>
    <row r="132" spans="1:15" ht="30" customHeight="1">
      <c r="A132" s="1073"/>
      <c r="B132" s="62" t="s">
        <v>10</v>
      </c>
      <c r="C132" s="564"/>
      <c r="D132" s="564"/>
      <c r="E132" s="564"/>
      <c r="F132" s="564"/>
      <c r="G132" s="102">
        <f>G136+G137+G141</f>
        <v>5601.5</v>
      </c>
      <c r="H132" s="102">
        <f t="shared" ref="H132:L132" si="39">H136+H137+H141</f>
        <v>0</v>
      </c>
      <c r="I132" s="102">
        <f t="shared" si="39"/>
        <v>0</v>
      </c>
      <c r="J132" s="102">
        <f t="shared" si="39"/>
        <v>0</v>
      </c>
      <c r="K132" s="102">
        <f t="shared" si="39"/>
        <v>5601.5</v>
      </c>
      <c r="L132" s="102">
        <f t="shared" si="39"/>
        <v>198119.2</v>
      </c>
      <c r="M132" s="102">
        <f t="shared" ref="M132" si="40">M141</f>
        <v>100000</v>
      </c>
      <c r="N132" s="573"/>
      <c r="O132" s="564"/>
    </row>
    <row r="133" spans="1:15" ht="30" customHeight="1">
      <c r="A133" s="1073"/>
      <c r="B133" s="62" t="s">
        <v>443</v>
      </c>
      <c r="C133" s="564"/>
      <c r="D133" s="564"/>
      <c r="E133" s="564"/>
      <c r="F133" s="564"/>
      <c r="G133" s="102">
        <f>G142</f>
        <v>0</v>
      </c>
      <c r="H133" s="102"/>
      <c r="I133" s="102"/>
      <c r="J133" s="102"/>
      <c r="K133" s="102"/>
      <c r="L133" s="102">
        <f>L138</f>
        <v>105290.1</v>
      </c>
      <c r="M133" s="499">
        <f>M142</f>
        <v>0</v>
      </c>
      <c r="N133" s="573"/>
      <c r="O133" s="564"/>
    </row>
    <row r="134" spans="1:15" ht="30" customHeight="1">
      <c r="A134" s="1140" t="s">
        <v>528</v>
      </c>
      <c r="B134" s="750" t="s">
        <v>89</v>
      </c>
      <c r="C134" s="750"/>
      <c r="D134" s="750"/>
      <c r="E134" s="750"/>
      <c r="F134" s="750"/>
      <c r="G134" s="103">
        <f>K134</f>
        <v>0</v>
      </c>
      <c r="H134" s="103"/>
      <c r="I134" s="103"/>
      <c r="J134" s="103"/>
      <c r="K134" s="103"/>
      <c r="L134" s="103">
        <v>12.8</v>
      </c>
      <c r="M134" s="679"/>
      <c r="N134" s="751"/>
      <c r="O134" s="1037" t="s">
        <v>529</v>
      </c>
    </row>
    <row r="135" spans="1:15" ht="24.6" customHeight="1">
      <c r="A135" s="1141"/>
      <c r="B135" s="750" t="s">
        <v>237</v>
      </c>
      <c r="C135" s="750"/>
      <c r="D135" s="750"/>
      <c r="E135" s="750"/>
      <c r="F135" s="750"/>
      <c r="G135" s="103">
        <f t="shared" ref="G135" si="41">K135</f>
        <v>5501.5</v>
      </c>
      <c r="H135" s="103"/>
      <c r="I135" s="103"/>
      <c r="J135" s="103"/>
      <c r="K135" s="103">
        <f>K136</f>
        <v>5501.5</v>
      </c>
      <c r="L135" s="103">
        <f>L136+L137+L138</f>
        <v>295409.30000000005</v>
      </c>
      <c r="M135" s="679"/>
      <c r="N135" s="751"/>
      <c r="O135" s="1037"/>
    </row>
    <row r="136" spans="1:15" ht="24.6" customHeight="1">
      <c r="A136" s="1141"/>
      <c r="B136" s="750" t="s">
        <v>10</v>
      </c>
      <c r="C136" s="750"/>
      <c r="D136" s="750"/>
      <c r="E136" s="750"/>
      <c r="F136" s="750"/>
      <c r="G136" s="103">
        <f>K136</f>
        <v>5501.5</v>
      </c>
      <c r="H136" s="103"/>
      <c r="I136" s="103"/>
      <c r="J136" s="103"/>
      <c r="K136" s="103">
        <v>5501.5</v>
      </c>
      <c r="L136" s="103">
        <v>12250</v>
      </c>
      <c r="M136" s="679"/>
      <c r="N136" s="751"/>
      <c r="O136" s="1037"/>
    </row>
    <row r="137" spans="1:15" ht="23.25" customHeight="1">
      <c r="A137" s="1141"/>
      <c r="B137" s="750" t="s">
        <v>865</v>
      </c>
      <c r="C137" s="750"/>
      <c r="D137" s="750"/>
      <c r="E137" s="750"/>
      <c r="F137" s="750"/>
      <c r="G137" s="103">
        <f t="shared" ref="G137:G138" si="42">K137</f>
        <v>0</v>
      </c>
      <c r="H137" s="103"/>
      <c r="I137" s="103"/>
      <c r="J137" s="103"/>
      <c r="K137" s="103"/>
      <c r="L137" s="103">
        <v>177869.2</v>
      </c>
      <c r="M137" s="679"/>
      <c r="N137" s="751"/>
      <c r="O137" s="1037"/>
    </row>
    <row r="138" spans="1:15" ht="25.5" customHeight="1">
      <c r="A138" s="1142"/>
      <c r="B138" s="750" t="s">
        <v>443</v>
      </c>
      <c r="C138" s="750"/>
      <c r="D138" s="750"/>
      <c r="E138" s="750"/>
      <c r="F138" s="750"/>
      <c r="G138" s="103">
        <f t="shared" si="42"/>
        <v>0</v>
      </c>
      <c r="H138" s="103"/>
      <c r="I138" s="103"/>
      <c r="J138" s="103"/>
      <c r="K138" s="103"/>
      <c r="L138" s="103">
        <v>105290.1</v>
      </c>
      <c r="M138" s="679"/>
      <c r="N138" s="751"/>
      <c r="O138" s="1037"/>
    </row>
    <row r="139" spans="1:15" ht="22.5" customHeight="1">
      <c r="A139" s="1140" t="s">
        <v>928</v>
      </c>
      <c r="B139" s="564" t="s">
        <v>89</v>
      </c>
      <c r="C139" s="564"/>
      <c r="D139" s="564"/>
      <c r="E139" s="564"/>
      <c r="F139" s="564"/>
      <c r="G139" s="103">
        <f>K139</f>
        <v>0</v>
      </c>
      <c r="H139" s="103"/>
      <c r="I139" s="103"/>
      <c r="J139" s="103"/>
      <c r="K139" s="103"/>
      <c r="L139" s="103"/>
      <c r="M139" s="679"/>
      <c r="N139" s="573"/>
      <c r="O139" s="1037" t="s">
        <v>848</v>
      </c>
    </row>
    <row r="140" spans="1:15" ht="24.6" customHeight="1">
      <c r="A140" s="1141"/>
      <c r="B140" s="564" t="s">
        <v>237</v>
      </c>
      <c r="C140" s="564"/>
      <c r="D140" s="564"/>
      <c r="E140" s="564"/>
      <c r="F140" s="564"/>
      <c r="G140" s="103">
        <f t="shared" ref="G140:G142" si="43">K140</f>
        <v>100</v>
      </c>
      <c r="H140" s="103"/>
      <c r="I140" s="103"/>
      <c r="J140" s="103"/>
      <c r="K140" s="103">
        <f>K141</f>
        <v>100</v>
      </c>
      <c r="L140" s="103">
        <f>L141</f>
        <v>8000</v>
      </c>
      <c r="M140" s="679">
        <f>M141</f>
        <v>100000</v>
      </c>
      <c r="N140" s="573"/>
      <c r="O140" s="1037"/>
    </row>
    <row r="141" spans="1:15" ht="24.6" customHeight="1">
      <c r="A141" s="1141"/>
      <c r="B141" s="643" t="s">
        <v>10</v>
      </c>
      <c r="C141" s="643"/>
      <c r="D141" s="643"/>
      <c r="E141" s="643"/>
      <c r="F141" s="643"/>
      <c r="G141" s="103">
        <f>K141</f>
        <v>100</v>
      </c>
      <c r="H141" s="103"/>
      <c r="I141" s="103"/>
      <c r="J141" s="103"/>
      <c r="K141" s="103">
        <v>100</v>
      </c>
      <c r="L141" s="103">
        <v>8000</v>
      </c>
      <c r="M141" s="679">
        <v>100000</v>
      </c>
      <c r="N141" s="651"/>
      <c r="O141" s="1037"/>
    </row>
    <row r="142" spans="1:15" ht="25.5" customHeight="1">
      <c r="A142" s="1142"/>
      <c r="B142" s="564" t="s">
        <v>443</v>
      </c>
      <c r="C142" s="564"/>
      <c r="D142" s="564"/>
      <c r="E142" s="564"/>
      <c r="F142" s="564"/>
      <c r="G142" s="103">
        <f t="shared" si="43"/>
        <v>0</v>
      </c>
      <c r="H142" s="103"/>
      <c r="I142" s="103"/>
      <c r="J142" s="103"/>
      <c r="K142" s="103"/>
      <c r="L142" s="103">
        <v>0</v>
      </c>
      <c r="M142" s="679"/>
      <c r="N142" s="573"/>
      <c r="O142" s="1037"/>
    </row>
    <row r="143" spans="1:15" ht="28.5" customHeight="1">
      <c r="A143" s="1073" t="s">
        <v>124</v>
      </c>
      <c r="B143" s="62" t="s">
        <v>89</v>
      </c>
      <c r="C143" s="564"/>
      <c r="D143" s="564"/>
      <c r="E143" s="564"/>
      <c r="F143" s="564"/>
      <c r="G143" s="102">
        <f t="shared" ref="G143:M143" si="44">G147+G159</f>
        <v>0</v>
      </c>
      <c r="H143" s="102"/>
      <c r="I143" s="102"/>
      <c r="J143" s="102"/>
      <c r="K143" s="102"/>
      <c r="L143" s="102">
        <f t="shared" si="44"/>
        <v>0</v>
      </c>
      <c r="M143" s="499">
        <f t="shared" si="44"/>
        <v>0</v>
      </c>
      <c r="N143" s="573"/>
      <c r="O143" s="564"/>
    </row>
    <row r="144" spans="1:15" ht="30.75" customHeight="1">
      <c r="A144" s="1073"/>
      <c r="B144" s="62" t="s">
        <v>237</v>
      </c>
      <c r="C144" s="564"/>
      <c r="D144" s="564"/>
      <c r="E144" s="564"/>
      <c r="F144" s="564"/>
      <c r="G144" s="102">
        <f>G145+G146</f>
        <v>611.5</v>
      </c>
      <c r="H144" s="102">
        <f t="shared" ref="H144:M144" si="45">H145+H146</f>
        <v>0</v>
      </c>
      <c r="I144" s="102">
        <f t="shared" si="45"/>
        <v>0</v>
      </c>
      <c r="J144" s="102">
        <f t="shared" si="45"/>
        <v>0</v>
      </c>
      <c r="K144" s="102">
        <f t="shared" si="45"/>
        <v>611.5</v>
      </c>
      <c r="L144" s="102">
        <f t="shared" si="45"/>
        <v>0</v>
      </c>
      <c r="M144" s="102">
        <f t="shared" si="45"/>
        <v>0</v>
      </c>
      <c r="N144" s="573"/>
      <c r="O144" s="564"/>
    </row>
    <row r="145" spans="1:62" ht="35.25" customHeight="1">
      <c r="A145" s="1073"/>
      <c r="B145" s="62" t="s">
        <v>10</v>
      </c>
      <c r="C145" s="564"/>
      <c r="D145" s="564"/>
      <c r="E145" s="564"/>
      <c r="F145" s="564"/>
      <c r="G145" s="102">
        <f>G148</f>
        <v>611.5</v>
      </c>
      <c r="H145" s="102">
        <f t="shared" ref="H145:M145" si="46">H148</f>
        <v>0</v>
      </c>
      <c r="I145" s="102">
        <f t="shared" si="46"/>
        <v>0</v>
      </c>
      <c r="J145" s="102">
        <f t="shared" si="46"/>
        <v>0</v>
      </c>
      <c r="K145" s="102">
        <f t="shared" si="46"/>
        <v>611.5</v>
      </c>
      <c r="L145" s="102">
        <f t="shared" si="46"/>
        <v>0</v>
      </c>
      <c r="M145" s="102">
        <f t="shared" si="46"/>
        <v>0</v>
      </c>
      <c r="N145" s="573"/>
      <c r="O145" s="564"/>
    </row>
    <row r="146" spans="1:62" ht="0.75" customHeight="1">
      <c r="A146" s="1073"/>
      <c r="B146" s="62" t="s">
        <v>34</v>
      </c>
      <c r="C146" s="564"/>
      <c r="D146" s="564"/>
      <c r="E146" s="564"/>
      <c r="F146" s="564"/>
      <c r="G146" s="102">
        <f t="shared" ref="G146:L146" si="47">G158+G161</f>
        <v>0</v>
      </c>
      <c r="H146" s="102"/>
      <c r="I146" s="102"/>
      <c r="J146" s="102"/>
      <c r="K146" s="102"/>
      <c r="L146" s="102">
        <f t="shared" si="47"/>
        <v>0</v>
      </c>
      <c r="M146" s="499"/>
      <c r="N146" s="573"/>
      <c r="O146" s="564"/>
    </row>
    <row r="147" spans="1:62" ht="25.5" customHeight="1">
      <c r="A147" s="1122" t="s">
        <v>508</v>
      </c>
      <c r="B147" s="564" t="s">
        <v>89</v>
      </c>
      <c r="C147" s="564"/>
      <c r="D147" s="564"/>
      <c r="E147" s="564"/>
      <c r="F147" s="564"/>
      <c r="G147" s="103"/>
      <c r="H147" s="103"/>
      <c r="I147" s="103"/>
      <c r="J147" s="103"/>
      <c r="K147" s="103"/>
      <c r="L147" s="103"/>
      <c r="M147" s="679"/>
      <c r="N147" s="573"/>
      <c r="O147" s="1037" t="s">
        <v>987</v>
      </c>
    </row>
    <row r="148" spans="1:62" ht="24">
      <c r="A148" s="1123"/>
      <c r="B148" s="564" t="s">
        <v>237</v>
      </c>
      <c r="C148" s="564"/>
      <c r="D148" s="564"/>
      <c r="E148" s="564"/>
      <c r="F148" s="564"/>
      <c r="G148" s="103">
        <f>K148</f>
        <v>611.5</v>
      </c>
      <c r="H148" s="103">
        <f t="shared" ref="H148:K148" si="48">H149</f>
        <v>0</v>
      </c>
      <c r="I148" s="103">
        <f t="shared" si="48"/>
        <v>0</v>
      </c>
      <c r="J148" s="103">
        <f t="shared" si="48"/>
        <v>0</v>
      </c>
      <c r="K148" s="103">
        <f t="shared" si="48"/>
        <v>611.5</v>
      </c>
      <c r="L148" s="103">
        <f>L149</f>
        <v>0</v>
      </c>
      <c r="M148" s="679"/>
      <c r="N148" s="573"/>
      <c r="O148" s="1037"/>
    </row>
    <row r="149" spans="1:62" ht="23.25" customHeight="1">
      <c r="A149" s="1123"/>
      <c r="B149" s="564" t="s">
        <v>10</v>
      </c>
      <c r="C149" s="564"/>
      <c r="D149" s="564"/>
      <c r="E149" s="564"/>
      <c r="F149" s="564"/>
      <c r="G149" s="103">
        <f>K149</f>
        <v>611.5</v>
      </c>
      <c r="H149" s="138"/>
      <c r="I149" s="138"/>
      <c r="J149" s="138"/>
      <c r="K149" s="138">
        <v>611.5</v>
      </c>
      <c r="L149" s="293"/>
      <c r="M149" s="679"/>
      <c r="N149" s="573"/>
      <c r="O149" s="1037"/>
    </row>
    <row r="150" spans="1:62" ht="23.25" customHeight="1">
      <c r="A150" s="1113"/>
      <c r="B150" s="561" t="s">
        <v>443</v>
      </c>
      <c r="C150" s="561"/>
      <c r="D150" s="561"/>
      <c r="E150" s="561"/>
      <c r="F150" s="561"/>
      <c r="G150" s="107"/>
      <c r="H150" s="107"/>
      <c r="I150" s="107"/>
      <c r="J150" s="107"/>
      <c r="K150" s="107"/>
      <c r="L150" s="293"/>
      <c r="M150" s="680"/>
      <c r="N150" s="573"/>
      <c r="O150" s="1037"/>
    </row>
    <row r="151" spans="1:62" ht="0.75" customHeight="1">
      <c r="A151" s="1119" t="s">
        <v>122</v>
      </c>
      <c r="B151" s="297" t="s">
        <v>89</v>
      </c>
      <c r="C151" s="561"/>
      <c r="D151" s="561"/>
      <c r="E151" s="561"/>
      <c r="F151" s="561"/>
      <c r="G151" s="290">
        <f>G155</f>
        <v>0</v>
      </c>
      <c r="H151" s="290">
        <f t="shared" ref="H151:K151" si="49">H155</f>
        <v>0</v>
      </c>
      <c r="I151" s="290">
        <f t="shared" si="49"/>
        <v>0</v>
      </c>
      <c r="J151" s="290">
        <f t="shared" si="49"/>
        <v>0</v>
      </c>
      <c r="K151" s="290">
        <f t="shared" si="49"/>
        <v>0</v>
      </c>
      <c r="L151" s="348">
        <f>L155</f>
        <v>0</v>
      </c>
      <c r="M151" s="680"/>
      <c r="N151" s="573"/>
      <c r="O151" s="1037"/>
    </row>
    <row r="152" spans="1:62" ht="24" hidden="1">
      <c r="A152" s="1120"/>
      <c r="B152" s="297" t="s">
        <v>237</v>
      </c>
      <c r="C152" s="561"/>
      <c r="D152" s="561"/>
      <c r="E152" s="561"/>
      <c r="F152" s="561"/>
      <c r="G152" s="290">
        <f>G153</f>
        <v>0</v>
      </c>
      <c r="H152" s="290">
        <f t="shared" ref="H152:K152" si="50">H153</f>
        <v>0</v>
      </c>
      <c r="I152" s="290">
        <f t="shared" si="50"/>
        <v>0</v>
      </c>
      <c r="J152" s="290">
        <f t="shared" si="50"/>
        <v>0</v>
      </c>
      <c r="K152" s="290">
        <f t="shared" si="50"/>
        <v>0</v>
      </c>
      <c r="L152" s="348">
        <f>L156</f>
        <v>0</v>
      </c>
      <c r="M152" s="680"/>
      <c r="N152" s="573"/>
      <c r="O152" s="1037"/>
    </row>
    <row r="153" spans="1:62" ht="0.75" hidden="1" customHeight="1">
      <c r="A153" s="1120"/>
      <c r="B153" s="297" t="s">
        <v>10</v>
      </c>
      <c r="C153" s="561"/>
      <c r="D153" s="561"/>
      <c r="E153" s="561"/>
      <c r="F153" s="561"/>
      <c r="G153" s="290">
        <f>G157</f>
        <v>0</v>
      </c>
      <c r="H153" s="290">
        <f t="shared" ref="H153:K153" si="51">H157</f>
        <v>0</v>
      </c>
      <c r="I153" s="290">
        <f t="shared" si="51"/>
        <v>0</v>
      </c>
      <c r="J153" s="290">
        <f t="shared" si="51"/>
        <v>0</v>
      </c>
      <c r="K153" s="290">
        <f t="shared" si="51"/>
        <v>0</v>
      </c>
      <c r="L153" s="348">
        <f>L157</f>
        <v>0</v>
      </c>
      <c r="M153" s="680"/>
      <c r="N153" s="573"/>
      <c r="O153" s="1037"/>
    </row>
    <row r="154" spans="1:62" ht="0.75" hidden="1" customHeight="1">
      <c r="A154" s="1121"/>
      <c r="B154" s="297" t="s">
        <v>443</v>
      </c>
      <c r="C154" s="561"/>
      <c r="D154" s="561"/>
      <c r="E154" s="561"/>
      <c r="F154" s="561"/>
      <c r="G154" s="107"/>
      <c r="H154" s="107"/>
      <c r="I154" s="107"/>
      <c r="J154" s="107"/>
      <c r="K154" s="107"/>
      <c r="L154" s="293"/>
      <c r="M154" s="680"/>
      <c r="N154" s="573"/>
      <c r="O154" s="1037"/>
    </row>
    <row r="155" spans="1:62" hidden="1">
      <c r="A155" s="1122" t="s">
        <v>510</v>
      </c>
      <c r="B155" s="296" t="s">
        <v>89</v>
      </c>
      <c r="C155" s="561"/>
      <c r="D155" s="561"/>
      <c r="E155" s="561"/>
      <c r="F155" s="561"/>
      <c r="G155" s="107">
        <f>K155</f>
        <v>0</v>
      </c>
      <c r="H155" s="107"/>
      <c r="I155" s="107"/>
      <c r="J155" s="107"/>
      <c r="K155" s="107"/>
      <c r="L155" s="293"/>
      <c r="M155" s="680"/>
      <c r="N155" s="573"/>
      <c r="O155" s="1037" t="s">
        <v>728</v>
      </c>
      <c r="P155" s="44">
        <f>K156/29200.7*1.074*1.037*1.049*1.05</f>
        <v>0</v>
      </c>
    </row>
    <row r="156" spans="1:62" ht="24" hidden="1">
      <c r="A156" s="1123"/>
      <c r="B156" s="296" t="s">
        <v>237</v>
      </c>
      <c r="C156" s="561"/>
      <c r="D156" s="561"/>
      <c r="E156" s="561"/>
      <c r="F156" s="561"/>
      <c r="G156" s="107">
        <f>G157</f>
        <v>0</v>
      </c>
      <c r="H156" s="107"/>
      <c r="I156" s="107"/>
      <c r="J156" s="107"/>
      <c r="K156" s="107">
        <f>K157</f>
        <v>0</v>
      </c>
      <c r="L156" s="293"/>
      <c r="M156" s="680"/>
      <c r="N156" s="573"/>
      <c r="O156" s="1037"/>
    </row>
    <row r="157" spans="1:62" ht="18.75" hidden="1" customHeight="1">
      <c r="A157" s="1123"/>
      <c r="B157" s="296" t="s">
        <v>10</v>
      </c>
      <c r="C157" s="561"/>
      <c r="D157" s="561"/>
      <c r="E157" s="561"/>
      <c r="F157" s="561"/>
      <c r="G157" s="107">
        <f>K157</f>
        <v>0</v>
      </c>
      <c r="H157" s="107"/>
      <c r="I157" s="107"/>
      <c r="J157" s="107"/>
      <c r="K157" s="107"/>
      <c r="L157" s="293"/>
      <c r="M157" s="680"/>
      <c r="N157" s="573"/>
      <c r="O157" s="1037"/>
    </row>
    <row r="158" spans="1:62" s="55" customFormat="1" ht="18" hidden="1" customHeight="1">
      <c r="A158" s="1113"/>
      <c r="B158" s="570" t="s">
        <v>443</v>
      </c>
      <c r="C158" s="564"/>
      <c r="D158" s="564"/>
      <c r="E158" s="564"/>
      <c r="F158" s="564"/>
      <c r="G158" s="103"/>
      <c r="H158" s="103"/>
      <c r="I158" s="103"/>
      <c r="J158" s="103"/>
      <c r="K158" s="103"/>
      <c r="L158" s="103"/>
      <c r="M158" s="679"/>
      <c r="N158" s="573"/>
      <c r="O158" s="1037"/>
      <c r="P158" s="295"/>
      <c r="Q158" s="295"/>
      <c r="R158" s="295"/>
      <c r="S158" s="295"/>
      <c r="T158" s="295"/>
      <c r="U158" s="295"/>
      <c r="V158" s="295"/>
      <c r="W158" s="295"/>
      <c r="X158" s="295"/>
      <c r="Y158" s="295"/>
      <c r="Z158" s="295"/>
      <c r="AA158" s="295"/>
      <c r="AB158" s="295"/>
      <c r="AC158" s="295"/>
      <c r="AD158" s="295"/>
      <c r="AE158" s="295"/>
      <c r="AF158" s="295"/>
      <c r="AG158" s="295"/>
      <c r="AH158" s="295"/>
      <c r="AI158" s="351"/>
      <c r="AJ158" s="295"/>
      <c r="AK158" s="295"/>
      <c r="AL158" s="295"/>
      <c r="AM158" s="295"/>
      <c r="AN158" s="295"/>
      <c r="AO158" s="295"/>
      <c r="AP158" s="295"/>
      <c r="AQ158" s="295"/>
      <c r="AR158" s="295"/>
      <c r="AS158" s="295"/>
      <c r="AT158" s="295"/>
      <c r="AU158" s="295"/>
      <c r="AV158" s="295"/>
      <c r="AW158" s="295"/>
      <c r="AX158" s="295"/>
      <c r="AY158" s="295"/>
      <c r="AZ158" s="295"/>
      <c r="BA158" s="295"/>
      <c r="BB158" s="295"/>
      <c r="BC158" s="295"/>
      <c r="BD158" s="295"/>
      <c r="BE158" s="295"/>
      <c r="BF158" s="295"/>
      <c r="BG158" s="295"/>
      <c r="BH158" s="295"/>
      <c r="BI158" s="295"/>
      <c r="BJ158" s="294"/>
    </row>
    <row r="159" spans="1:62" s="45" customFormat="1" ht="14.25" hidden="1" customHeight="1">
      <c r="A159" s="1113" t="s">
        <v>217</v>
      </c>
      <c r="B159" s="562" t="s">
        <v>89</v>
      </c>
      <c r="C159" s="562"/>
      <c r="D159" s="562"/>
      <c r="E159" s="562"/>
      <c r="F159" s="562"/>
      <c r="G159" s="292">
        <v>0</v>
      </c>
      <c r="H159" s="292"/>
      <c r="I159" s="292"/>
      <c r="J159" s="292"/>
      <c r="K159" s="292"/>
      <c r="L159" s="292">
        <v>0</v>
      </c>
      <c r="M159" s="684"/>
      <c r="N159" s="573"/>
      <c r="O159" s="1037" t="s">
        <v>221</v>
      </c>
      <c r="AJ159" s="113"/>
      <c r="AK159" s="113"/>
      <c r="AL159" s="113"/>
      <c r="AM159" s="113"/>
      <c r="AN159" s="113"/>
      <c r="AO159" s="113"/>
      <c r="AP159" s="113"/>
      <c r="AQ159" s="113"/>
      <c r="AR159" s="113"/>
      <c r="AS159" s="113"/>
      <c r="AT159" s="113"/>
      <c r="AU159" s="113"/>
      <c r="AV159" s="113"/>
      <c r="AW159" s="113"/>
      <c r="AX159" s="113"/>
      <c r="AY159" s="113"/>
      <c r="AZ159" s="113"/>
      <c r="BA159" s="113"/>
      <c r="BB159" s="113"/>
      <c r="BC159" s="113"/>
      <c r="BD159" s="113"/>
      <c r="BE159" s="113"/>
      <c r="BF159" s="113"/>
      <c r="BG159" s="113"/>
      <c r="BH159" s="113"/>
      <c r="BI159" s="113"/>
    </row>
    <row r="160" spans="1:62" s="45" customFormat="1" ht="9" hidden="1" customHeight="1">
      <c r="A160" s="1114"/>
      <c r="B160" s="564" t="s">
        <v>237</v>
      </c>
      <c r="C160" s="564"/>
      <c r="D160" s="564"/>
      <c r="E160" s="564"/>
      <c r="F160" s="564"/>
      <c r="G160" s="103">
        <f t="shared" ref="G160:L160" si="52">G161</f>
        <v>0</v>
      </c>
      <c r="H160" s="103"/>
      <c r="I160" s="103"/>
      <c r="J160" s="103"/>
      <c r="K160" s="103"/>
      <c r="L160" s="103">
        <f t="shared" si="52"/>
        <v>0</v>
      </c>
      <c r="M160" s="679"/>
      <c r="N160" s="573"/>
      <c r="O160" s="1037"/>
      <c r="AJ160" s="113"/>
      <c r="AK160" s="113"/>
      <c r="AL160" s="113"/>
      <c r="AM160" s="113"/>
      <c r="AN160" s="113"/>
      <c r="AO160" s="113"/>
      <c r="AP160" s="113"/>
      <c r="AQ160" s="113"/>
      <c r="AR160" s="113"/>
      <c r="AS160" s="113"/>
      <c r="AT160" s="113"/>
      <c r="AU160" s="113"/>
      <c r="AV160" s="113"/>
      <c r="AW160" s="113"/>
      <c r="AX160" s="113"/>
      <c r="AY160" s="113"/>
      <c r="AZ160" s="113"/>
      <c r="BA160" s="113"/>
      <c r="BB160" s="113"/>
      <c r="BC160" s="113"/>
      <c r="BD160" s="113"/>
      <c r="BE160" s="113"/>
      <c r="BF160" s="113"/>
      <c r="BG160" s="113"/>
      <c r="BH160" s="113"/>
      <c r="BI160" s="113"/>
    </row>
    <row r="161" spans="1:61" s="45" customFormat="1" ht="5.25" hidden="1" customHeight="1">
      <c r="A161" s="1114"/>
      <c r="B161" s="564" t="s">
        <v>34</v>
      </c>
      <c r="C161" s="564"/>
      <c r="D161" s="564"/>
      <c r="E161" s="564"/>
      <c r="F161" s="564"/>
      <c r="G161" s="103">
        <v>0</v>
      </c>
      <c r="H161" s="103"/>
      <c r="I161" s="103"/>
      <c r="J161" s="103"/>
      <c r="K161" s="103"/>
      <c r="L161" s="103">
        <v>0</v>
      </c>
      <c r="M161" s="679"/>
      <c r="N161" s="573"/>
      <c r="O161" s="1037"/>
      <c r="AJ161" s="113"/>
      <c r="AK161" s="113"/>
      <c r="AL161" s="113"/>
      <c r="AM161" s="113"/>
      <c r="AN161" s="113"/>
      <c r="AO161" s="113"/>
      <c r="AP161" s="113"/>
      <c r="AQ161" s="113"/>
      <c r="AR161" s="113"/>
      <c r="AS161" s="113"/>
      <c r="AT161" s="113"/>
      <c r="AU161" s="113"/>
      <c r="AV161" s="113"/>
      <c r="AW161" s="113"/>
      <c r="AX161" s="113"/>
      <c r="AY161" s="113"/>
      <c r="AZ161" s="113"/>
      <c r="BA161" s="113"/>
      <c r="BB161" s="113"/>
      <c r="BC161" s="113"/>
      <c r="BD161" s="113"/>
      <c r="BE161" s="113"/>
      <c r="BF161" s="113"/>
      <c r="BG161" s="113"/>
      <c r="BH161" s="113"/>
      <c r="BI161" s="113"/>
    </row>
    <row r="162" spans="1:61" s="45" customFormat="1" ht="26.25" customHeight="1">
      <c r="A162" s="1124" t="s">
        <v>101</v>
      </c>
      <c r="B162" s="62" t="s">
        <v>89</v>
      </c>
      <c r="C162" s="62"/>
      <c r="D162" s="62"/>
      <c r="E162" s="62"/>
      <c r="F162" s="62"/>
      <c r="G162" s="102">
        <f>G166+G170</f>
        <v>1.7</v>
      </c>
      <c r="H162" s="102">
        <f t="shared" ref="H162:K162" si="53">H166+H170</f>
        <v>0</v>
      </c>
      <c r="I162" s="102">
        <f t="shared" si="53"/>
        <v>0</v>
      </c>
      <c r="J162" s="102">
        <f t="shared" si="53"/>
        <v>0</v>
      </c>
      <c r="K162" s="102">
        <f t="shared" si="53"/>
        <v>1.7</v>
      </c>
      <c r="L162" s="102">
        <f t="shared" ref="L162" si="54">L166+L170</f>
        <v>0</v>
      </c>
      <c r="M162" s="499"/>
      <c r="N162" s="573"/>
      <c r="O162" s="62"/>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row>
    <row r="163" spans="1:61" ht="30.75" customHeight="1">
      <c r="A163" s="1124"/>
      <c r="B163" s="62" t="s">
        <v>237</v>
      </c>
      <c r="C163" s="62"/>
      <c r="D163" s="62"/>
      <c r="E163" s="62"/>
      <c r="F163" s="62"/>
      <c r="G163" s="102">
        <f t="shared" ref="G163:M163" si="55">G164+G165</f>
        <v>50562.3</v>
      </c>
      <c r="H163" s="102">
        <f t="shared" si="55"/>
        <v>0</v>
      </c>
      <c r="I163" s="102">
        <f t="shared" si="55"/>
        <v>0</v>
      </c>
      <c r="J163" s="102">
        <f t="shared" si="55"/>
        <v>0</v>
      </c>
      <c r="K163" s="102">
        <f t="shared" si="55"/>
        <v>50562.3</v>
      </c>
      <c r="L163" s="102">
        <f t="shared" si="55"/>
        <v>91.6</v>
      </c>
      <c r="M163" s="499">
        <f t="shared" si="55"/>
        <v>0</v>
      </c>
      <c r="N163" s="573"/>
      <c r="O163" s="62"/>
    </row>
    <row r="164" spans="1:61" ht="24" customHeight="1">
      <c r="A164" s="1124"/>
      <c r="B164" s="62" t="s">
        <v>10</v>
      </c>
      <c r="C164" s="62"/>
      <c r="D164" s="62"/>
      <c r="E164" s="62"/>
      <c r="F164" s="62"/>
      <c r="G164" s="102">
        <f>G168+G172+G176</f>
        <v>50562.3</v>
      </c>
      <c r="H164" s="102">
        <f t="shared" ref="H164:M164" si="56">H168+H172+H176</f>
        <v>0</v>
      </c>
      <c r="I164" s="102">
        <f t="shared" si="56"/>
        <v>0</v>
      </c>
      <c r="J164" s="102">
        <f t="shared" si="56"/>
        <v>0</v>
      </c>
      <c r="K164" s="102">
        <f t="shared" si="56"/>
        <v>50562.3</v>
      </c>
      <c r="L164" s="102">
        <f t="shared" si="56"/>
        <v>91.6</v>
      </c>
      <c r="M164" s="102">
        <f t="shared" si="56"/>
        <v>0</v>
      </c>
      <c r="N164" s="573"/>
      <c r="O164" s="62"/>
    </row>
    <row r="165" spans="1:61" ht="25.5" customHeight="1">
      <c r="A165" s="1124"/>
      <c r="B165" s="62" t="s">
        <v>443</v>
      </c>
      <c r="C165" s="62"/>
      <c r="D165" s="62"/>
      <c r="E165" s="62"/>
      <c r="F165" s="62"/>
      <c r="G165" s="102">
        <f>G169+G173</f>
        <v>0</v>
      </c>
      <c r="H165" s="102"/>
      <c r="I165" s="102"/>
      <c r="J165" s="102"/>
      <c r="K165" s="102"/>
      <c r="L165" s="102">
        <f>L169+L173</f>
        <v>0</v>
      </c>
      <c r="M165" s="499"/>
      <c r="N165" s="573"/>
      <c r="O165" s="62"/>
    </row>
    <row r="166" spans="1:61" ht="24.75" customHeight="1">
      <c r="A166" s="1065" t="s">
        <v>300</v>
      </c>
      <c r="B166" s="564" t="s">
        <v>89</v>
      </c>
      <c r="C166" s="564">
        <v>176</v>
      </c>
      <c r="D166" s="564" t="s">
        <v>15</v>
      </c>
      <c r="E166" s="564">
        <v>6100404</v>
      </c>
      <c r="F166" s="564">
        <v>414</v>
      </c>
      <c r="G166" s="103"/>
      <c r="H166" s="103"/>
      <c r="I166" s="103"/>
      <c r="J166" s="103"/>
      <c r="K166" s="103"/>
      <c r="L166" s="103"/>
      <c r="M166" s="679"/>
      <c r="N166" s="573"/>
      <c r="O166" s="1037" t="s">
        <v>848</v>
      </c>
    </row>
    <row r="167" spans="1:61" ht="24.75" customHeight="1">
      <c r="A167" s="1065"/>
      <c r="B167" s="564" t="s">
        <v>237</v>
      </c>
      <c r="C167" s="564"/>
      <c r="D167" s="564"/>
      <c r="E167" s="564"/>
      <c r="F167" s="564"/>
      <c r="G167" s="103">
        <f t="shared" ref="G167:L167" si="57">G168+G169</f>
        <v>11003.4</v>
      </c>
      <c r="H167" s="103"/>
      <c r="I167" s="103"/>
      <c r="J167" s="103"/>
      <c r="K167" s="103">
        <f>K168</f>
        <v>11003.4</v>
      </c>
      <c r="L167" s="103">
        <f t="shared" si="57"/>
        <v>0</v>
      </c>
      <c r="M167" s="679"/>
      <c r="N167" s="573"/>
      <c r="O167" s="1037"/>
      <c r="V167" s="44">
        <v>121.4</v>
      </c>
      <c r="X167" s="48"/>
    </row>
    <row r="168" spans="1:61" ht="21" customHeight="1">
      <c r="A168" s="1065"/>
      <c r="B168" s="564" t="s">
        <v>10</v>
      </c>
      <c r="C168" s="564"/>
      <c r="D168" s="564"/>
      <c r="E168" s="564"/>
      <c r="F168" s="564"/>
      <c r="G168" s="103">
        <f>K168</f>
        <v>11003.4</v>
      </c>
      <c r="H168" s="103"/>
      <c r="I168" s="103"/>
      <c r="J168" s="103"/>
      <c r="K168" s="103">
        <v>11003.4</v>
      </c>
      <c r="L168" s="103">
        <v>0</v>
      </c>
      <c r="M168" s="679"/>
      <c r="N168" s="573"/>
      <c r="O168" s="1037"/>
    </row>
    <row r="169" spans="1:61" ht="27.75" customHeight="1">
      <c r="A169" s="1065"/>
      <c r="B169" s="564" t="s">
        <v>443</v>
      </c>
      <c r="C169" s="564"/>
      <c r="D169" s="564"/>
      <c r="E169" s="564"/>
      <c r="F169" s="564"/>
      <c r="G169" s="103"/>
      <c r="H169" s="103"/>
      <c r="I169" s="103"/>
      <c r="J169" s="103"/>
      <c r="K169" s="103"/>
      <c r="L169" s="103"/>
      <c r="M169" s="679"/>
      <c r="N169" s="573"/>
      <c r="O169" s="1037"/>
    </row>
    <row r="170" spans="1:61" ht="30.75" customHeight="1">
      <c r="A170" s="1065" t="s">
        <v>203</v>
      </c>
      <c r="B170" s="564" t="s">
        <v>89</v>
      </c>
      <c r="C170" s="564"/>
      <c r="D170" s="564"/>
      <c r="E170" s="564"/>
      <c r="F170" s="564"/>
      <c r="G170" s="103">
        <f>K170</f>
        <v>1.7</v>
      </c>
      <c r="H170" s="103"/>
      <c r="I170" s="103"/>
      <c r="J170" s="103"/>
      <c r="K170" s="103">
        <v>1.7</v>
      </c>
      <c r="L170" s="103"/>
      <c r="M170" s="679"/>
      <c r="N170" s="573"/>
      <c r="O170" s="1030" t="s">
        <v>935</v>
      </c>
      <c r="P170" s="44">
        <f>(K171)/29200.7*1.074*1.037*1.049*1.05*1.043</f>
        <v>1.6837850647143022</v>
      </c>
    </row>
    <row r="171" spans="1:61" ht="30.75" customHeight="1">
      <c r="A171" s="1065"/>
      <c r="B171" s="564" t="s">
        <v>237</v>
      </c>
      <c r="C171" s="564"/>
      <c r="D171" s="564"/>
      <c r="E171" s="564"/>
      <c r="F171" s="564"/>
      <c r="G171" s="103">
        <f>G172+G173</f>
        <v>38428</v>
      </c>
      <c r="H171" s="103"/>
      <c r="I171" s="103"/>
      <c r="J171" s="103">
        <f>J172</f>
        <v>0</v>
      </c>
      <c r="K171" s="103">
        <f>K172</f>
        <v>38428</v>
      </c>
      <c r="L171" s="103">
        <f>L172+L173</f>
        <v>0</v>
      </c>
      <c r="M171" s="679"/>
      <c r="N171" s="573"/>
      <c r="O171" s="1032"/>
    </row>
    <row r="172" spans="1:61" ht="21.75" customHeight="1">
      <c r="A172" s="1065"/>
      <c r="B172" s="564" t="s">
        <v>10</v>
      </c>
      <c r="C172" s="564"/>
      <c r="D172" s="564"/>
      <c r="E172" s="564"/>
      <c r="F172" s="564"/>
      <c r="G172" s="103">
        <f>H172+I172+J172+K172</f>
        <v>38428</v>
      </c>
      <c r="H172" s="103"/>
      <c r="I172" s="103"/>
      <c r="J172" s="103"/>
      <c r="K172" s="103">
        <v>38428</v>
      </c>
      <c r="L172" s="103"/>
      <c r="M172" s="679"/>
      <c r="N172" s="573"/>
      <c r="O172" s="1032"/>
    </row>
    <row r="173" spans="1:61" ht="26.25" customHeight="1">
      <c r="A173" s="1065"/>
      <c r="B173" s="632" t="s">
        <v>443</v>
      </c>
      <c r="C173" s="632"/>
      <c r="D173" s="632"/>
      <c r="E173" s="632"/>
      <c r="F173" s="632"/>
      <c r="G173" s="103"/>
      <c r="H173" s="103"/>
      <c r="I173" s="103"/>
      <c r="J173" s="103"/>
      <c r="K173" s="103"/>
      <c r="L173" s="103"/>
      <c r="M173" s="679"/>
      <c r="N173" s="633"/>
      <c r="O173" s="1031"/>
    </row>
    <row r="174" spans="1:61" ht="21" customHeight="1">
      <c r="A174" s="1070" t="s">
        <v>558</v>
      </c>
      <c r="B174" s="632" t="s">
        <v>89</v>
      </c>
      <c r="C174" s="632"/>
      <c r="D174" s="632"/>
      <c r="E174" s="632"/>
      <c r="F174" s="632"/>
      <c r="G174" s="103"/>
      <c r="H174" s="103"/>
      <c r="I174" s="103"/>
      <c r="J174" s="103"/>
      <c r="K174" s="103"/>
      <c r="L174" s="103"/>
      <c r="M174" s="679"/>
      <c r="N174" s="633"/>
      <c r="O174" s="1030" t="s">
        <v>561</v>
      </c>
    </row>
    <row r="175" spans="1:61" ht="27" customHeight="1">
      <c r="A175" s="1071"/>
      <c r="B175" s="564" t="s">
        <v>237</v>
      </c>
      <c r="C175" s="564"/>
      <c r="D175" s="564"/>
      <c r="E175" s="564"/>
      <c r="F175" s="564"/>
      <c r="G175" s="103">
        <f>K175</f>
        <v>1130.9000000000001</v>
      </c>
      <c r="H175" s="103"/>
      <c r="I175" s="103"/>
      <c r="J175" s="103"/>
      <c r="K175" s="103">
        <f>K176</f>
        <v>1130.9000000000001</v>
      </c>
      <c r="L175" s="103">
        <f t="shared" ref="L175:M175" si="58">L176</f>
        <v>91.6</v>
      </c>
      <c r="M175" s="103">
        <f t="shared" si="58"/>
        <v>0</v>
      </c>
      <c r="N175" s="573"/>
      <c r="O175" s="1032"/>
    </row>
    <row r="176" spans="1:61" ht="21.75" customHeight="1">
      <c r="A176" s="1071"/>
      <c r="B176" s="564" t="s">
        <v>10</v>
      </c>
      <c r="C176" s="564"/>
      <c r="D176" s="564"/>
      <c r="E176" s="564"/>
      <c r="F176" s="564"/>
      <c r="G176" s="103">
        <f>K176</f>
        <v>1130.9000000000001</v>
      </c>
      <c r="H176" s="103"/>
      <c r="I176" s="103"/>
      <c r="J176" s="103"/>
      <c r="K176" s="103">
        <v>1130.9000000000001</v>
      </c>
      <c r="L176" s="103">
        <v>91.6</v>
      </c>
      <c r="M176" s="679"/>
      <c r="N176" s="573"/>
      <c r="O176" s="1032"/>
    </row>
    <row r="177" spans="1:61" ht="23.25" customHeight="1">
      <c r="A177" s="1072"/>
      <c r="B177" s="564" t="s">
        <v>443</v>
      </c>
      <c r="C177" s="564"/>
      <c r="D177" s="564"/>
      <c r="E177" s="564"/>
      <c r="F177" s="564"/>
      <c r="G177" s="103"/>
      <c r="H177" s="103"/>
      <c r="I177" s="103"/>
      <c r="J177" s="103"/>
      <c r="K177" s="103"/>
      <c r="L177" s="103"/>
      <c r="M177" s="679"/>
      <c r="N177" s="573"/>
      <c r="O177" s="1031"/>
    </row>
    <row r="178" spans="1:61" ht="21" customHeight="1">
      <c r="A178" s="1124" t="s">
        <v>125</v>
      </c>
      <c r="B178" s="62" t="s">
        <v>89</v>
      </c>
      <c r="C178" s="564"/>
      <c r="D178" s="564"/>
      <c r="E178" s="564"/>
      <c r="F178" s="564"/>
      <c r="G178" s="102">
        <f>G182+G185</f>
        <v>0</v>
      </c>
      <c r="H178" s="102"/>
      <c r="I178" s="102"/>
      <c r="J178" s="102"/>
      <c r="K178" s="102"/>
      <c r="L178" s="102">
        <f>L182+L185+L191+L195</f>
        <v>0</v>
      </c>
      <c r="M178" s="685">
        <f>M182+M185+M191+M195</f>
        <v>0</v>
      </c>
      <c r="N178" s="573"/>
      <c r="O178" s="564"/>
    </row>
    <row r="179" spans="1:61" ht="24">
      <c r="A179" s="1124"/>
      <c r="B179" s="62" t="s">
        <v>237</v>
      </c>
      <c r="C179" s="564"/>
      <c r="D179" s="564"/>
      <c r="E179" s="564"/>
      <c r="F179" s="564"/>
      <c r="G179" s="102">
        <f>G192+G196</f>
        <v>8980.7000000000007</v>
      </c>
      <c r="H179" s="102">
        <f t="shared" ref="H179:K179" si="59">H192+H196</f>
        <v>0</v>
      </c>
      <c r="I179" s="102">
        <f t="shared" si="59"/>
        <v>0</v>
      </c>
      <c r="J179" s="102">
        <f t="shared" si="59"/>
        <v>0</v>
      </c>
      <c r="K179" s="102">
        <f t="shared" si="59"/>
        <v>8980.7000000000007</v>
      </c>
      <c r="L179" s="102">
        <f>L180+L181</f>
        <v>506.6</v>
      </c>
      <c r="M179" s="499">
        <f>M180</f>
        <v>0</v>
      </c>
      <c r="N179" s="573"/>
      <c r="O179" s="564"/>
    </row>
    <row r="180" spans="1:61" ht="22.5" customHeight="1">
      <c r="A180" s="1124"/>
      <c r="B180" s="62" t="s">
        <v>10</v>
      </c>
      <c r="C180" s="564"/>
      <c r="D180" s="564"/>
      <c r="E180" s="564"/>
      <c r="F180" s="564"/>
      <c r="G180" s="102">
        <f>G193+G197</f>
        <v>8980.7000000000007</v>
      </c>
      <c r="H180" s="102">
        <f t="shared" ref="H180:K180" si="60">H193+H197</f>
        <v>0</v>
      </c>
      <c r="I180" s="102">
        <f t="shared" si="60"/>
        <v>0</v>
      </c>
      <c r="J180" s="102">
        <f t="shared" si="60"/>
        <v>0</v>
      </c>
      <c r="K180" s="102">
        <f t="shared" si="60"/>
        <v>8980.7000000000007</v>
      </c>
      <c r="L180" s="102">
        <f>L193+L197</f>
        <v>506.6</v>
      </c>
      <c r="M180" s="499">
        <f>M197</f>
        <v>0</v>
      </c>
      <c r="N180" s="573"/>
      <c r="O180" s="564"/>
    </row>
    <row r="181" spans="1:61" ht="24" customHeight="1">
      <c r="A181" s="1124"/>
      <c r="B181" s="62" t="s">
        <v>443</v>
      </c>
      <c r="C181" s="564"/>
      <c r="D181" s="564"/>
      <c r="E181" s="564"/>
      <c r="F181" s="564"/>
      <c r="G181" s="102">
        <f>G184+G187+G190+G194</f>
        <v>0</v>
      </c>
      <c r="H181" s="102">
        <f t="shared" ref="H181:K181" si="61">H184+H187+H190+H194</f>
        <v>0</v>
      </c>
      <c r="I181" s="102">
        <f t="shared" si="61"/>
        <v>0</v>
      </c>
      <c r="J181" s="102">
        <f t="shared" si="61"/>
        <v>0</v>
      </c>
      <c r="K181" s="102">
        <f t="shared" si="61"/>
        <v>0</v>
      </c>
      <c r="L181" s="102">
        <f>L194</f>
        <v>0</v>
      </c>
      <c r="M181" s="499">
        <f t="shared" ref="M181" si="62">M184+M187+M190+M194</f>
        <v>0</v>
      </c>
      <c r="N181" s="573"/>
      <c r="O181" s="564"/>
    </row>
    <row r="182" spans="1:61" hidden="1">
      <c r="A182" s="1092" t="s">
        <v>301</v>
      </c>
      <c r="B182" s="564" t="s">
        <v>89</v>
      </c>
      <c r="C182" s="564"/>
      <c r="D182" s="564"/>
      <c r="E182" s="564"/>
      <c r="F182" s="564"/>
      <c r="G182" s="103"/>
      <c r="H182" s="103"/>
      <c r="I182" s="103"/>
      <c r="J182" s="103"/>
      <c r="K182" s="103"/>
      <c r="L182" s="114">
        <v>0</v>
      </c>
      <c r="M182" s="678">
        <v>0</v>
      </c>
      <c r="N182" s="573"/>
      <c r="O182" s="1037" t="s">
        <v>340</v>
      </c>
    </row>
    <row r="183" spans="1:61" ht="24" hidden="1">
      <c r="A183" s="1093"/>
      <c r="B183" s="564" t="s">
        <v>237</v>
      </c>
      <c r="C183" s="564"/>
      <c r="D183" s="564"/>
      <c r="E183" s="564"/>
      <c r="F183" s="564"/>
      <c r="G183" s="103">
        <f t="shared" ref="G183:L183" si="63">G184</f>
        <v>0</v>
      </c>
      <c r="H183" s="103"/>
      <c r="I183" s="103"/>
      <c r="J183" s="103"/>
      <c r="K183" s="103"/>
      <c r="L183" s="103">
        <f t="shared" si="63"/>
        <v>0</v>
      </c>
      <c r="M183" s="679"/>
      <c r="N183" s="573"/>
      <c r="O183" s="1037"/>
    </row>
    <row r="184" spans="1:61" hidden="1">
      <c r="A184" s="1094"/>
      <c r="B184" s="564" t="s">
        <v>34</v>
      </c>
      <c r="C184" s="564"/>
      <c r="D184" s="564"/>
      <c r="E184" s="564"/>
      <c r="F184" s="564"/>
      <c r="G184" s="132">
        <v>0</v>
      </c>
      <c r="H184" s="289"/>
      <c r="I184" s="289"/>
      <c r="J184" s="289"/>
      <c r="K184" s="289"/>
      <c r="L184" s="103"/>
      <c r="M184" s="679"/>
      <c r="N184" s="573"/>
      <c r="O184" s="1037"/>
    </row>
    <row r="185" spans="1:61" hidden="1">
      <c r="A185" s="1086" t="s">
        <v>324</v>
      </c>
      <c r="B185" s="564" t="s">
        <v>89</v>
      </c>
      <c r="C185" s="564"/>
      <c r="D185" s="564"/>
      <c r="E185" s="564"/>
      <c r="F185" s="564"/>
      <c r="G185" s="103"/>
      <c r="H185" s="103"/>
      <c r="I185" s="103"/>
      <c r="J185" s="103"/>
      <c r="K185" s="103"/>
      <c r="L185" s="103">
        <v>0</v>
      </c>
      <c r="M185" s="679"/>
      <c r="N185" s="573"/>
      <c r="O185" s="1037" t="s">
        <v>278</v>
      </c>
    </row>
    <row r="186" spans="1:61" ht="24" hidden="1">
      <c r="A186" s="1086"/>
      <c r="B186" s="564" t="s">
        <v>237</v>
      </c>
      <c r="C186" s="564"/>
      <c r="D186" s="564"/>
      <c r="E186" s="564"/>
      <c r="F186" s="564"/>
      <c r="G186" s="103">
        <f t="shared" ref="G186:L186" si="64">G187</f>
        <v>0</v>
      </c>
      <c r="H186" s="103"/>
      <c r="I186" s="103"/>
      <c r="J186" s="103"/>
      <c r="K186" s="103"/>
      <c r="L186" s="103">
        <f t="shared" si="64"/>
        <v>0</v>
      </c>
      <c r="M186" s="679"/>
      <c r="N186" s="573"/>
      <c r="O186" s="1037"/>
    </row>
    <row r="187" spans="1:61" ht="0.75" customHeight="1">
      <c r="A187" s="1086"/>
      <c r="B187" s="564" t="s">
        <v>34</v>
      </c>
      <c r="C187" s="564"/>
      <c r="D187" s="564"/>
      <c r="E187" s="564"/>
      <c r="F187" s="564"/>
      <c r="G187" s="103"/>
      <c r="H187" s="103"/>
      <c r="I187" s="103"/>
      <c r="J187" s="103"/>
      <c r="K187" s="103"/>
      <c r="L187" s="103">
        <v>0</v>
      </c>
      <c r="M187" s="679"/>
      <c r="N187" s="573"/>
      <c r="O187" s="1037"/>
    </row>
    <row r="188" spans="1:61" hidden="1">
      <c r="A188" s="1092" t="s">
        <v>288</v>
      </c>
      <c r="B188" s="564" t="s">
        <v>89</v>
      </c>
      <c r="C188" s="564"/>
      <c r="D188" s="564"/>
      <c r="E188" s="564"/>
      <c r="F188" s="564"/>
      <c r="G188" s="103"/>
      <c r="H188" s="103"/>
      <c r="I188" s="103"/>
      <c r="J188" s="103"/>
      <c r="K188" s="103"/>
      <c r="L188" s="103"/>
      <c r="M188" s="679"/>
      <c r="N188" s="573"/>
      <c r="O188" s="1037" t="s">
        <v>302</v>
      </c>
    </row>
    <row r="189" spans="1:61" ht="24" hidden="1">
      <c r="A189" s="1093"/>
      <c r="B189" s="564" t="s">
        <v>237</v>
      </c>
      <c r="C189" s="564"/>
      <c r="D189" s="564"/>
      <c r="E189" s="564"/>
      <c r="F189" s="564"/>
      <c r="G189" s="103"/>
      <c r="H189" s="103"/>
      <c r="I189" s="103"/>
      <c r="J189" s="103"/>
      <c r="K189" s="103"/>
      <c r="L189" s="103">
        <f>L190</f>
        <v>0</v>
      </c>
      <c r="M189" s="679"/>
      <c r="N189" s="573"/>
      <c r="O189" s="1037"/>
    </row>
    <row r="190" spans="1:61" hidden="1">
      <c r="A190" s="1094"/>
      <c r="B190" s="564" t="s">
        <v>34</v>
      </c>
      <c r="C190" s="564"/>
      <c r="D190" s="564"/>
      <c r="E190" s="564"/>
      <c r="F190" s="564"/>
      <c r="G190" s="103"/>
      <c r="H190" s="103"/>
      <c r="I190" s="103"/>
      <c r="J190" s="103"/>
      <c r="K190" s="103"/>
      <c r="L190" s="103">
        <v>0</v>
      </c>
      <c r="M190" s="679"/>
      <c r="N190" s="573"/>
      <c r="O190" s="1037"/>
    </row>
    <row r="191" spans="1:61" s="106" customFormat="1" ht="25.5" customHeight="1">
      <c r="A191" s="1092" t="s">
        <v>729</v>
      </c>
      <c r="B191" s="575" t="s">
        <v>89</v>
      </c>
      <c r="C191" s="575"/>
      <c r="D191" s="575"/>
      <c r="E191" s="575"/>
      <c r="F191" s="575"/>
      <c r="G191" s="105">
        <f>K191</f>
        <v>0</v>
      </c>
      <c r="H191" s="105"/>
      <c r="I191" s="105"/>
      <c r="J191" s="105"/>
      <c r="K191" s="105"/>
      <c r="L191" s="105"/>
      <c r="M191" s="687"/>
      <c r="N191" s="573"/>
      <c r="O191" s="1037" t="s">
        <v>848</v>
      </c>
      <c r="P191" s="657">
        <f>(K192+L192)/29200.7*1.074*1.037*1.049*1.05*1.044</f>
        <v>0.22698156761629021</v>
      </c>
      <c r="AJ191" s="352"/>
      <c r="AK191" s="352"/>
      <c r="AL191" s="352"/>
      <c r="AM191" s="352"/>
      <c r="AN191" s="352"/>
      <c r="AO191" s="352"/>
      <c r="AP191" s="352"/>
      <c r="AQ191" s="352"/>
      <c r="AR191" s="352"/>
      <c r="AS191" s="352"/>
      <c r="AT191" s="352"/>
      <c r="AU191" s="352"/>
      <c r="AV191" s="352"/>
      <c r="AW191" s="352"/>
      <c r="AX191" s="352"/>
      <c r="AY191" s="352"/>
      <c r="AZ191" s="352"/>
      <c r="BA191" s="352"/>
      <c r="BB191" s="352"/>
      <c r="BC191" s="352"/>
      <c r="BD191" s="352"/>
      <c r="BE191" s="352"/>
      <c r="BF191" s="352"/>
      <c r="BG191" s="352"/>
      <c r="BH191" s="352"/>
      <c r="BI191" s="352"/>
    </row>
    <row r="192" spans="1:61" s="106" customFormat="1" ht="24">
      <c r="A192" s="1093"/>
      <c r="B192" s="564" t="s">
        <v>237</v>
      </c>
      <c r="C192" s="575"/>
      <c r="D192" s="575"/>
      <c r="E192" s="575"/>
      <c r="F192" s="575"/>
      <c r="G192" s="105">
        <f>K192</f>
        <v>5175.3</v>
      </c>
      <c r="H192" s="105">
        <f t="shared" ref="H192:K192" si="65">H193+H194</f>
        <v>0</v>
      </c>
      <c r="I192" s="105">
        <f t="shared" si="65"/>
        <v>0</v>
      </c>
      <c r="J192" s="105">
        <f t="shared" si="65"/>
        <v>0</v>
      </c>
      <c r="K192" s="105">
        <f t="shared" si="65"/>
        <v>5175.3</v>
      </c>
      <c r="L192" s="105">
        <f>L193+L194</f>
        <v>0</v>
      </c>
      <c r="M192" s="686">
        <f>M193</f>
        <v>0</v>
      </c>
      <c r="N192" s="573"/>
      <c r="O192" s="1037"/>
      <c r="AJ192" s="352"/>
      <c r="AK192" s="352"/>
      <c r="AL192" s="352"/>
      <c r="AM192" s="352"/>
      <c r="AN192" s="352"/>
      <c r="AO192" s="352"/>
      <c r="AP192" s="352"/>
      <c r="AQ192" s="352"/>
      <c r="AR192" s="352"/>
      <c r="AS192" s="352"/>
      <c r="AT192" s="352"/>
      <c r="AU192" s="352"/>
      <c r="AV192" s="352"/>
      <c r="AW192" s="352"/>
      <c r="AX192" s="352"/>
      <c r="AY192" s="352"/>
      <c r="AZ192" s="352"/>
      <c r="BA192" s="352"/>
      <c r="BB192" s="352"/>
      <c r="BC192" s="352"/>
      <c r="BD192" s="352"/>
      <c r="BE192" s="352"/>
      <c r="BF192" s="352"/>
      <c r="BG192" s="352"/>
      <c r="BH192" s="352"/>
      <c r="BI192" s="352"/>
    </row>
    <row r="193" spans="1:61" s="106" customFormat="1" ht="27.75" customHeight="1">
      <c r="A193" s="1093"/>
      <c r="B193" s="561" t="s">
        <v>10</v>
      </c>
      <c r="C193" s="567"/>
      <c r="D193" s="567"/>
      <c r="E193" s="567"/>
      <c r="F193" s="567"/>
      <c r="G193" s="105">
        <f>K193</f>
        <v>5175.3</v>
      </c>
      <c r="H193" s="109"/>
      <c r="I193" s="109"/>
      <c r="J193" s="109"/>
      <c r="K193" s="686">
        <v>5175.3</v>
      </c>
      <c r="L193" s="105"/>
      <c r="M193" s="688"/>
      <c r="N193" s="573"/>
      <c r="O193" s="1037"/>
      <c r="AJ193" s="352"/>
      <c r="AK193" s="352"/>
      <c r="AL193" s="352"/>
      <c r="AM193" s="352"/>
      <c r="AN193" s="352"/>
      <c r="AO193" s="352"/>
      <c r="AP193" s="352"/>
      <c r="AQ193" s="352"/>
      <c r="AR193" s="352"/>
      <c r="AS193" s="352"/>
      <c r="AT193" s="352"/>
      <c r="AU193" s="352"/>
      <c r="AV193" s="352"/>
      <c r="AW193" s="352"/>
      <c r="AX193" s="352"/>
      <c r="AY193" s="352"/>
      <c r="AZ193" s="352"/>
      <c r="BA193" s="352"/>
      <c r="BB193" s="352"/>
      <c r="BC193" s="352"/>
      <c r="BD193" s="352"/>
      <c r="BE193" s="352"/>
      <c r="BF193" s="352"/>
      <c r="BG193" s="352"/>
      <c r="BH193" s="352"/>
      <c r="BI193" s="352"/>
    </row>
    <row r="194" spans="1:61" s="119" customFormat="1" ht="24" customHeight="1">
      <c r="A194" s="1093"/>
      <c r="B194" s="120" t="s">
        <v>443</v>
      </c>
      <c r="C194" s="117"/>
      <c r="D194" s="117"/>
      <c r="E194" s="117"/>
      <c r="F194" s="117"/>
      <c r="G194" s="366">
        <f>K194</f>
        <v>0</v>
      </c>
      <c r="H194" s="366"/>
      <c r="I194" s="366"/>
      <c r="J194" s="366"/>
      <c r="K194" s="366"/>
      <c r="L194" s="367">
        <v>0</v>
      </c>
      <c r="M194" s="690"/>
      <c r="N194" s="573"/>
      <c r="O194" s="1037"/>
      <c r="AJ194" s="353"/>
      <c r="AK194" s="353"/>
      <c r="AL194" s="353"/>
      <c r="AM194" s="353"/>
      <c r="AN194" s="353"/>
      <c r="AO194" s="353"/>
      <c r="AP194" s="353"/>
      <c r="AQ194" s="353"/>
      <c r="AR194" s="353"/>
      <c r="AS194" s="353"/>
      <c r="AT194" s="353"/>
      <c r="AU194" s="353"/>
      <c r="AV194" s="353"/>
      <c r="AW194" s="353"/>
      <c r="AX194" s="353"/>
      <c r="AY194" s="353"/>
      <c r="AZ194" s="353"/>
      <c r="BA194" s="353"/>
      <c r="BB194" s="353"/>
      <c r="BC194" s="353"/>
      <c r="BD194" s="353"/>
      <c r="BE194" s="353"/>
      <c r="BF194" s="353"/>
      <c r="BG194" s="353"/>
      <c r="BH194" s="353"/>
      <c r="BI194" s="353"/>
    </row>
    <row r="195" spans="1:61" s="106" customFormat="1" ht="25.5" customHeight="1">
      <c r="A195" s="1092" t="s">
        <v>730</v>
      </c>
      <c r="B195" s="368" t="s">
        <v>89</v>
      </c>
      <c r="C195" s="368"/>
      <c r="D195" s="368"/>
      <c r="E195" s="368"/>
      <c r="F195" s="368"/>
      <c r="G195" s="366"/>
      <c r="H195" s="366"/>
      <c r="I195" s="366"/>
      <c r="J195" s="366"/>
      <c r="K195" s="366"/>
      <c r="L195" s="367"/>
      <c r="M195" s="691"/>
      <c r="N195" s="573"/>
      <c r="O195" s="1143" t="s">
        <v>915</v>
      </c>
      <c r="AJ195" s="352"/>
      <c r="AK195" s="352"/>
      <c r="AL195" s="352"/>
      <c r="AM195" s="352"/>
      <c r="AN195" s="352"/>
      <c r="AO195" s="352"/>
      <c r="AP195" s="352"/>
      <c r="AQ195" s="352"/>
      <c r="AR195" s="352"/>
      <c r="AS195" s="352"/>
      <c r="AT195" s="352"/>
      <c r="AU195" s="352"/>
      <c r="AV195" s="352"/>
      <c r="AW195" s="352"/>
      <c r="AX195" s="352"/>
      <c r="AY195" s="352"/>
      <c r="AZ195" s="352"/>
      <c r="BA195" s="352"/>
      <c r="BB195" s="352"/>
      <c r="BC195" s="352"/>
      <c r="BD195" s="352"/>
      <c r="BE195" s="352"/>
      <c r="BF195" s="352"/>
      <c r="BG195" s="352"/>
      <c r="BH195" s="352"/>
      <c r="BI195" s="352"/>
    </row>
    <row r="196" spans="1:61" s="106" customFormat="1" ht="24">
      <c r="A196" s="1093"/>
      <c r="B196" s="369" t="s">
        <v>237</v>
      </c>
      <c r="C196" s="368"/>
      <c r="D196" s="368"/>
      <c r="E196" s="368"/>
      <c r="F196" s="368"/>
      <c r="G196" s="366">
        <f>K196</f>
        <v>3805.4</v>
      </c>
      <c r="H196" s="366"/>
      <c r="I196" s="366"/>
      <c r="J196" s="366"/>
      <c r="K196" s="366">
        <f>K197</f>
        <v>3805.4</v>
      </c>
      <c r="L196" s="367">
        <f>L197</f>
        <v>506.6</v>
      </c>
      <c r="M196" s="691">
        <f>M197+M242</f>
        <v>0</v>
      </c>
      <c r="N196" s="573"/>
      <c r="O196" s="1143"/>
      <c r="AJ196" s="352"/>
      <c r="AK196" s="352"/>
      <c r="AL196" s="352"/>
      <c r="AM196" s="352"/>
      <c r="AN196" s="352"/>
      <c r="AO196" s="352"/>
      <c r="AP196" s="352"/>
      <c r="AQ196" s="352"/>
      <c r="AR196" s="352"/>
      <c r="AS196" s="352"/>
      <c r="AT196" s="352"/>
      <c r="AU196" s="352"/>
      <c r="AV196" s="352"/>
      <c r="AW196" s="352"/>
      <c r="AX196" s="352"/>
      <c r="AY196" s="352"/>
      <c r="AZ196" s="352"/>
      <c r="BA196" s="352"/>
      <c r="BB196" s="352"/>
      <c r="BC196" s="352"/>
      <c r="BD196" s="352"/>
      <c r="BE196" s="352"/>
      <c r="BF196" s="352"/>
      <c r="BG196" s="352"/>
      <c r="BH196" s="352"/>
      <c r="BI196" s="352"/>
    </row>
    <row r="197" spans="1:61" s="106" customFormat="1" ht="24.75" customHeight="1">
      <c r="A197" s="1094"/>
      <c r="B197" s="370" t="s">
        <v>10</v>
      </c>
      <c r="C197" s="370"/>
      <c r="D197" s="370"/>
      <c r="E197" s="370"/>
      <c r="F197" s="370"/>
      <c r="G197" s="367">
        <f>K197</f>
        <v>3805.4</v>
      </c>
      <c r="H197" s="367"/>
      <c r="I197" s="367"/>
      <c r="J197" s="367"/>
      <c r="K197" s="367">
        <v>3805.4</v>
      </c>
      <c r="L197" s="367">
        <v>506.6</v>
      </c>
      <c r="M197" s="689"/>
      <c r="N197" s="573"/>
      <c r="O197" s="1143"/>
      <c r="AJ197" s="352"/>
      <c r="AK197" s="352"/>
      <c r="AL197" s="352"/>
      <c r="AM197" s="352"/>
      <c r="AN197" s="352"/>
      <c r="AO197" s="352"/>
      <c r="AP197" s="352"/>
      <c r="AQ197" s="352"/>
      <c r="AR197" s="352"/>
      <c r="AS197" s="352"/>
      <c r="AT197" s="352"/>
      <c r="AU197" s="352"/>
      <c r="AV197" s="352"/>
      <c r="AW197" s="352"/>
      <c r="AX197" s="352"/>
      <c r="AY197" s="352"/>
      <c r="AZ197" s="352"/>
      <c r="BA197" s="352"/>
      <c r="BB197" s="352"/>
      <c r="BC197" s="352"/>
      <c r="BD197" s="352"/>
      <c r="BE197" s="352"/>
      <c r="BF197" s="352"/>
      <c r="BG197" s="352"/>
      <c r="BH197" s="352"/>
      <c r="BI197" s="352"/>
    </row>
    <row r="198" spans="1:61" ht="24.75" customHeight="1">
      <c r="A198" s="1124" t="s">
        <v>127</v>
      </c>
      <c r="B198" s="100" t="s">
        <v>89</v>
      </c>
      <c r="C198" s="562"/>
      <c r="D198" s="562"/>
      <c r="E198" s="562"/>
      <c r="F198" s="562"/>
      <c r="G198" s="108">
        <f>G202+G205</f>
        <v>0</v>
      </c>
      <c r="H198" s="108">
        <f t="shared" ref="H198:M199" si="66">H202+H205</f>
        <v>0</v>
      </c>
      <c r="I198" s="108">
        <f t="shared" si="66"/>
        <v>0</v>
      </c>
      <c r="J198" s="108">
        <f t="shared" si="66"/>
        <v>0</v>
      </c>
      <c r="K198" s="108">
        <f t="shared" si="66"/>
        <v>0</v>
      </c>
      <c r="L198" s="108">
        <f t="shared" si="66"/>
        <v>0</v>
      </c>
      <c r="M198" s="683">
        <f t="shared" si="66"/>
        <v>0</v>
      </c>
      <c r="N198" s="573"/>
      <c r="O198" s="564"/>
    </row>
    <row r="199" spans="1:61" ht="33.75" customHeight="1">
      <c r="A199" s="1124"/>
      <c r="B199" s="62" t="s">
        <v>237</v>
      </c>
      <c r="C199" s="564"/>
      <c r="D199" s="564"/>
      <c r="E199" s="564"/>
      <c r="F199" s="564"/>
      <c r="G199" s="102">
        <f>G203+G206</f>
        <v>100</v>
      </c>
      <c r="H199" s="102">
        <f t="shared" si="66"/>
        <v>0</v>
      </c>
      <c r="I199" s="102">
        <f t="shared" si="66"/>
        <v>0</v>
      </c>
      <c r="J199" s="102">
        <f t="shared" si="66"/>
        <v>0</v>
      </c>
      <c r="K199" s="102">
        <f t="shared" si="66"/>
        <v>100</v>
      </c>
      <c r="L199" s="102">
        <f t="shared" si="66"/>
        <v>0</v>
      </c>
      <c r="M199" s="499">
        <f t="shared" si="66"/>
        <v>10000</v>
      </c>
      <c r="N199" s="573"/>
      <c r="O199" s="564"/>
    </row>
    <row r="200" spans="1:61" ht="24.75" customHeight="1">
      <c r="A200" s="1124"/>
      <c r="B200" s="62" t="s">
        <v>10</v>
      </c>
      <c r="C200" s="564"/>
      <c r="D200" s="564"/>
      <c r="E200" s="564"/>
      <c r="F200" s="564"/>
      <c r="G200" s="102">
        <f>G204</f>
        <v>100</v>
      </c>
      <c r="H200" s="102">
        <f t="shared" ref="H200:J200" si="67">H207</f>
        <v>0</v>
      </c>
      <c r="I200" s="102">
        <f t="shared" si="67"/>
        <v>0</v>
      </c>
      <c r="J200" s="102">
        <f t="shared" si="67"/>
        <v>0</v>
      </c>
      <c r="K200" s="102">
        <f>K204</f>
        <v>100</v>
      </c>
      <c r="L200" s="102">
        <f>L204</f>
        <v>0</v>
      </c>
      <c r="M200" s="499">
        <f>M204</f>
        <v>10000</v>
      </c>
      <c r="N200" s="573"/>
      <c r="O200" s="564"/>
    </row>
    <row r="201" spans="1:61" ht="27.75" customHeight="1">
      <c r="A201" s="1124"/>
      <c r="B201" s="62" t="s">
        <v>443</v>
      </c>
      <c r="C201" s="564"/>
      <c r="D201" s="564"/>
      <c r="E201" s="564"/>
      <c r="F201" s="564"/>
      <c r="G201" s="102"/>
      <c r="H201" s="102"/>
      <c r="I201" s="102"/>
      <c r="J201" s="102"/>
      <c r="K201" s="102"/>
      <c r="L201" s="102"/>
      <c r="M201" s="499"/>
      <c r="N201" s="573"/>
      <c r="O201" s="564"/>
    </row>
    <row r="202" spans="1:61" ht="24" customHeight="1">
      <c r="A202" s="1125" t="s">
        <v>849</v>
      </c>
      <c r="B202" s="564" t="s">
        <v>89</v>
      </c>
      <c r="C202" s="564"/>
      <c r="D202" s="564"/>
      <c r="E202" s="564"/>
      <c r="F202" s="564"/>
      <c r="G202" s="103"/>
      <c r="H202" s="103"/>
      <c r="I202" s="103"/>
      <c r="J202" s="103"/>
      <c r="K202" s="103"/>
      <c r="L202" s="103"/>
      <c r="M202" s="678"/>
      <c r="N202" s="573"/>
      <c r="O202" s="1030" t="s">
        <v>848</v>
      </c>
    </row>
    <row r="203" spans="1:61" ht="30" customHeight="1">
      <c r="A203" s="1126"/>
      <c r="B203" s="564" t="s">
        <v>237</v>
      </c>
      <c r="C203" s="564"/>
      <c r="D203" s="564"/>
      <c r="E203" s="564"/>
      <c r="F203" s="564"/>
      <c r="G203" s="103">
        <f>K203</f>
        <v>100</v>
      </c>
      <c r="H203" s="103"/>
      <c r="I203" s="103"/>
      <c r="J203" s="103"/>
      <c r="K203" s="103">
        <f>K204</f>
        <v>100</v>
      </c>
      <c r="L203" s="103">
        <f>L204</f>
        <v>0</v>
      </c>
      <c r="M203" s="679">
        <f>M204</f>
        <v>10000</v>
      </c>
      <c r="N203" s="573"/>
      <c r="O203" s="1032"/>
    </row>
    <row r="204" spans="1:61" ht="29.25" customHeight="1">
      <c r="A204" s="1127"/>
      <c r="B204" s="564" t="s">
        <v>10</v>
      </c>
      <c r="C204" s="564"/>
      <c r="D204" s="564"/>
      <c r="E204" s="564"/>
      <c r="F204" s="564"/>
      <c r="G204" s="103">
        <f t="shared" ref="G204:G208" si="68">K204</f>
        <v>100</v>
      </c>
      <c r="H204" s="103"/>
      <c r="I204" s="103"/>
      <c r="J204" s="103"/>
      <c r="K204" s="679">
        <v>100</v>
      </c>
      <c r="L204" s="103"/>
      <c r="M204" s="679">
        <v>10000</v>
      </c>
      <c r="N204" s="573"/>
      <c r="O204" s="1031"/>
    </row>
    <row r="205" spans="1:61" ht="25.5" hidden="1" customHeight="1">
      <c r="A205" s="1065" t="s">
        <v>218</v>
      </c>
      <c r="B205" s="564" t="s">
        <v>89</v>
      </c>
      <c r="C205" s="564"/>
      <c r="D205" s="564"/>
      <c r="E205" s="564"/>
      <c r="F205" s="564"/>
      <c r="G205" s="103">
        <f t="shared" si="68"/>
        <v>0</v>
      </c>
      <c r="H205" s="103"/>
      <c r="I205" s="103"/>
      <c r="J205" s="103"/>
      <c r="K205" s="103"/>
      <c r="L205" s="103"/>
      <c r="M205" s="679"/>
      <c r="N205" s="573"/>
      <c r="O205" s="1037" t="s">
        <v>219</v>
      </c>
    </row>
    <row r="206" spans="1:61" ht="35.25" hidden="1" customHeight="1">
      <c r="A206" s="1065"/>
      <c r="B206" s="564" t="s">
        <v>237</v>
      </c>
      <c r="C206" s="564"/>
      <c r="D206" s="564"/>
      <c r="E206" s="564"/>
      <c r="F206" s="564"/>
      <c r="G206" s="103">
        <f t="shared" si="68"/>
        <v>0</v>
      </c>
      <c r="H206" s="103"/>
      <c r="I206" s="103"/>
      <c r="J206" s="103"/>
      <c r="K206" s="103">
        <f>K207</f>
        <v>0</v>
      </c>
      <c r="L206" s="103">
        <f t="shared" ref="L206" si="69">L208</f>
        <v>0</v>
      </c>
      <c r="M206" s="679">
        <v>0</v>
      </c>
      <c r="N206" s="573"/>
      <c r="O206" s="1037"/>
    </row>
    <row r="207" spans="1:61" hidden="1">
      <c r="A207" s="1065"/>
      <c r="B207" s="564" t="s">
        <v>10</v>
      </c>
      <c r="C207" s="564"/>
      <c r="D207" s="564"/>
      <c r="E207" s="564"/>
      <c r="F207" s="564"/>
      <c r="G207" s="103">
        <f t="shared" si="68"/>
        <v>0</v>
      </c>
      <c r="H207" s="103"/>
      <c r="I207" s="103"/>
      <c r="J207" s="103"/>
      <c r="K207" s="103"/>
      <c r="L207" s="103">
        <v>0</v>
      </c>
      <c r="M207" s="679">
        <v>0</v>
      </c>
      <c r="N207" s="573"/>
      <c r="O207" s="1037"/>
    </row>
    <row r="208" spans="1:61" ht="15.75" hidden="1" customHeight="1">
      <c r="A208" s="1065"/>
      <c r="B208" s="564" t="s">
        <v>443</v>
      </c>
      <c r="C208" s="564"/>
      <c r="D208" s="564"/>
      <c r="E208" s="564"/>
      <c r="F208" s="564"/>
      <c r="G208" s="103">
        <f t="shared" si="68"/>
        <v>0</v>
      </c>
      <c r="H208" s="103"/>
      <c r="I208" s="103"/>
      <c r="J208" s="103"/>
      <c r="K208" s="103"/>
      <c r="L208" s="103">
        <v>0</v>
      </c>
      <c r="M208" s="679">
        <v>0</v>
      </c>
      <c r="N208" s="573"/>
      <c r="O208" s="1037"/>
    </row>
    <row r="209" spans="1:61" ht="24" customHeight="1">
      <c r="A209" s="1135" t="s">
        <v>129</v>
      </c>
      <c r="B209" s="62" t="s">
        <v>89</v>
      </c>
      <c r="C209" s="564"/>
      <c r="D209" s="564"/>
      <c r="E209" s="564"/>
      <c r="F209" s="564"/>
      <c r="G209" s="102">
        <f t="shared" ref="G209:L209" si="70">G213+G217+G221+G224</f>
        <v>0</v>
      </c>
      <c r="H209" s="102">
        <f t="shared" si="70"/>
        <v>0</v>
      </c>
      <c r="I209" s="102">
        <f t="shared" si="70"/>
        <v>0</v>
      </c>
      <c r="J209" s="102">
        <f t="shared" si="70"/>
        <v>0</v>
      </c>
      <c r="K209" s="102"/>
      <c r="L209" s="102">
        <f t="shared" si="70"/>
        <v>0</v>
      </c>
      <c r="M209" s="499"/>
      <c r="N209" s="573"/>
      <c r="O209" s="564"/>
    </row>
    <row r="210" spans="1:61" ht="22.5" customHeight="1">
      <c r="A210" s="1135"/>
      <c r="B210" s="62" t="s">
        <v>237</v>
      </c>
      <c r="C210" s="564"/>
      <c r="D210" s="564"/>
      <c r="E210" s="564"/>
      <c r="F210" s="564"/>
      <c r="G210" s="102">
        <f>G211+G212</f>
        <v>2819.5</v>
      </c>
      <c r="H210" s="102">
        <f t="shared" ref="H210:K210" si="71">H211+H212</f>
        <v>0</v>
      </c>
      <c r="I210" s="102">
        <f t="shared" si="71"/>
        <v>0</v>
      </c>
      <c r="J210" s="102">
        <f t="shared" si="71"/>
        <v>0</v>
      </c>
      <c r="K210" s="102">
        <f t="shared" si="71"/>
        <v>2819.5</v>
      </c>
      <c r="L210" s="102">
        <f t="shared" ref="L210:M210" si="72">L211+L212</f>
        <v>2000</v>
      </c>
      <c r="M210" s="499">
        <f t="shared" si="72"/>
        <v>0</v>
      </c>
      <c r="N210" s="573"/>
      <c r="O210" s="564"/>
    </row>
    <row r="211" spans="1:61" ht="24" customHeight="1">
      <c r="A211" s="1135"/>
      <c r="B211" s="62" t="s">
        <v>10</v>
      </c>
      <c r="C211" s="564"/>
      <c r="D211" s="564"/>
      <c r="E211" s="564"/>
      <c r="F211" s="564"/>
      <c r="G211" s="102">
        <f>G215+G219</f>
        <v>2819.5</v>
      </c>
      <c r="H211" s="102">
        <f t="shared" ref="H211:K211" si="73">H215+H219</f>
        <v>0</v>
      </c>
      <c r="I211" s="102">
        <f t="shared" si="73"/>
        <v>0</v>
      </c>
      <c r="J211" s="102">
        <f t="shared" si="73"/>
        <v>0</v>
      </c>
      <c r="K211" s="102">
        <f t="shared" si="73"/>
        <v>2819.5</v>
      </c>
      <c r="L211" s="102">
        <f t="shared" ref="L211:M211" si="74">L215+L219</f>
        <v>2000</v>
      </c>
      <c r="M211" s="499">
        <f t="shared" si="74"/>
        <v>0</v>
      </c>
      <c r="N211" s="573"/>
      <c r="O211" s="564"/>
    </row>
    <row r="212" spans="1:61" ht="30" customHeight="1">
      <c r="A212" s="1135"/>
      <c r="B212" s="62" t="s">
        <v>443</v>
      </c>
      <c r="C212" s="564"/>
      <c r="D212" s="564"/>
      <c r="E212" s="564"/>
      <c r="F212" s="564"/>
      <c r="G212" s="102">
        <f t="shared" ref="G212:L212" si="75">G216+G223+G226</f>
        <v>0</v>
      </c>
      <c r="H212" s="102"/>
      <c r="I212" s="102"/>
      <c r="J212" s="102"/>
      <c r="K212" s="102"/>
      <c r="L212" s="102">
        <f t="shared" si="75"/>
        <v>0</v>
      </c>
      <c r="M212" s="499"/>
      <c r="N212" s="573"/>
      <c r="O212" s="564"/>
    </row>
    <row r="213" spans="1:61" ht="19.5" customHeight="1">
      <c r="A213" s="1086" t="s">
        <v>204</v>
      </c>
      <c r="B213" s="572" t="s">
        <v>89</v>
      </c>
      <c r="C213" s="572"/>
      <c r="D213" s="572"/>
      <c r="E213" s="572"/>
      <c r="F213" s="572"/>
      <c r="G213" s="104"/>
      <c r="H213" s="104"/>
      <c r="I213" s="104"/>
      <c r="J213" s="104"/>
      <c r="K213" s="104"/>
      <c r="L213" s="104"/>
      <c r="M213" s="692"/>
      <c r="N213" s="573"/>
      <c r="O213" s="1074" t="s">
        <v>914</v>
      </c>
    </row>
    <row r="214" spans="1:61" ht="24">
      <c r="A214" s="1086"/>
      <c r="B214" s="572" t="s">
        <v>237</v>
      </c>
      <c r="C214" s="572"/>
      <c r="D214" s="572"/>
      <c r="E214" s="572"/>
      <c r="F214" s="572"/>
      <c r="G214" s="104">
        <f>G215+G216</f>
        <v>400</v>
      </c>
      <c r="H214" s="104"/>
      <c r="I214" s="104"/>
      <c r="J214" s="104"/>
      <c r="K214" s="104">
        <f>K215</f>
        <v>400</v>
      </c>
      <c r="L214" s="104">
        <f>L215+L216</f>
        <v>2000</v>
      </c>
      <c r="M214" s="692">
        <f>M215+M216</f>
        <v>0</v>
      </c>
      <c r="N214" s="573"/>
      <c r="O214" s="1074"/>
      <c r="V214" s="44">
        <v>247.3</v>
      </c>
    </row>
    <row r="215" spans="1:61" ht="22.5" customHeight="1">
      <c r="A215" s="1086"/>
      <c r="B215" s="572" t="s">
        <v>10</v>
      </c>
      <c r="C215" s="572"/>
      <c r="D215" s="572"/>
      <c r="E215" s="572"/>
      <c r="F215" s="572"/>
      <c r="G215" s="104">
        <f>K215</f>
        <v>400</v>
      </c>
      <c r="H215" s="104"/>
      <c r="I215" s="104"/>
      <c r="J215" s="104"/>
      <c r="K215" s="692">
        <v>400</v>
      </c>
      <c r="L215" s="104">
        <v>2000</v>
      </c>
      <c r="M215" s="692"/>
      <c r="N215" s="573"/>
      <c r="O215" s="1074"/>
    </row>
    <row r="216" spans="1:61" ht="24.75" customHeight="1">
      <c r="A216" s="1086"/>
      <c r="B216" s="572" t="s">
        <v>443</v>
      </c>
      <c r="C216" s="572"/>
      <c r="D216" s="572"/>
      <c r="E216" s="572"/>
      <c r="F216" s="572"/>
      <c r="G216" s="104"/>
      <c r="H216" s="104"/>
      <c r="I216" s="104"/>
      <c r="J216" s="104"/>
      <c r="K216" s="104"/>
      <c r="L216" s="104"/>
      <c r="M216" s="692"/>
      <c r="N216" s="573"/>
      <c r="O216" s="1074"/>
    </row>
    <row r="217" spans="1:61" ht="21.75" customHeight="1">
      <c r="A217" s="1086" t="s">
        <v>850</v>
      </c>
      <c r="B217" s="564" t="s">
        <v>89</v>
      </c>
      <c r="C217" s="564"/>
      <c r="D217" s="564"/>
      <c r="E217" s="564"/>
      <c r="F217" s="564"/>
      <c r="G217" s="103">
        <f>K217</f>
        <v>0</v>
      </c>
      <c r="H217" s="103"/>
      <c r="I217" s="103"/>
      <c r="J217" s="103"/>
      <c r="K217" s="103"/>
      <c r="L217" s="103"/>
      <c r="M217" s="679"/>
      <c r="N217" s="573"/>
      <c r="O217" s="1037" t="s">
        <v>907</v>
      </c>
      <c r="P217" s="656">
        <f>K219/29200.7*1.074*1.037*1.05*1.044</f>
        <v>0.10115915651180281</v>
      </c>
      <c r="AC217" s="44" t="s">
        <v>900</v>
      </c>
    </row>
    <row r="218" spans="1:61" ht="24">
      <c r="A218" s="1086"/>
      <c r="B218" s="564" t="s">
        <v>237</v>
      </c>
      <c r="C218" s="564"/>
      <c r="D218" s="564"/>
      <c r="E218" s="564"/>
      <c r="F218" s="564"/>
      <c r="G218" s="103">
        <f>G219</f>
        <v>2419.5</v>
      </c>
      <c r="H218" s="103"/>
      <c r="I218" s="103">
        <f>I219</f>
        <v>0</v>
      </c>
      <c r="J218" s="103"/>
      <c r="K218" s="103">
        <f>K219</f>
        <v>2419.5</v>
      </c>
      <c r="L218" s="103">
        <f>L219</f>
        <v>0</v>
      </c>
      <c r="M218" s="679">
        <f>M219</f>
        <v>0</v>
      </c>
      <c r="N218" s="573"/>
      <c r="O218" s="1037"/>
    </row>
    <row r="219" spans="1:61" ht="27" customHeight="1">
      <c r="A219" s="1086"/>
      <c r="B219" s="564" t="s">
        <v>10</v>
      </c>
      <c r="C219" s="564"/>
      <c r="D219" s="564"/>
      <c r="E219" s="564"/>
      <c r="F219" s="564"/>
      <c r="G219" s="103">
        <f>K219</f>
        <v>2419.5</v>
      </c>
      <c r="H219" s="103"/>
      <c r="I219" s="103"/>
      <c r="J219" s="103"/>
      <c r="K219" s="103">
        <v>2419.5</v>
      </c>
      <c r="L219" s="103"/>
      <c r="M219" s="679"/>
      <c r="N219" s="573"/>
      <c r="O219" s="1037"/>
    </row>
    <row r="220" spans="1:61" ht="27" customHeight="1">
      <c r="A220" s="1086"/>
      <c r="B220" s="564" t="s">
        <v>443</v>
      </c>
      <c r="C220" s="564"/>
      <c r="D220" s="564"/>
      <c r="E220" s="564"/>
      <c r="F220" s="564"/>
      <c r="G220" s="103"/>
      <c r="H220" s="103"/>
      <c r="I220" s="103"/>
      <c r="J220" s="103"/>
      <c r="K220" s="103"/>
      <c r="L220" s="103"/>
      <c r="M220" s="679"/>
      <c r="N220" s="573"/>
      <c r="O220" s="1037"/>
    </row>
    <row r="221" spans="1:61" hidden="1">
      <c r="A221" s="1086" t="s">
        <v>240</v>
      </c>
      <c r="B221" s="564" t="s">
        <v>89</v>
      </c>
      <c r="C221" s="564"/>
      <c r="D221" s="564"/>
      <c r="E221" s="564"/>
      <c r="F221" s="564"/>
      <c r="G221" s="103"/>
      <c r="H221" s="103"/>
      <c r="I221" s="103"/>
      <c r="J221" s="103"/>
      <c r="K221" s="103"/>
      <c r="L221" s="103"/>
      <c r="M221" s="679"/>
      <c r="N221" s="573"/>
      <c r="O221" s="1037" t="s">
        <v>283</v>
      </c>
    </row>
    <row r="222" spans="1:61" ht="24" hidden="1">
      <c r="A222" s="1086"/>
      <c r="B222" s="564" t="s">
        <v>237</v>
      </c>
      <c r="C222" s="564"/>
      <c r="D222" s="564"/>
      <c r="E222" s="564"/>
      <c r="F222" s="564"/>
      <c r="G222" s="103">
        <f>G223</f>
        <v>0</v>
      </c>
      <c r="H222" s="103"/>
      <c r="I222" s="103"/>
      <c r="J222" s="103"/>
      <c r="K222" s="103"/>
      <c r="L222" s="103">
        <f>L223</f>
        <v>0</v>
      </c>
      <c r="M222" s="679"/>
      <c r="N222" s="573"/>
      <c r="O222" s="1037"/>
    </row>
    <row r="223" spans="1:61" hidden="1">
      <c r="A223" s="1086"/>
      <c r="B223" s="564" t="s">
        <v>34</v>
      </c>
      <c r="C223" s="564"/>
      <c r="D223" s="564"/>
      <c r="E223" s="564"/>
      <c r="F223" s="564"/>
      <c r="G223" s="103"/>
      <c r="H223" s="103"/>
      <c r="I223" s="103"/>
      <c r="J223" s="103"/>
      <c r="K223" s="103"/>
      <c r="L223" s="103"/>
      <c r="M223" s="679"/>
      <c r="N223" s="573"/>
      <c r="O223" s="1037"/>
    </row>
    <row r="224" spans="1:61" s="45" customFormat="1" ht="14.25" hidden="1">
      <c r="A224" s="1086" t="s">
        <v>303</v>
      </c>
      <c r="B224" s="564" t="s">
        <v>89</v>
      </c>
      <c r="C224" s="564"/>
      <c r="D224" s="564"/>
      <c r="E224" s="564"/>
      <c r="F224" s="564"/>
      <c r="G224" s="103">
        <v>0</v>
      </c>
      <c r="H224" s="103"/>
      <c r="I224" s="103"/>
      <c r="J224" s="103"/>
      <c r="K224" s="103"/>
      <c r="L224" s="103"/>
      <c r="M224" s="679"/>
      <c r="N224" s="573"/>
      <c r="O224" s="1037" t="s">
        <v>223</v>
      </c>
      <c r="AJ224" s="113"/>
      <c r="AK224" s="113"/>
      <c r="AL224" s="113"/>
      <c r="AM224" s="113"/>
      <c r="AN224" s="113"/>
      <c r="AO224" s="113"/>
      <c r="AP224" s="113"/>
      <c r="AQ224" s="113"/>
      <c r="AR224" s="113"/>
      <c r="AS224" s="113"/>
      <c r="AT224" s="113"/>
      <c r="AU224" s="113"/>
      <c r="AV224" s="113"/>
      <c r="AW224" s="113"/>
      <c r="AX224" s="113"/>
      <c r="AY224" s="113"/>
      <c r="AZ224" s="113"/>
      <c r="BA224" s="113"/>
      <c r="BB224" s="113"/>
      <c r="BC224" s="113"/>
      <c r="BD224" s="113"/>
      <c r="BE224" s="113"/>
      <c r="BF224" s="113"/>
      <c r="BG224" s="113"/>
      <c r="BH224" s="113"/>
      <c r="BI224" s="113"/>
    </row>
    <row r="225" spans="1:61" s="45" customFormat="1" ht="24" hidden="1">
      <c r="A225" s="1086"/>
      <c r="B225" s="564" t="s">
        <v>237</v>
      </c>
      <c r="C225" s="564"/>
      <c r="D225" s="564"/>
      <c r="E225" s="564"/>
      <c r="F225" s="564"/>
      <c r="G225" s="103">
        <f>G226</f>
        <v>0</v>
      </c>
      <c r="H225" s="103"/>
      <c r="I225" s="103"/>
      <c r="J225" s="103"/>
      <c r="K225" s="103"/>
      <c r="L225" s="103">
        <f>L226</f>
        <v>0</v>
      </c>
      <c r="M225" s="679"/>
      <c r="N225" s="573"/>
      <c r="O225" s="1037"/>
      <c r="AJ225" s="113"/>
      <c r="AK225" s="113"/>
      <c r="AL225" s="113"/>
      <c r="AM225" s="113"/>
      <c r="AN225" s="113"/>
      <c r="AO225" s="113"/>
      <c r="AP225" s="113"/>
      <c r="AQ225" s="113"/>
      <c r="AR225" s="113"/>
      <c r="AS225" s="113"/>
      <c r="AT225" s="113"/>
      <c r="AU225" s="113"/>
      <c r="AV225" s="113"/>
      <c r="AW225" s="113"/>
      <c r="AX225" s="113"/>
      <c r="AY225" s="113"/>
      <c r="AZ225" s="113"/>
      <c r="BA225" s="113"/>
      <c r="BB225" s="113"/>
      <c r="BC225" s="113"/>
      <c r="BD225" s="113"/>
      <c r="BE225" s="113"/>
      <c r="BF225" s="113"/>
      <c r="BG225" s="113"/>
      <c r="BH225" s="113"/>
      <c r="BI225" s="113"/>
    </row>
    <row r="226" spans="1:61" s="45" customFormat="1" ht="0.75" hidden="1" customHeight="1">
      <c r="A226" s="1086"/>
      <c r="B226" s="564" t="s">
        <v>34</v>
      </c>
      <c r="C226" s="564"/>
      <c r="D226" s="564"/>
      <c r="E226" s="564"/>
      <c r="F226" s="564"/>
      <c r="G226" s="103">
        <v>0</v>
      </c>
      <c r="H226" s="103"/>
      <c r="I226" s="103"/>
      <c r="J226" s="103"/>
      <c r="K226" s="103"/>
      <c r="L226" s="103"/>
      <c r="M226" s="679"/>
      <c r="N226" s="573"/>
      <c r="O226" s="1037"/>
      <c r="AJ226" s="113"/>
      <c r="AK226" s="113"/>
      <c r="AL226" s="113"/>
      <c r="AM226" s="113"/>
      <c r="AN226" s="113"/>
      <c r="AO226" s="113"/>
      <c r="AP226" s="113"/>
      <c r="AQ226" s="113"/>
      <c r="AR226" s="113"/>
      <c r="AS226" s="113"/>
      <c r="AT226" s="113"/>
      <c r="AU226" s="113"/>
      <c r="AV226" s="113"/>
      <c r="AW226" s="113"/>
      <c r="AX226" s="113"/>
      <c r="AY226" s="113"/>
      <c r="AZ226" s="113"/>
      <c r="BA226" s="113"/>
      <c r="BB226" s="113"/>
      <c r="BC226" s="113"/>
      <c r="BD226" s="113"/>
      <c r="BE226" s="113"/>
      <c r="BF226" s="113"/>
      <c r="BG226" s="113"/>
      <c r="BH226" s="113"/>
      <c r="BI226" s="113"/>
    </row>
    <row r="227" spans="1:61" s="45" customFormat="1" ht="0.75" hidden="1" customHeight="1">
      <c r="A227" s="1092" t="s">
        <v>289</v>
      </c>
      <c r="B227" s="564" t="s">
        <v>89</v>
      </c>
      <c r="C227" s="564"/>
      <c r="D227" s="564"/>
      <c r="E227" s="564"/>
      <c r="F227" s="564"/>
      <c r="G227" s="103"/>
      <c r="H227" s="103"/>
      <c r="I227" s="103"/>
      <c r="J227" s="103"/>
      <c r="K227" s="103"/>
      <c r="L227" s="103"/>
      <c r="M227" s="679"/>
      <c r="N227" s="573"/>
      <c r="O227" s="1037" t="s">
        <v>293</v>
      </c>
      <c r="AJ227" s="113"/>
      <c r="AK227" s="113"/>
      <c r="AL227" s="113"/>
      <c r="AM227" s="113"/>
      <c r="AN227" s="113"/>
      <c r="AO227" s="113"/>
      <c r="AP227" s="113"/>
      <c r="AQ227" s="113"/>
      <c r="AR227" s="113"/>
      <c r="AS227" s="113"/>
      <c r="AT227" s="113"/>
      <c r="AU227" s="113"/>
      <c r="AV227" s="113"/>
      <c r="AW227" s="113"/>
      <c r="AX227" s="113"/>
      <c r="AY227" s="113"/>
      <c r="AZ227" s="113"/>
      <c r="BA227" s="113"/>
      <c r="BB227" s="113"/>
      <c r="BC227" s="113"/>
      <c r="BD227" s="113"/>
      <c r="BE227" s="113"/>
      <c r="BF227" s="113"/>
      <c r="BG227" s="113"/>
      <c r="BH227" s="113"/>
      <c r="BI227" s="113"/>
    </row>
    <row r="228" spans="1:61" s="45" customFormat="1" ht="24" hidden="1">
      <c r="A228" s="1093"/>
      <c r="B228" s="564" t="s">
        <v>237</v>
      </c>
      <c r="C228" s="564"/>
      <c r="D228" s="564"/>
      <c r="E228" s="564"/>
      <c r="F228" s="564"/>
      <c r="G228" s="103"/>
      <c r="H228" s="103"/>
      <c r="I228" s="103"/>
      <c r="J228" s="103"/>
      <c r="K228" s="103"/>
      <c r="L228" s="103"/>
      <c r="M228" s="679"/>
      <c r="N228" s="573"/>
      <c r="O228" s="1037"/>
      <c r="AJ228" s="113"/>
      <c r="AK228" s="113"/>
      <c r="AL228" s="113"/>
      <c r="AM228" s="113"/>
      <c r="AN228" s="113"/>
      <c r="AO228" s="113"/>
      <c r="AP228" s="113"/>
      <c r="AQ228" s="113"/>
      <c r="AR228" s="113"/>
      <c r="AS228" s="113"/>
      <c r="AT228" s="113"/>
      <c r="AU228" s="113"/>
      <c r="AV228" s="113"/>
      <c r="AW228" s="113"/>
      <c r="AX228" s="113"/>
      <c r="AY228" s="113"/>
      <c r="AZ228" s="113"/>
      <c r="BA228" s="113"/>
      <c r="BB228" s="113"/>
      <c r="BC228" s="113"/>
      <c r="BD228" s="113"/>
      <c r="BE228" s="113"/>
      <c r="BF228" s="113"/>
      <c r="BG228" s="113"/>
      <c r="BH228" s="113"/>
      <c r="BI228" s="113"/>
    </row>
    <row r="229" spans="1:61" s="45" customFormat="1" ht="14.25" hidden="1">
      <c r="A229" s="1093"/>
      <c r="B229" s="564" t="s">
        <v>10</v>
      </c>
      <c r="C229" s="564"/>
      <c r="D229" s="564"/>
      <c r="E229" s="564"/>
      <c r="F229" s="564"/>
      <c r="G229" s="103"/>
      <c r="H229" s="103"/>
      <c r="I229" s="103"/>
      <c r="J229" s="103"/>
      <c r="K229" s="103"/>
      <c r="L229" s="103"/>
      <c r="M229" s="679"/>
      <c r="N229" s="573"/>
      <c r="O229" s="1037"/>
      <c r="AJ229" s="113"/>
      <c r="AK229" s="113"/>
      <c r="AL229" s="113"/>
      <c r="AM229" s="113"/>
      <c r="AN229" s="113"/>
      <c r="AO229" s="113"/>
      <c r="AP229" s="113"/>
      <c r="AQ229" s="113"/>
      <c r="AR229" s="113"/>
      <c r="AS229" s="113"/>
      <c r="AT229" s="113"/>
      <c r="AU229" s="113"/>
      <c r="AV229" s="113"/>
      <c r="AW229" s="113"/>
      <c r="AX229" s="113"/>
      <c r="AY229" s="113"/>
      <c r="AZ229" s="113"/>
      <c r="BA229" s="113"/>
      <c r="BB229" s="113"/>
      <c r="BC229" s="113"/>
      <c r="BD229" s="113"/>
      <c r="BE229" s="113"/>
      <c r="BF229" s="113"/>
      <c r="BG229" s="113"/>
      <c r="BH229" s="113"/>
      <c r="BI229" s="113"/>
    </row>
    <row r="230" spans="1:61" s="45" customFormat="1" ht="14.25" hidden="1">
      <c r="A230" s="1094"/>
      <c r="B230" s="564" t="s">
        <v>443</v>
      </c>
      <c r="C230" s="564"/>
      <c r="D230" s="564"/>
      <c r="E230" s="564"/>
      <c r="F230" s="564"/>
      <c r="G230" s="103"/>
      <c r="H230" s="103"/>
      <c r="I230" s="103"/>
      <c r="J230" s="103"/>
      <c r="K230" s="103"/>
      <c r="L230" s="103"/>
      <c r="M230" s="679"/>
      <c r="N230" s="573"/>
      <c r="O230" s="1037"/>
      <c r="AJ230" s="113"/>
      <c r="AK230" s="113"/>
      <c r="AL230" s="113"/>
      <c r="AM230" s="113"/>
      <c r="AN230" s="113"/>
      <c r="AO230" s="113"/>
      <c r="AP230" s="113"/>
      <c r="AQ230" s="113"/>
      <c r="AR230" s="113"/>
      <c r="AS230" s="113"/>
      <c r="AT230" s="113"/>
      <c r="AU230" s="113"/>
      <c r="AV230" s="113"/>
      <c r="AW230" s="113"/>
      <c r="AX230" s="113"/>
      <c r="AY230" s="113"/>
      <c r="AZ230" s="113"/>
      <c r="BA230" s="113"/>
      <c r="BB230" s="113"/>
      <c r="BC230" s="113"/>
      <c r="BD230" s="113"/>
      <c r="BE230" s="113"/>
      <c r="BF230" s="113"/>
      <c r="BG230" s="113"/>
      <c r="BH230" s="113"/>
      <c r="BI230" s="113"/>
    </row>
    <row r="231" spans="1:61" s="45" customFormat="1" ht="27" hidden="1" customHeight="1">
      <c r="A231" s="1067" t="s">
        <v>102</v>
      </c>
      <c r="B231" s="62" t="s">
        <v>89</v>
      </c>
      <c r="C231" s="62"/>
      <c r="D231" s="62"/>
      <c r="E231" s="62"/>
      <c r="F231" s="62"/>
      <c r="G231" s="102">
        <f t="shared" ref="G231:L231" si="76">G235+G239</f>
        <v>0</v>
      </c>
      <c r="H231" s="102"/>
      <c r="I231" s="102"/>
      <c r="J231" s="102"/>
      <c r="K231" s="102"/>
      <c r="L231" s="102">
        <f t="shared" si="76"/>
        <v>0</v>
      </c>
      <c r="M231" s="499"/>
      <c r="N231" s="573"/>
      <c r="O231" s="62"/>
      <c r="AJ231" s="113"/>
      <c r="AK231" s="113"/>
      <c r="AL231" s="113"/>
      <c r="AM231" s="113"/>
      <c r="AN231" s="113"/>
      <c r="AO231" s="113"/>
      <c r="AP231" s="113"/>
      <c r="AQ231" s="113"/>
      <c r="AR231" s="113"/>
      <c r="AS231" s="113"/>
      <c r="AT231" s="113"/>
      <c r="AU231" s="113"/>
      <c r="AV231" s="113"/>
      <c r="AW231" s="113"/>
      <c r="AX231" s="113"/>
      <c r="AY231" s="113"/>
      <c r="AZ231" s="113"/>
      <c r="BA231" s="113"/>
      <c r="BB231" s="113"/>
      <c r="BC231" s="113"/>
      <c r="BD231" s="113"/>
      <c r="BE231" s="113"/>
      <c r="BF231" s="113"/>
      <c r="BG231" s="113"/>
      <c r="BH231" s="113"/>
      <c r="BI231" s="113"/>
    </row>
    <row r="232" spans="1:61" ht="24" hidden="1">
      <c r="A232" s="1068"/>
      <c r="B232" s="62" t="s">
        <v>237</v>
      </c>
      <c r="C232" s="62"/>
      <c r="D232" s="62"/>
      <c r="E232" s="62"/>
      <c r="F232" s="62"/>
      <c r="G232" s="102">
        <f t="shared" ref="G232:L232" si="77">G233+G234</f>
        <v>0</v>
      </c>
      <c r="H232" s="102"/>
      <c r="I232" s="102"/>
      <c r="J232" s="102"/>
      <c r="K232" s="102"/>
      <c r="L232" s="102">
        <f t="shared" si="77"/>
        <v>0</v>
      </c>
      <c r="M232" s="499"/>
      <c r="N232" s="573"/>
      <c r="O232" s="62"/>
    </row>
    <row r="233" spans="1:61" hidden="1">
      <c r="A233" s="1068"/>
      <c r="B233" s="62" t="s">
        <v>10</v>
      </c>
      <c r="C233" s="62"/>
      <c r="D233" s="62"/>
      <c r="E233" s="62"/>
      <c r="F233" s="62"/>
      <c r="G233" s="102">
        <f t="shared" ref="G233:L233" si="78">G237</f>
        <v>0</v>
      </c>
      <c r="H233" s="102"/>
      <c r="I233" s="102"/>
      <c r="J233" s="102"/>
      <c r="K233" s="102"/>
      <c r="L233" s="102">
        <f t="shared" si="78"/>
        <v>0</v>
      </c>
      <c r="M233" s="499"/>
      <c r="N233" s="573"/>
      <c r="O233" s="62"/>
    </row>
    <row r="234" spans="1:61" ht="26.25" hidden="1" customHeight="1">
      <c r="A234" s="1069"/>
      <c r="B234" s="62" t="s">
        <v>34</v>
      </c>
      <c r="C234" s="62"/>
      <c r="D234" s="62"/>
      <c r="E234" s="62"/>
      <c r="F234" s="62"/>
      <c r="G234" s="102">
        <f t="shared" ref="G234:L234" si="79">G238+G241</f>
        <v>0</v>
      </c>
      <c r="H234" s="102"/>
      <c r="I234" s="102"/>
      <c r="J234" s="102"/>
      <c r="K234" s="102"/>
      <c r="L234" s="102">
        <f t="shared" si="79"/>
        <v>0</v>
      </c>
      <c r="M234" s="499"/>
      <c r="N234" s="573"/>
      <c r="O234" s="62"/>
    </row>
    <row r="235" spans="1:61" hidden="1">
      <c r="A235" s="1065" t="s">
        <v>23</v>
      </c>
      <c r="B235" s="564" t="s">
        <v>89</v>
      </c>
      <c r="C235" s="564">
        <v>176</v>
      </c>
      <c r="D235" s="564" t="s">
        <v>15</v>
      </c>
      <c r="E235" s="564">
        <v>6100404</v>
      </c>
      <c r="F235" s="564">
        <v>414</v>
      </c>
      <c r="G235" s="103">
        <v>0</v>
      </c>
      <c r="H235" s="103"/>
      <c r="I235" s="103"/>
      <c r="J235" s="103"/>
      <c r="K235" s="103"/>
      <c r="L235" s="103"/>
      <c r="M235" s="679"/>
      <c r="N235" s="573"/>
      <c r="O235" s="1037" t="s">
        <v>265</v>
      </c>
    </row>
    <row r="236" spans="1:61" ht="24" hidden="1">
      <c r="A236" s="1065"/>
      <c r="B236" s="564" t="s">
        <v>237</v>
      </c>
      <c r="C236" s="564"/>
      <c r="D236" s="564"/>
      <c r="E236" s="564"/>
      <c r="F236" s="564"/>
      <c r="G236" s="103">
        <f t="shared" ref="G236:L236" si="80">G237+G238</f>
        <v>0</v>
      </c>
      <c r="H236" s="103"/>
      <c r="I236" s="103"/>
      <c r="J236" s="103"/>
      <c r="K236" s="103"/>
      <c r="L236" s="103">
        <f t="shared" si="80"/>
        <v>0</v>
      </c>
      <c r="M236" s="679"/>
      <c r="N236" s="573"/>
      <c r="O236" s="1037"/>
    </row>
    <row r="237" spans="1:61" hidden="1">
      <c r="A237" s="1065"/>
      <c r="B237" s="564" t="s">
        <v>10</v>
      </c>
      <c r="C237" s="564"/>
      <c r="D237" s="564"/>
      <c r="E237" s="564"/>
      <c r="F237" s="564"/>
      <c r="G237" s="103"/>
      <c r="H237" s="103"/>
      <c r="I237" s="103"/>
      <c r="J237" s="103"/>
      <c r="K237" s="103"/>
      <c r="L237" s="103"/>
      <c r="M237" s="679"/>
      <c r="N237" s="573"/>
      <c r="O237" s="1037"/>
    </row>
    <row r="238" spans="1:61" hidden="1">
      <c r="A238" s="1065"/>
      <c r="B238" s="564" t="s">
        <v>34</v>
      </c>
      <c r="C238" s="564"/>
      <c r="D238" s="564"/>
      <c r="E238" s="564"/>
      <c r="F238" s="564"/>
      <c r="G238" s="103"/>
      <c r="H238" s="103"/>
      <c r="I238" s="103"/>
      <c r="J238" s="103"/>
      <c r="K238" s="103"/>
      <c r="L238" s="103"/>
      <c r="M238" s="679"/>
      <c r="N238" s="573"/>
      <c r="O238" s="1037"/>
    </row>
    <row r="239" spans="1:61" hidden="1">
      <c r="A239" s="1086" t="s">
        <v>304</v>
      </c>
      <c r="B239" s="564" t="s">
        <v>89</v>
      </c>
      <c r="C239" s="564"/>
      <c r="D239" s="564"/>
      <c r="E239" s="564"/>
      <c r="F239" s="564"/>
      <c r="G239" s="103">
        <v>0</v>
      </c>
      <c r="H239" s="103"/>
      <c r="I239" s="103"/>
      <c r="J239" s="103"/>
      <c r="K239" s="103"/>
      <c r="L239" s="103">
        <v>0</v>
      </c>
      <c r="M239" s="679"/>
      <c r="N239" s="573"/>
      <c r="O239" s="1037" t="s">
        <v>221</v>
      </c>
    </row>
    <row r="240" spans="1:61" ht="19.5" hidden="1" customHeight="1">
      <c r="A240" s="1086"/>
      <c r="B240" s="564" t="s">
        <v>237</v>
      </c>
      <c r="C240" s="564"/>
      <c r="D240" s="564"/>
      <c r="E240" s="564"/>
      <c r="F240" s="564"/>
      <c r="G240" s="103">
        <f t="shared" ref="G240:L240" si="81">G241</f>
        <v>0</v>
      </c>
      <c r="H240" s="103"/>
      <c r="I240" s="103"/>
      <c r="J240" s="103"/>
      <c r="K240" s="103"/>
      <c r="L240" s="103">
        <f t="shared" si="81"/>
        <v>0</v>
      </c>
      <c r="M240" s="679"/>
      <c r="N240" s="573"/>
      <c r="O240" s="1037"/>
    </row>
    <row r="241" spans="1:15" ht="29.25" hidden="1" customHeight="1">
      <c r="A241" s="1086"/>
      <c r="B241" s="564" t="s">
        <v>34</v>
      </c>
      <c r="C241" s="564"/>
      <c r="D241" s="564"/>
      <c r="E241" s="564"/>
      <c r="F241" s="564"/>
      <c r="G241" s="103">
        <v>0</v>
      </c>
      <c r="H241" s="103"/>
      <c r="I241" s="103"/>
      <c r="J241" s="103"/>
      <c r="K241" s="103"/>
      <c r="L241" s="103">
        <v>0</v>
      </c>
      <c r="M241" s="679"/>
      <c r="N241" s="573"/>
      <c r="O241" s="1037"/>
    </row>
    <row r="242" spans="1:15" ht="24.75" customHeight="1">
      <c r="A242" s="1038" t="s">
        <v>132</v>
      </c>
      <c r="B242" s="62" t="s">
        <v>89</v>
      </c>
      <c r="C242" s="564"/>
      <c r="D242" s="564"/>
      <c r="E242" s="564"/>
      <c r="F242" s="564"/>
      <c r="G242" s="102">
        <f t="shared" ref="G242:L242" si="82">G246</f>
        <v>0</v>
      </c>
      <c r="H242" s="102"/>
      <c r="I242" s="102"/>
      <c r="J242" s="102"/>
      <c r="K242" s="102"/>
      <c r="L242" s="102">
        <f t="shared" si="82"/>
        <v>0</v>
      </c>
      <c r="M242" s="499"/>
      <c r="N242" s="573"/>
      <c r="O242" s="564"/>
    </row>
    <row r="243" spans="1:15" ht="24">
      <c r="A243" s="1038"/>
      <c r="B243" s="62" t="s">
        <v>237</v>
      </c>
      <c r="C243" s="564"/>
      <c r="D243" s="564"/>
      <c r="E243" s="564"/>
      <c r="F243" s="564"/>
      <c r="G243" s="102">
        <f>G247</f>
        <v>17411</v>
      </c>
      <c r="H243" s="102">
        <f t="shared" ref="H243:K243" si="83">H247</f>
        <v>0</v>
      </c>
      <c r="I243" s="102">
        <f t="shared" si="83"/>
        <v>0</v>
      </c>
      <c r="J243" s="102">
        <f t="shared" si="83"/>
        <v>0</v>
      </c>
      <c r="K243" s="102">
        <f t="shared" si="83"/>
        <v>17411</v>
      </c>
      <c r="L243" s="102">
        <f>L244+L245</f>
        <v>10000</v>
      </c>
      <c r="M243" s="499"/>
      <c r="N243" s="573"/>
      <c r="O243" s="564"/>
    </row>
    <row r="244" spans="1:15" ht="30" customHeight="1">
      <c r="A244" s="1038"/>
      <c r="B244" s="62" t="s">
        <v>10</v>
      </c>
      <c r="C244" s="564"/>
      <c r="D244" s="564"/>
      <c r="E244" s="564"/>
      <c r="F244" s="564"/>
      <c r="G244" s="102">
        <f>G248</f>
        <v>17411</v>
      </c>
      <c r="H244" s="102">
        <f t="shared" ref="H244:K244" si="84">H248</f>
        <v>0</v>
      </c>
      <c r="I244" s="102">
        <f t="shared" si="84"/>
        <v>0</v>
      </c>
      <c r="J244" s="102">
        <f t="shared" si="84"/>
        <v>0</v>
      </c>
      <c r="K244" s="102">
        <f t="shared" si="84"/>
        <v>17411</v>
      </c>
      <c r="L244" s="102">
        <f>L248</f>
        <v>10000</v>
      </c>
      <c r="M244" s="499"/>
      <c r="N244" s="573"/>
      <c r="O244" s="564"/>
    </row>
    <row r="245" spans="1:15" ht="30" customHeight="1">
      <c r="A245" s="1038"/>
      <c r="B245" s="62" t="s">
        <v>443</v>
      </c>
      <c r="C245" s="564"/>
      <c r="D245" s="564"/>
      <c r="E245" s="564"/>
      <c r="F245" s="564"/>
      <c r="G245" s="102">
        <f t="shared" ref="G245" si="85">G249</f>
        <v>0</v>
      </c>
      <c r="H245" s="102"/>
      <c r="I245" s="102"/>
      <c r="J245" s="102"/>
      <c r="K245" s="102"/>
      <c r="L245" s="102"/>
      <c r="M245" s="499"/>
      <c r="N245" s="573"/>
      <c r="O245" s="564"/>
    </row>
    <row r="246" spans="1:15" ht="24" customHeight="1">
      <c r="A246" s="1086" t="s">
        <v>551</v>
      </c>
      <c r="B246" s="564" t="s">
        <v>89</v>
      </c>
      <c r="C246" s="564"/>
      <c r="D246" s="564"/>
      <c r="E246" s="564"/>
      <c r="F246" s="564"/>
      <c r="G246" s="103">
        <v>0</v>
      </c>
      <c r="H246" s="103"/>
      <c r="I246" s="103"/>
      <c r="J246" s="103"/>
      <c r="K246" s="103"/>
      <c r="L246" s="103"/>
      <c r="M246" s="679"/>
      <c r="N246" s="573"/>
      <c r="O246" s="1037" t="s">
        <v>848</v>
      </c>
    </row>
    <row r="247" spans="1:15" ht="24">
      <c r="A247" s="1086"/>
      <c r="B247" s="564" t="s">
        <v>237</v>
      </c>
      <c r="C247" s="564"/>
      <c r="D247" s="564"/>
      <c r="E247" s="564"/>
      <c r="F247" s="564"/>
      <c r="G247" s="103">
        <f>K247</f>
        <v>17411</v>
      </c>
      <c r="H247" s="103"/>
      <c r="I247" s="103"/>
      <c r="J247" s="103"/>
      <c r="K247" s="103">
        <f>K248</f>
        <v>17411</v>
      </c>
      <c r="L247" s="103">
        <f>L248+L249</f>
        <v>10000</v>
      </c>
      <c r="M247" s="679"/>
      <c r="N247" s="573"/>
      <c r="O247" s="1037"/>
    </row>
    <row r="248" spans="1:15" ht="29.25" customHeight="1">
      <c r="A248" s="1086"/>
      <c r="B248" s="564" t="s">
        <v>10</v>
      </c>
      <c r="C248" s="564"/>
      <c r="D248" s="564"/>
      <c r="E248" s="564"/>
      <c r="F248" s="564"/>
      <c r="G248" s="103">
        <f>K248</f>
        <v>17411</v>
      </c>
      <c r="H248" s="103"/>
      <c r="I248" s="103"/>
      <c r="J248" s="103"/>
      <c r="K248" s="103">
        <v>17411</v>
      </c>
      <c r="L248" s="103">
        <v>10000</v>
      </c>
      <c r="M248" s="679"/>
      <c r="N248" s="573"/>
      <c r="O248" s="1037"/>
    </row>
    <row r="249" spans="1:15" ht="33" customHeight="1">
      <c r="A249" s="1086"/>
      <c r="B249" s="564" t="s">
        <v>443</v>
      </c>
      <c r="C249" s="564"/>
      <c r="D249" s="564"/>
      <c r="E249" s="564"/>
      <c r="F249" s="564"/>
      <c r="G249" s="103">
        <v>0</v>
      </c>
      <c r="H249" s="103"/>
      <c r="I249" s="103"/>
      <c r="J249" s="103"/>
      <c r="K249" s="103"/>
      <c r="L249" s="103">
        <v>0</v>
      </c>
      <c r="M249" s="679"/>
      <c r="N249" s="573"/>
      <c r="O249" s="1037"/>
    </row>
    <row r="250" spans="1:15" hidden="1">
      <c r="A250" s="1092" t="s">
        <v>292</v>
      </c>
      <c r="B250" s="564" t="s">
        <v>89</v>
      </c>
      <c r="C250" s="564"/>
      <c r="D250" s="564"/>
      <c r="E250" s="564"/>
      <c r="F250" s="564"/>
      <c r="G250" s="103"/>
      <c r="H250" s="103"/>
      <c r="I250" s="103"/>
      <c r="J250" s="103"/>
      <c r="K250" s="103"/>
      <c r="L250" s="103"/>
      <c r="M250" s="679"/>
      <c r="N250" s="573"/>
      <c r="O250" s="1037" t="s">
        <v>516</v>
      </c>
    </row>
    <row r="251" spans="1:15" ht="24" hidden="1">
      <c r="A251" s="1093"/>
      <c r="B251" s="564" t="s">
        <v>237</v>
      </c>
      <c r="C251" s="564"/>
      <c r="D251" s="564"/>
      <c r="E251" s="564"/>
      <c r="F251" s="564"/>
      <c r="G251" s="103"/>
      <c r="H251" s="103"/>
      <c r="I251" s="103"/>
      <c r="J251" s="103"/>
      <c r="K251" s="103"/>
      <c r="L251" s="103"/>
      <c r="M251" s="679"/>
      <c r="N251" s="573"/>
      <c r="O251" s="1037"/>
    </row>
    <row r="252" spans="1:15" hidden="1">
      <c r="A252" s="1093"/>
      <c r="B252" s="564" t="s">
        <v>10</v>
      </c>
      <c r="C252" s="564"/>
      <c r="D252" s="564"/>
      <c r="E252" s="564"/>
      <c r="F252" s="564"/>
      <c r="G252" s="103"/>
      <c r="H252" s="103"/>
      <c r="I252" s="103"/>
      <c r="J252" s="103"/>
      <c r="K252" s="103"/>
      <c r="L252" s="103"/>
      <c r="M252" s="679"/>
      <c r="N252" s="573"/>
      <c r="O252" s="1037"/>
    </row>
    <row r="253" spans="1:15" hidden="1">
      <c r="A253" s="1094"/>
      <c r="B253" s="564" t="s">
        <v>443</v>
      </c>
      <c r="C253" s="564"/>
      <c r="D253" s="564"/>
      <c r="E253" s="564"/>
      <c r="F253" s="564"/>
      <c r="G253" s="103"/>
      <c r="H253" s="103"/>
      <c r="I253" s="103"/>
      <c r="J253" s="103"/>
      <c r="K253" s="103"/>
      <c r="L253" s="103"/>
      <c r="M253" s="679"/>
      <c r="N253" s="573"/>
      <c r="O253" s="1037"/>
    </row>
    <row r="254" spans="1:15" ht="21" customHeight="1">
      <c r="A254" s="985" t="s">
        <v>161</v>
      </c>
      <c r="B254" s="62" t="s">
        <v>89</v>
      </c>
      <c r="C254" s="564"/>
      <c r="D254" s="564"/>
      <c r="E254" s="564"/>
      <c r="F254" s="564"/>
      <c r="G254" s="102">
        <f t="shared" ref="G254:M254" si="86">G258</f>
        <v>0</v>
      </c>
      <c r="H254" s="102"/>
      <c r="I254" s="102"/>
      <c r="J254" s="102"/>
      <c r="K254" s="102"/>
      <c r="L254" s="102">
        <f t="shared" si="86"/>
        <v>0</v>
      </c>
      <c r="M254" s="499">
        <f t="shared" si="86"/>
        <v>0</v>
      </c>
      <c r="N254" s="573"/>
      <c r="O254" s="564"/>
    </row>
    <row r="255" spans="1:15" ht="23.25" customHeight="1">
      <c r="A255" s="986"/>
      <c r="B255" s="62" t="s">
        <v>237</v>
      </c>
      <c r="C255" s="564"/>
      <c r="D255" s="564"/>
      <c r="E255" s="564"/>
      <c r="F255" s="564"/>
      <c r="G255" s="102">
        <f t="shared" ref="G255:M255" si="87">G256+G257</f>
        <v>450</v>
      </c>
      <c r="H255" s="102">
        <f t="shared" si="87"/>
        <v>0</v>
      </c>
      <c r="I255" s="102">
        <f t="shared" si="87"/>
        <v>0</v>
      </c>
      <c r="J255" s="102">
        <f t="shared" si="87"/>
        <v>0</v>
      </c>
      <c r="K255" s="102">
        <f t="shared" si="87"/>
        <v>450</v>
      </c>
      <c r="L255" s="102">
        <f t="shared" si="87"/>
        <v>100941</v>
      </c>
      <c r="M255" s="499">
        <f t="shared" si="87"/>
        <v>600000</v>
      </c>
      <c r="N255" s="573"/>
      <c r="O255" s="564"/>
    </row>
    <row r="256" spans="1:15" ht="24" customHeight="1">
      <c r="A256" s="986"/>
      <c r="B256" s="62" t="s">
        <v>10</v>
      </c>
      <c r="C256" s="564"/>
      <c r="D256" s="564"/>
      <c r="E256" s="564"/>
      <c r="F256" s="564"/>
      <c r="G256" s="102">
        <f t="shared" ref="G256:M257" si="88">G260</f>
        <v>450</v>
      </c>
      <c r="H256" s="102">
        <f t="shared" si="88"/>
        <v>0</v>
      </c>
      <c r="I256" s="102">
        <f t="shared" si="88"/>
        <v>0</v>
      </c>
      <c r="J256" s="102">
        <f t="shared" si="88"/>
        <v>0</v>
      </c>
      <c r="K256" s="102">
        <f t="shared" si="88"/>
        <v>450</v>
      </c>
      <c r="L256" s="102">
        <f t="shared" si="88"/>
        <v>100941</v>
      </c>
      <c r="M256" s="499">
        <f t="shared" si="88"/>
        <v>600000</v>
      </c>
      <c r="N256" s="573"/>
      <c r="O256" s="564"/>
    </row>
    <row r="257" spans="1:61" ht="27" customHeight="1">
      <c r="A257" s="987"/>
      <c r="B257" s="62" t="s">
        <v>443</v>
      </c>
      <c r="C257" s="564"/>
      <c r="D257" s="564"/>
      <c r="E257" s="564"/>
      <c r="F257" s="564"/>
      <c r="G257" s="102">
        <f t="shared" si="88"/>
        <v>0</v>
      </c>
      <c r="H257" s="102"/>
      <c r="I257" s="102"/>
      <c r="J257" s="102"/>
      <c r="K257" s="102"/>
      <c r="L257" s="102">
        <f t="shared" si="88"/>
        <v>0</v>
      </c>
      <c r="M257" s="499"/>
      <c r="N257" s="573"/>
      <c r="O257" s="564"/>
    </row>
    <row r="258" spans="1:61" ht="21.75" customHeight="1">
      <c r="A258" s="1086" t="s">
        <v>241</v>
      </c>
      <c r="B258" s="564" t="s">
        <v>89</v>
      </c>
      <c r="C258" s="564"/>
      <c r="D258" s="564"/>
      <c r="E258" s="564"/>
      <c r="F258" s="564"/>
      <c r="G258" s="103"/>
      <c r="H258" s="103"/>
      <c r="I258" s="103"/>
      <c r="J258" s="103"/>
      <c r="K258" s="103"/>
      <c r="L258" s="103"/>
      <c r="M258" s="679"/>
      <c r="N258" s="573"/>
      <c r="O258" s="1037" t="s">
        <v>938</v>
      </c>
    </row>
    <row r="259" spans="1:61" s="45" customFormat="1" ht="26.25" customHeight="1">
      <c r="A259" s="1086"/>
      <c r="B259" s="564" t="s">
        <v>237</v>
      </c>
      <c r="C259" s="564"/>
      <c r="D259" s="564"/>
      <c r="E259" s="564"/>
      <c r="F259" s="564"/>
      <c r="G259" s="103">
        <f t="shared" ref="G259:L259" si="89">G260+G261</f>
        <v>450</v>
      </c>
      <c r="H259" s="103"/>
      <c r="I259" s="103"/>
      <c r="J259" s="103"/>
      <c r="K259" s="103">
        <f>K260</f>
        <v>450</v>
      </c>
      <c r="L259" s="103">
        <f t="shared" si="89"/>
        <v>100941</v>
      </c>
      <c r="M259" s="679">
        <f>M260</f>
        <v>600000</v>
      </c>
      <c r="N259" s="573"/>
      <c r="O259" s="1037"/>
      <c r="AJ259" s="113"/>
      <c r="AK259" s="113"/>
      <c r="AL259" s="113"/>
      <c r="AM259" s="113"/>
      <c r="AN259" s="113"/>
      <c r="AO259" s="113"/>
      <c r="AP259" s="113"/>
      <c r="AQ259" s="113"/>
      <c r="AR259" s="113"/>
      <c r="AS259" s="113"/>
      <c r="AT259" s="113"/>
      <c r="AU259" s="113"/>
      <c r="AV259" s="113"/>
      <c r="AW259" s="113"/>
      <c r="AX259" s="113"/>
      <c r="AY259" s="113"/>
      <c r="AZ259" s="113"/>
      <c r="BA259" s="113"/>
      <c r="BB259" s="113"/>
      <c r="BC259" s="113"/>
      <c r="BD259" s="113"/>
      <c r="BE259" s="113"/>
      <c r="BF259" s="113"/>
      <c r="BG259" s="113"/>
      <c r="BH259" s="113"/>
      <c r="BI259" s="113"/>
    </row>
    <row r="260" spans="1:61" s="45" customFormat="1" ht="26.25" customHeight="1">
      <c r="A260" s="1086"/>
      <c r="B260" s="564" t="s">
        <v>10</v>
      </c>
      <c r="C260" s="564"/>
      <c r="D260" s="564"/>
      <c r="E260" s="564"/>
      <c r="F260" s="564"/>
      <c r="G260" s="103">
        <f>K260</f>
        <v>450</v>
      </c>
      <c r="H260" s="103"/>
      <c r="I260" s="103"/>
      <c r="J260" s="103"/>
      <c r="K260" s="103">
        <v>450</v>
      </c>
      <c r="L260" s="103">
        <v>100941</v>
      </c>
      <c r="M260" s="679">
        <v>600000</v>
      </c>
      <c r="N260" s="573"/>
      <c r="O260" s="1037"/>
      <c r="AJ260" s="113"/>
      <c r="AK260" s="113"/>
      <c r="AL260" s="113"/>
      <c r="AM260" s="113"/>
      <c r="AN260" s="113"/>
      <c r="AO260" s="113"/>
      <c r="AP260" s="113"/>
      <c r="AQ260" s="113"/>
      <c r="AR260" s="113"/>
      <c r="AS260" s="113"/>
      <c r="AT260" s="113"/>
      <c r="AU260" s="113"/>
      <c r="AV260" s="113"/>
      <c r="AW260" s="113"/>
      <c r="AX260" s="113"/>
      <c r="AY260" s="113"/>
      <c r="AZ260" s="113"/>
      <c r="BA260" s="113"/>
      <c r="BB260" s="113"/>
      <c r="BC260" s="113"/>
      <c r="BD260" s="113"/>
      <c r="BE260" s="113"/>
      <c r="BF260" s="113"/>
      <c r="BG260" s="113"/>
      <c r="BH260" s="113"/>
      <c r="BI260" s="113"/>
    </row>
    <row r="261" spans="1:61" s="45" customFormat="1" ht="19.5" customHeight="1">
      <c r="A261" s="1086"/>
      <c r="B261" s="564" t="s">
        <v>443</v>
      </c>
      <c r="C261" s="564"/>
      <c r="D261" s="564"/>
      <c r="E261" s="564"/>
      <c r="F261" s="564"/>
      <c r="G261" s="103"/>
      <c r="H261" s="103"/>
      <c r="I261" s="103"/>
      <c r="J261" s="103"/>
      <c r="K261" s="103"/>
      <c r="L261" s="103"/>
      <c r="M261" s="679"/>
      <c r="N261" s="573"/>
      <c r="O261" s="1037"/>
      <c r="AJ261" s="113"/>
      <c r="AK261" s="113"/>
      <c r="AL261" s="113"/>
      <c r="AM261" s="113"/>
      <c r="AN261" s="113"/>
      <c r="AO261" s="113"/>
      <c r="AP261" s="113"/>
      <c r="AQ261" s="113"/>
      <c r="AR261" s="113"/>
      <c r="AS261" s="113"/>
      <c r="AT261" s="113"/>
      <c r="AU261" s="113"/>
      <c r="AV261" s="113"/>
      <c r="AW261" s="113"/>
      <c r="AX261" s="113"/>
      <c r="AY261" s="113"/>
      <c r="AZ261" s="113"/>
      <c r="BA261" s="113"/>
      <c r="BB261" s="113"/>
      <c r="BC261" s="113"/>
      <c r="BD261" s="113"/>
      <c r="BE261" s="113"/>
      <c r="BF261" s="113"/>
      <c r="BG261" s="113"/>
      <c r="BH261" s="113"/>
      <c r="BI261" s="113"/>
    </row>
    <row r="262" spans="1:61" s="45" customFormat="1" ht="21.75" customHeight="1">
      <c r="A262" s="1067" t="s">
        <v>103</v>
      </c>
      <c r="B262" s="62" t="s">
        <v>89</v>
      </c>
      <c r="C262" s="62"/>
      <c r="D262" s="62"/>
      <c r="E262" s="62"/>
      <c r="F262" s="62"/>
      <c r="G262" s="102">
        <f t="shared" ref="G262:L262" si="90">G272+G277+G281+G285+G293+G297+G301+G305+G310+G314+G326</f>
        <v>0</v>
      </c>
      <c r="H262" s="102">
        <f t="shared" si="90"/>
        <v>0</v>
      </c>
      <c r="I262" s="102">
        <f t="shared" si="90"/>
        <v>0</v>
      </c>
      <c r="J262" s="102">
        <f t="shared" si="90"/>
        <v>0</v>
      </c>
      <c r="K262" s="102">
        <f t="shared" si="90"/>
        <v>0</v>
      </c>
      <c r="L262" s="102">
        <f t="shared" si="90"/>
        <v>0</v>
      </c>
      <c r="M262" s="499">
        <f>M272+M277+M281+M285+M293+M297+M301+M305+M310+M314+M326+M289</f>
        <v>0</v>
      </c>
      <c r="N262" s="573"/>
      <c r="O262" s="62"/>
      <c r="AJ262" s="113"/>
      <c r="AK262" s="113"/>
      <c r="AL262" s="113"/>
      <c r="AM262" s="113"/>
      <c r="AN262" s="113"/>
      <c r="AO262" s="113"/>
      <c r="AP262" s="113"/>
      <c r="AQ262" s="113"/>
      <c r="AR262" s="113"/>
      <c r="AS262" s="113"/>
      <c r="AT262" s="113"/>
      <c r="AU262" s="113"/>
      <c r="AV262" s="113"/>
      <c r="AW262" s="113"/>
      <c r="AX262" s="113"/>
      <c r="AY262" s="113"/>
      <c r="AZ262" s="113"/>
      <c r="BA262" s="113"/>
      <c r="BB262" s="113"/>
      <c r="BC262" s="113"/>
      <c r="BD262" s="113"/>
      <c r="BE262" s="113"/>
      <c r="BF262" s="113"/>
      <c r="BG262" s="113"/>
      <c r="BH262" s="113"/>
      <c r="BI262" s="113"/>
    </row>
    <row r="263" spans="1:61" ht="32.25" customHeight="1">
      <c r="A263" s="1068"/>
      <c r="B263" s="62" t="s">
        <v>237</v>
      </c>
      <c r="C263" s="62"/>
      <c r="D263" s="62"/>
      <c r="E263" s="62"/>
      <c r="F263" s="62"/>
      <c r="G263" s="102">
        <f>G264+G267+G266</f>
        <v>344776.8</v>
      </c>
      <c r="H263" s="102">
        <f t="shared" ref="H263:K263" si="91">H264+H267+H266</f>
        <v>0</v>
      </c>
      <c r="I263" s="102">
        <f t="shared" si="91"/>
        <v>0</v>
      </c>
      <c r="J263" s="102">
        <f t="shared" si="91"/>
        <v>0</v>
      </c>
      <c r="K263" s="102">
        <f t="shared" si="91"/>
        <v>344776.8</v>
      </c>
      <c r="L263" s="102">
        <f t="shared" ref="L263:M263" si="92">L264+L267</f>
        <v>180313.2</v>
      </c>
      <c r="M263" s="499">
        <f t="shared" si="92"/>
        <v>180000</v>
      </c>
      <c r="N263" s="573"/>
      <c r="O263" s="62"/>
    </row>
    <row r="264" spans="1:61" ht="27" customHeight="1">
      <c r="A264" s="1068"/>
      <c r="B264" s="62" t="s">
        <v>10</v>
      </c>
      <c r="C264" s="62"/>
      <c r="D264" s="62"/>
      <c r="E264" s="62"/>
      <c r="F264" s="62"/>
      <c r="G264" s="102">
        <f>G270+G274+G279+G283+G287+G299+G312+G316+G320+G324+G328</f>
        <v>344776.8</v>
      </c>
      <c r="H264" s="102">
        <f t="shared" ref="H264:M264" si="93">H270+H274+H279+H283+H287+H299+H312+H316+H320+H324+H328</f>
        <v>0</v>
      </c>
      <c r="I264" s="102">
        <f t="shared" si="93"/>
        <v>0</v>
      </c>
      <c r="J264" s="102">
        <f t="shared" si="93"/>
        <v>0</v>
      </c>
      <c r="K264" s="102">
        <f t="shared" si="93"/>
        <v>344776.8</v>
      </c>
      <c r="L264" s="102">
        <f t="shared" si="93"/>
        <v>180313.2</v>
      </c>
      <c r="M264" s="102">
        <f t="shared" si="93"/>
        <v>180000</v>
      </c>
      <c r="N264" s="573"/>
      <c r="O264" s="62"/>
    </row>
    <row r="265" spans="1:61" ht="27" customHeight="1">
      <c r="A265" s="1068"/>
      <c r="B265" s="62" t="s">
        <v>443</v>
      </c>
      <c r="C265" s="62"/>
      <c r="D265" s="62"/>
      <c r="E265" s="62"/>
      <c r="F265" s="62"/>
      <c r="G265" s="102">
        <f>G275+G280+G288+G292+G300+G304+G313+G317+G329</f>
        <v>0</v>
      </c>
      <c r="H265" s="102"/>
      <c r="I265" s="102"/>
      <c r="J265" s="102"/>
      <c r="K265" s="102"/>
      <c r="L265" s="102">
        <f>L275+L280+L288+L292+L300+L304+L313+L317+L329</f>
        <v>0</v>
      </c>
      <c r="M265" s="499"/>
      <c r="N265" s="573"/>
      <c r="O265" s="62"/>
    </row>
    <row r="266" spans="1:61" ht="27" hidden="1" customHeight="1">
      <c r="A266" s="1068"/>
      <c r="B266" s="62" t="s">
        <v>462</v>
      </c>
      <c r="C266" s="62"/>
      <c r="D266" s="62"/>
      <c r="E266" s="62"/>
      <c r="F266" s="62"/>
      <c r="G266" s="102">
        <f>G307</f>
        <v>0</v>
      </c>
      <c r="H266" s="102">
        <f t="shared" ref="H266:K266" si="94">H307</f>
        <v>0</v>
      </c>
      <c r="I266" s="102">
        <f t="shared" si="94"/>
        <v>0</v>
      </c>
      <c r="J266" s="102">
        <f t="shared" si="94"/>
        <v>0</v>
      </c>
      <c r="K266" s="102">
        <f t="shared" si="94"/>
        <v>0</v>
      </c>
      <c r="L266" s="102"/>
      <c r="M266" s="499"/>
      <c r="N266" s="573"/>
      <c r="O266" s="62"/>
    </row>
    <row r="267" spans="1:61" ht="27" hidden="1" customHeight="1">
      <c r="A267" s="1069"/>
      <c r="B267" s="62" t="s">
        <v>443</v>
      </c>
      <c r="C267" s="62"/>
      <c r="D267" s="62"/>
      <c r="E267" s="62"/>
      <c r="F267" s="62"/>
      <c r="G267" s="102">
        <f>G271+G276</f>
        <v>0</v>
      </c>
      <c r="H267" s="102">
        <f>H271+H276</f>
        <v>0</v>
      </c>
      <c r="I267" s="102">
        <f>I271+I276</f>
        <v>0</v>
      </c>
      <c r="J267" s="102">
        <f>J271+J276</f>
        <v>0</v>
      </c>
      <c r="K267" s="102">
        <f>K271+K276</f>
        <v>0</v>
      </c>
      <c r="L267" s="102">
        <f>L271+L276+L296</f>
        <v>0</v>
      </c>
      <c r="M267" s="499">
        <f>M271+M276+M296</f>
        <v>0</v>
      </c>
      <c r="N267" s="573"/>
      <c r="O267" s="62"/>
    </row>
    <row r="268" spans="1:61" ht="27" customHeight="1">
      <c r="A268" s="1028" t="s">
        <v>489</v>
      </c>
      <c r="B268" s="564" t="s">
        <v>89</v>
      </c>
      <c r="C268" s="564">
        <v>176</v>
      </c>
      <c r="D268" s="564" t="s">
        <v>15</v>
      </c>
      <c r="E268" s="564">
        <v>6100404</v>
      </c>
      <c r="F268" s="564">
        <v>414</v>
      </c>
      <c r="G268" s="103">
        <v>0</v>
      </c>
      <c r="H268" s="103"/>
      <c r="I268" s="103"/>
      <c r="J268" s="103"/>
      <c r="K268" s="103"/>
      <c r="L268" s="103"/>
      <c r="M268" s="679"/>
      <c r="N268" s="573"/>
      <c r="O268" s="1037" t="s">
        <v>848</v>
      </c>
      <c r="P268" s="48"/>
      <c r="V268" s="44">
        <v>24.7</v>
      </c>
    </row>
    <row r="269" spans="1:61" ht="27" customHeight="1">
      <c r="A269" s="1036"/>
      <c r="B269" s="564" t="s">
        <v>237</v>
      </c>
      <c r="C269" s="564"/>
      <c r="D269" s="564"/>
      <c r="E269" s="564"/>
      <c r="F269" s="564"/>
      <c r="G269" s="103">
        <f>G270+G271</f>
        <v>76393.7</v>
      </c>
      <c r="H269" s="103">
        <f t="shared" ref="H269:M269" si="95">H270+H271</f>
        <v>0</v>
      </c>
      <c r="I269" s="103">
        <f t="shared" si="95"/>
        <v>0</v>
      </c>
      <c r="J269" s="103">
        <f t="shared" si="95"/>
        <v>0</v>
      </c>
      <c r="K269" s="103">
        <f t="shared" si="95"/>
        <v>76393.7</v>
      </c>
      <c r="L269" s="103">
        <f t="shared" si="95"/>
        <v>10770.4</v>
      </c>
      <c r="M269" s="679">
        <f t="shared" si="95"/>
        <v>0</v>
      </c>
      <c r="N269" s="573"/>
      <c r="O269" s="1037"/>
      <c r="P269" s="122"/>
    </row>
    <row r="270" spans="1:61" ht="27" customHeight="1">
      <c r="A270" s="1036"/>
      <c r="B270" s="564" t="s">
        <v>10</v>
      </c>
      <c r="C270" s="564"/>
      <c r="D270" s="564"/>
      <c r="E270" s="564"/>
      <c r="F270" s="564"/>
      <c r="G270" s="103">
        <f>I270+J270+K270</f>
        <v>76393.7</v>
      </c>
      <c r="H270" s="103"/>
      <c r="I270" s="103"/>
      <c r="J270" s="103"/>
      <c r="K270" s="103">
        <v>76393.7</v>
      </c>
      <c r="L270" s="103">
        <v>10770.4</v>
      </c>
      <c r="M270" s="679">
        <v>0</v>
      </c>
      <c r="N270" s="573"/>
      <c r="O270" s="1037"/>
    </row>
    <row r="271" spans="1:61" ht="27" customHeight="1">
      <c r="A271" s="1029"/>
      <c r="B271" s="564" t="s">
        <v>443</v>
      </c>
      <c r="C271" s="564"/>
      <c r="D271" s="564"/>
      <c r="E271" s="564"/>
      <c r="F271" s="564"/>
      <c r="G271" s="103">
        <f>K271</f>
        <v>0</v>
      </c>
      <c r="H271" s="103"/>
      <c r="I271" s="103"/>
      <c r="J271" s="103"/>
      <c r="K271" s="103"/>
      <c r="L271" s="103"/>
      <c r="M271" s="679"/>
      <c r="N271" s="573"/>
      <c r="O271" s="1037"/>
    </row>
    <row r="272" spans="1:61" ht="27" customHeight="1">
      <c r="A272" s="1095" t="s">
        <v>306</v>
      </c>
      <c r="B272" s="564" t="s">
        <v>89</v>
      </c>
      <c r="C272" s="564">
        <v>176</v>
      </c>
      <c r="D272" s="564" t="s">
        <v>15</v>
      </c>
      <c r="E272" s="564">
        <v>6100404</v>
      </c>
      <c r="F272" s="564">
        <v>414</v>
      </c>
      <c r="G272" s="103"/>
      <c r="H272" s="103"/>
      <c r="I272" s="103"/>
      <c r="J272" s="103"/>
      <c r="K272" s="103"/>
      <c r="L272" s="103"/>
      <c r="M272" s="679">
        <v>0</v>
      </c>
      <c r="N272" s="573"/>
      <c r="O272" s="1037" t="s">
        <v>848</v>
      </c>
    </row>
    <row r="273" spans="1:29" ht="26.25" customHeight="1">
      <c r="A273" s="1095"/>
      <c r="B273" s="564" t="s">
        <v>237</v>
      </c>
      <c r="C273" s="564"/>
      <c r="D273" s="564"/>
      <c r="E273" s="564"/>
      <c r="F273" s="564"/>
      <c r="G273" s="103">
        <f>G274+G276+G275</f>
        <v>89466.6</v>
      </c>
      <c r="H273" s="103">
        <f>H274+H276+H275</f>
        <v>0</v>
      </c>
      <c r="I273" s="103">
        <f>I274+I276+I275</f>
        <v>0</v>
      </c>
      <c r="J273" s="103">
        <f>J274+J276+J275</f>
        <v>0</v>
      </c>
      <c r="K273" s="103">
        <f>K274+K276+K275</f>
        <v>89466.6</v>
      </c>
      <c r="L273" s="103">
        <f>L274+L276</f>
        <v>6365</v>
      </c>
      <c r="M273" s="679">
        <f>M274+M276</f>
        <v>0</v>
      </c>
      <c r="N273" s="573"/>
      <c r="O273" s="1037"/>
      <c r="P273" s="122"/>
    </row>
    <row r="274" spans="1:29" ht="21.75" customHeight="1">
      <c r="A274" s="1095"/>
      <c r="B274" s="564" t="s">
        <v>10</v>
      </c>
      <c r="C274" s="564"/>
      <c r="D274" s="564"/>
      <c r="E274" s="564"/>
      <c r="F274" s="564"/>
      <c r="G274" s="103">
        <f>J274+K274</f>
        <v>89466.6</v>
      </c>
      <c r="H274" s="103"/>
      <c r="I274" s="103"/>
      <c r="J274" s="103"/>
      <c r="K274" s="103">
        <v>89466.6</v>
      </c>
      <c r="L274" s="103">
        <v>6365</v>
      </c>
      <c r="M274" s="679"/>
      <c r="N274" s="573"/>
      <c r="O274" s="1037"/>
    </row>
    <row r="275" spans="1:29" ht="23.25" hidden="1" customHeight="1">
      <c r="A275" s="1095"/>
      <c r="B275" s="564" t="s">
        <v>443</v>
      </c>
      <c r="C275" s="564"/>
      <c r="D275" s="564"/>
      <c r="E275" s="564"/>
      <c r="F275" s="564"/>
      <c r="G275" s="103">
        <v>0</v>
      </c>
      <c r="H275" s="103"/>
      <c r="I275" s="103"/>
      <c r="J275" s="103"/>
      <c r="K275" s="103"/>
      <c r="L275" s="103"/>
      <c r="M275" s="693"/>
      <c r="N275" s="573"/>
      <c r="O275" s="1037"/>
    </row>
    <row r="276" spans="1:29" ht="22.5" customHeight="1">
      <c r="A276" s="1095"/>
      <c r="B276" s="564" t="s">
        <v>443</v>
      </c>
      <c r="C276" s="564"/>
      <c r="D276" s="564"/>
      <c r="E276" s="564"/>
      <c r="F276" s="564"/>
      <c r="G276" s="103">
        <f>K276</f>
        <v>0</v>
      </c>
      <c r="H276" s="103"/>
      <c r="I276" s="103"/>
      <c r="J276" s="103"/>
      <c r="K276" s="103"/>
      <c r="L276" s="103"/>
      <c r="M276" s="694"/>
      <c r="N276" s="573"/>
      <c r="O276" s="1037"/>
      <c r="Q276" s="48"/>
    </row>
    <row r="277" spans="1:29" ht="24.75" customHeight="1">
      <c r="A277" s="1090" t="s">
        <v>851</v>
      </c>
      <c r="B277" s="564" t="s">
        <v>89</v>
      </c>
      <c r="C277" s="564">
        <v>176</v>
      </c>
      <c r="D277" s="564" t="s">
        <v>15</v>
      </c>
      <c r="E277" s="564">
        <v>6100404</v>
      </c>
      <c r="F277" s="564">
        <v>414</v>
      </c>
      <c r="G277" s="103"/>
      <c r="H277" s="103"/>
      <c r="I277" s="103"/>
      <c r="J277" s="103"/>
      <c r="K277" s="103"/>
      <c r="L277" s="103"/>
      <c r="M277" s="679"/>
      <c r="N277" s="573"/>
      <c r="O277" s="1037" t="s">
        <v>914</v>
      </c>
    </row>
    <row r="278" spans="1:29" ht="24">
      <c r="A278" s="1090"/>
      <c r="B278" s="564" t="s">
        <v>237</v>
      </c>
      <c r="C278" s="564"/>
      <c r="D278" s="564"/>
      <c r="E278" s="564"/>
      <c r="F278" s="564"/>
      <c r="G278" s="103">
        <f t="shared" ref="G278:M278" si="96">G279+G280</f>
        <v>400</v>
      </c>
      <c r="H278" s="103"/>
      <c r="I278" s="103"/>
      <c r="J278" s="103"/>
      <c r="K278" s="103">
        <f>K279</f>
        <v>400</v>
      </c>
      <c r="L278" s="103">
        <f t="shared" si="96"/>
        <v>10000</v>
      </c>
      <c r="M278" s="679">
        <f t="shared" si="96"/>
        <v>0</v>
      </c>
      <c r="N278" s="573"/>
      <c r="O278" s="1037"/>
    </row>
    <row r="279" spans="1:29" ht="23.25" customHeight="1">
      <c r="A279" s="1090"/>
      <c r="B279" s="564" t="s">
        <v>10</v>
      </c>
      <c r="C279" s="564"/>
      <c r="D279" s="564"/>
      <c r="E279" s="564"/>
      <c r="F279" s="564"/>
      <c r="G279" s="103">
        <f>K279</f>
        <v>400</v>
      </c>
      <c r="H279" s="103"/>
      <c r="I279" s="103"/>
      <c r="J279" s="103"/>
      <c r="K279" s="103">
        <v>400</v>
      </c>
      <c r="L279" s="103">
        <v>10000</v>
      </c>
      <c r="M279" s="679"/>
      <c r="N279" s="573"/>
      <c r="O279" s="1037"/>
    </row>
    <row r="280" spans="1:29" ht="21" customHeight="1">
      <c r="A280" s="1090"/>
      <c r="B280" s="564" t="s">
        <v>443</v>
      </c>
      <c r="C280" s="564"/>
      <c r="D280" s="564"/>
      <c r="E280" s="564"/>
      <c r="F280" s="564"/>
      <c r="G280" s="103"/>
      <c r="H280" s="103"/>
      <c r="I280" s="103"/>
      <c r="J280" s="103"/>
      <c r="K280" s="103"/>
      <c r="L280" s="103"/>
      <c r="M280" s="679"/>
      <c r="N280" s="573"/>
      <c r="O280" s="1037"/>
    </row>
    <row r="281" spans="1:29" ht="20.25" customHeight="1">
      <c r="A281" s="1091" t="s">
        <v>853</v>
      </c>
      <c r="B281" s="564" t="s">
        <v>89</v>
      </c>
      <c r="C281" s="564">
        <v>176</v>
      </c>
      <c r="D281" s="564" t="s">
        <v>15</v>
      </c>
      <c r="E281" s="564">
        <v>6100404</v>
      </c>
      <c r="F281" s="564">
        <v>414</v>
      </c>
      <c r="G281" s="103">
        <f>K281</f>
        <v>0</v>
      </c>
      <c r="H281" s="103"/>
      <c r="I281" s="103"/>
      <c r="J281" s="103"/>
      <c r="K281" s="103"/>
      <c r="L281" s="103"/>
      <c r="M281" s="679"/>
      <c r="N281" s="573"/>
      <c r="O281" s="1037" t="s">
        <v>848</v>
      </c>
      <c r="AC281" s="44" t="s">
        <v>903</v>
      </c>
    </row>
    <row r="282" spans="1:29" ht="24">
      <c r="A282" s="1091"/>
      <c r="B282" s="564" t="s">
        <v>237</v>
      </c>
      <c r="C282" s="564"/>
      <c r="D282" s="564"/>
      <c r="E282" s="564"/>
      <c r="F282" s="564"/>
      <c r="G282" s="103">
        <f>G283+G284</f>
        <v>15000</v>
      </c>
      <c r="H282" s="103">
        <f t="shared" ref="H282:K282" si="97">H283+H284</f>
        <v>0</v>
      </c>
      <c r="I282" s="103">
        <f t="shared" si="97"/>
        <v>0</v>
      </c>
      <c r="J282" s="103">
        <f t="shared" si="97"/>
        <v>0</v>
      </c>
      <c r="K282" s="103">
        <f t="shared" si="97"/>
        <v>15000</v>
      </c>
      <c r="L282" s="103">
        <f>L283+L284</f>
        <v>34000</v>
      </c>
      <c r="M282" s="679">
        <f>M283</f>
        <v>80000</v>
      </c>
      <c r="N282" s="573"/>
      <c r="O282" s="1037"/>
    </row>
    <row r="283" spans="1:29" ht="22.5" customHeight="1">
      <c r="A283" s="1091"/>
      <c r="B283" s="564" t="s">
        <v>10</v>
      </c>
      <c r="C283" s="564"/>
      <c r="D283" s="564"/>
      <c r="E283" s="564"/>
      <c r="F283" s="564"/>
      <c r="G283" s="103">
        <f>I283+J283+K283</f>
        <v>15000</v>
      </c>
      <c r="H283" s="103"/>
      <c r="I283" s="103"/>
      <c r="J283" s="103"/>
      <c r="K283" s="103">
        <v>15000</v>
      </c>
      <c r="L283" s="103">
        <v>34000</v>
      </c>
      <c r="M283" s="679">
        <v>80000</v>
      </c>
      <c r="N283" s="573"/>
      <c r="O283" s="1037"/>
    </row>
    <row r="284" spans="1:29" ht="24.75" customHeight="1">
      <c r="A284" s="1091"/>
      <c r="B284" s="564" t="s">
        <v>443</v>
      </c>
      <c r="C284" s="564"/>
      <c r="D284" s="564"/>
      <c r="E284" s="564"/>
      <c r="F284" s="564"/>
      <c r="G284" s="103"/>
      <c r="H284" s="103"/>
      <c r="I284" s="103"/>
      <c r="J284" s="103"/>
      <c r="K284" s="103"/>
      <c r="L284" s="103">
        <v>0</v>
      </c>
      <c r="M284" s="679"/>
      <c r="N284" s="573"/>
      <c r="O284" s="1037"/>
    </row>
    <row r="285" spans="1:29" ht="20.25" customHeight="1">
      <c r="A285" s="1039" t="s">
        <v>531</v>
      </c>
      <c r="B285" s="564" t="s">
        <v>89</v>
      </c>
      <c r="C285" s="564"/>
      <c r="D285" s="564"/>
      <c r="E285" s="564"/>
      <c r="F285" s="564"/>
      <c r="G285" s="103">
        <f>K285</f>
        <v>0</v>
      </c>
      <c r="H285" s="103"/>
      <c r="I285" s="103"/>
      <c r="J285" s="103"/>
      <c r="K285" s="103"/>
      <c r="L285" s="103"/>
      <c r="M285" s="679"/>
      <c r="N285" s="573"/>
      <c r="O285" s="1037" t="s">
        <v>848</v>
      </c>
    </row>
    <row r="286" spans="1:29" ht="24">
      <c r="A286" s="1039"/>
      <c r="B286" s="564" t="s">
        <v>237</v>
      </c>
      <c r="C286" s="564"/>
      <c r="D286" s="564"/>
      <c r="E286" s="564"/>
      <c r="F286" s="564"/>
      <c r="G286" s="103">
        <f t="shared" ref="G286:G288" si="98">K286</f>
        <v>7674.8</v>
      </c>
      <c r="H286" s="103"/>
      <c r="I286" s="103"/>
      <c r="J286" s="103"/>
      <c r="K286" s="103">
        <f>K287</f>
        <v>7674.8</v>
      </c>
      <c r="L286" s="103">
        <f>L288</f>
        <v>0</v>
      </c>
      <c r="M286" s="679">
        <f>M288</f>
        <v>0</v>
      </c>
      <c r="N286" s="573"/>
      <c r="O286" s="1037"/>
    </row>
    <row r="287" spans="1:29" ht="24.75" customHeight="1">
      <c r="A287" s="1039"/>
      <c r="B287" s="564" t="s">
        <v>10</v>
      </c>
      <c r="C287" s="564"/>
      <c r="D287" s="564"/>
      <c r="E287" s="564"/>
      <c r="F287" s="564"/>
      <c r="G287" s="103">
        <f t="shared" si="98"/>
        <v>7674.8</v>
      </c>
      <c r="H287" s="103"/>
      <c r="I287" s="103"/>
      <c r="J287" s="103"/>
      <c r="K287" s="103">
        <v>7674.8</v>
      </c>
      <c r="L287" s="103"/>
      <c r="M287" s="679"/>
      <c r="N287" s="573"/>
      <c r="O287" s="1037"/>
    </row>
    <row r="288" spans="1:29" ht="26.25" customHeight="1">
      <c r="A288" s="1039"/>
      <c r="B288" s="564" t="s">
        <v>443</v>
      </c>
      <c r="C288" s="564"/>
      <c r="D288" s="564"/>
      <c r="E288" s="564"/>
      <c r="F288" s="564"/>
      <c r="G288" s="103">
        <f t="shared" si="98"/>
        <v>0</v>
      </c>
      <c r="H288" s="103"/>
      <c r="I288" s="103"/>
      <c r="J288" s="103"/>
      <c r="K288" s="103"/>
      <c r="L288" s="103"/>
      <c r="M288" s="679"/>
      <c r="N288" s="573"/>
      <c r="O288" s="1037"/>
    </row>
    <row r="289" spans="1:29" ht="24" hidden="1" customHeight="1">
      <c r="A289" s="1145"/>
      <c r="B289" s="564" t="s">
        <v>89</v>
      </c>
      <c r="C289" s="564"/>
      <c r="D289" s="564"/>
      <c r="E289" s="564"/>
      <c r="F289" s="564"/>
      <c r="G289" s="103"/>
      <c r="H289" s="103"/>
      <c r="I289" s="103"/>
      <c r="J289" s="103"/>
      <c r="K289" s="103"/>
      <c r="L289" s="103"/>
      <c r="M289" s="678"/>
      <c r="N289" s="573"/>
      <c r="O289" s="1037" t="s">
        <v>328</v>
      </c>
    </row>
    <row r="290" spans="1:29" ht="24" hidden="1">
      <c r="A290" s="1145"/>
      <c r="B290" s="564" t="s">
        <v>237</v>
      </c>
      <c r="C290" s="564"/>
      <c r="D290" s="564"/>
      <c r="E290" s="564"/>
      <c r="F290" s="564"/>
      <c r="G290" s="103"/>
      <c r="H290" s="103"/>
      <c r="I290" s="103"/>
      <c r="J290" s="103"/>
      <c r="K290" s="103"/>
      <c r="L290" s="103">
        <f>L292+L291</f>
        <v>0</v>
      </c>
      <c r="M290" s="679"/>
      <c r="N290" s="573"/>
      <c r="O290" s="1037"/>
    </row>
    <row r="291" spans="1:29" ht="22.5" hidden="1" customHeight="1">
      <c r="A291" s="1145"/>
      <c r="B291" s="564" t="s">
        <v>10</v>
      </c>
      <c r="C291" s="564"/>
      <c r="D291" s="564"/>
      <c r="E291" s="564"/>
      <c r="F291" s="564"/>
      <c r="G291" s="103"/>
      <c r="H291" s="103"/>
      <c r="I291" s="103"/>
      <c r="J291" s="103"/>
      <c r="K291" s="103"/>
      <c r="L291" s="103">
        <v>0</v>
      </c>
      <c r="M291" s="679"/>
      <c r="N291" s="573"/>
      <c r="O291" s="1037"/>
    </row>
    <row r="292" spans="1:29" ht="25.5" hidden="1" customHeight="1">
      <c r="A292" s="1145"/>
      <c r="B292" s="564" t="s">
        <v>443</v>
      </c>
      <c r="C292" s="564"/>
      <c r="D292" s="564"/>
      <c r="E292" s="564"/>
      <c r="F292" s="564"/>
      <c r="G292" s="103"/>
      <c r="H292" s="103"/>
      <c r="I292" s="103"/>
      <c r="J292" s="103"/>
      <c r="K292" s="103"/>
      <c r="L292" s="103">
        <v>0</v>
      </c>
      <c r="M292" s="679"/>
      <c r="N292" s="573"/>
      <c r="O292" s="1037"/>
    </row>
    <row r="293" spans="1:29" ht="25.5" hidden="1" customHeight="1">
      <c r="A293" s="1028" t="s">
        <v>531</v>
      </c>
      <c r="B293" s="564" t="s">
        <v>89</v>
      </c>
      <c r="C293" s="564"/>
      <c r="D293" s="564"/>
      <c r="E293" s="564"/>
      <c r="F293" s="564"/>
      <c r="G293" s="103"/>
      <c r="H293" s="103"/>
      <c r="I293" s="103"/>
      <c r="J293" s="103"/>
      <c r="K293" s="103"/>
      <c r="L293" s="114"/>
      <c r="M293" s="679"/>
      <c r="N293" s="573"/>
      <c r="O293" s="1037" t="s">
        <v>848</v>
      </c>
    </row>
    <row r="294" spans="1:29" ht="24" hidden="1">
      <c r="A294" s="1036"/>
      <c r="B294" s="564" t="s">
        <v>237</v>
      </c>
      <c r="C294" s="564"/>
      <c r="D294" s="564"/>
      <c r="E294" s="564"/>
      <c r="F294" s="564"/>
      <c r="G294" s="103">
        <f>K294</f>
        <v>0</v>
      </c>
      <c r="H294" s="103"/>
      <c r="I294" s="103"/>
      <c r="J294" s="103"/>
      <c r="K294" s="103">
        <f>K295</f>
        <v>0</v>
      </c>
      <c r="L294" s="103">
        <f>L295</f>
        <v>0</v>
      </c>
      <c r="M294" s="679">
        <f>M295+M296</f>
        <v>0</v>
      </c>
      <c r="N294" s="573"/>
      <c r="O294" s="1037"/>
    </row>
    <row r="295" spans="1:29" ht="23.25" hidden="1" customHeight="1">
      <c r="A295" s="1036"/>
      <c r="B295" s="564" t="s">
        <v>10</v>
      </c>
      <c r="C295" s="564"/>
      <c r="D295" s="564"/>
      <c r="E295" s="564"/>
      <c r="F295" s="564"/>
      <c r="G295" s="103">
        <f>K295</f>
        <v>0</v>
      </c>
      <c r="H295" s="103"/>
      <c r="I295" s="103"/>
      <c r="J295" s="103"/>
      <c r="K295" s="103"/>
      <c r="L295" s="103"/>
      <c r="M295" s="679"/>
      <c r="N295" s="573"/>
      <c r="O295" s="1037"/>
    </row>
    <row r="296" spans="1:29" ht="27.75" hidden="1" customHeight="1">
      <c r="A296" s="1029"/>
      <c r="B296" s="564" t="s">
        <v>443</v>
      </c>
      <c r="C296" s="564"/>
      <c r="D296" s="564"/>
      <c r="E296" s="564"/>
      <c r="F296" s="564"/>
      <c r="G296" s="103"/>
      <c r="H296" s="103"/>
      <c r="I296" s="103"/>
      <c r="J296" s="103"/>
      <c r="K296" s="103"/>
      <c r="L296" s="103"/>
      <c r="M296" s="679"/>
      <c r="N296" s="573"/>
      <c r="O296" s="1037"/>
    </row>
    <row r="297" spans="1:29" ht="25.5" customHeight="1">
      <c r="A297" s="1028" t="s">
        <v>855</v>
      </c>
      <c r="B297" s="564" t="s">
        <v>89</v>
      </c>
      <c r="C297" s="564">
        <v>176</v>
      </c>
      <c r="D297" s="564" t="s">
        <v>15</v>
      </c>
      <c r="E297" s="564">
        <v>6100404</v>
      </c>
      <c r="F297" s="564">
        <v>414</v>
      </c>
      <c r="G297" s="103">
        <f>K297</f>
        <v>0</v>
      </c>
      <c r="H297" s="103"/>
      <c r="I297" s="103"/>
      <c r="J297" s="103"/>
      <c r="K297" s="103"/>
      <c r="L297" s="103"/>
      <c r="M297" s="679"/>
      <c r="N297" s="573"/>
      <c r="O297" s="1037" t="s">
        <v>908</v>
      </c>
    </row>
    <row r="298" spans="1:29" ht="30">
      <c r="A298" s="1036"/>
      <c r="B298" s="564" t="s">
        <v>237</v>
      </c>
      <c r="C298" s="564"/>
      <c r="D298" s="564"/>
      <c r="E298" s="564"/>
      <c r="F298" s="564"/>
      <c r="G298" s="103">
        <f t="shared" ref="G298:G300" si="99">K298</f>
        <v>69713.5</v>
      </c>
      <c r="H298" s="103"/>
      <c r="I298" s="103"/>
      <c r="J298" s="103">
        <f>J299</f>
        <v>0</v>
      </c>
      <c r="K298" s="103">
        <f>K299</f>
        <v>69713.5</v>
      </c>
      <c r="L298" s="103">
        <f t="shared" ref="L298:M298" si="100">L299+L300</f>
        <v>114177.8</v>
      </c>
      <c r="M298" s="679">
        <f t="shared" si="100"/>
        <v>100000</v>
      </c>
      <c r="N298" s="573"/>
      <c r="O298" s="1037"/>
      <c r="AC298" s="44" t="s">
        <v>909</v>
      </c>
    </row>
    <row r="299" spans="1:29" ht="26.25" customHeight="1">
      <c r="A299" s="1036"/>
      <c r="B299" s="564" t="s">
        <v>10</v>
      </c>
      <c r="C299" s="564"/>
      <c r="D299" s="564"/>
      <c r="E299" s="564"/>
      <c r="F299" s="564"/>
      <c r="G299" s="103">
        <f t="shared" si="99"/>
        <v>69713.5</v>
      </c>
      <c r="H299" s="103"/>
      <c r="I299" s="103"/>
      <c r="J299" s="103"/>
      <c r="K299" s="103">
        <v>69713.5</v>
      </c>
      <c r="L299" s="103">
        <v>114177.8</v>
      </c>
      <c r="M299" s="679">
        <v>100000</v>
      </c>
      <c r="N299" s="573"/>
      <c r="O299" s="1037"/>
    </row>
    <row r="300" spans="1:29" ht="25.5" customHeight="1">
      <c r="A300" s="1029"/>
      <c r="B300" s="564" t="s">
        <v>443</v>
      </c>
      <c r="C300" s="564"/>
      <c r="D300" s="564"/>
      <c r="E300" s="564"/>
      <c r="F300" s="564"/>
      <c r="G300" s="103">
        <f t="shared" si="99"/>
        <v>0</v>
      </c>
      <c r="H300" s="103"/>
      <c r="I300" s="103"/>
      <c r="J300" s="103"/>
      <c r="K300" s="103"/>
      <c r="L300" s="103"/>
      <c r="M300" s="679"/>
      <c r="N300" s="573"/>
      <c r="O300" s="1037"/>
    </row>
    <row r="301" spans="1:29" hidden="1">
      <c r="A301" s="1144" t="s">
        <v>327</v>
      </c>
      <c r="B301" s="564" t="s">
        <v>89</v>
      </c>
      <c r="C301" s="564">
        <v>176</v>
      </c>
      <c r="D301" s="564" t="s">
        <v>15</v>
      </c>
      <c r="E301" s="564">
        <v>6100404</v>
      </c>
      <c r="F301" s="564">
        <v>414</v>
      </c>
      <c r="G301" s="103">
        <v>0</v>
      </c>
      <c r="H301" s="103"/>
      <c r="I301" s="103"/>
      <c r="J301" s="103"/>
      <c r="K301" s="103"/>
      <c r="L301" s="103"/>
      <c r="M301" s="678"/>
      <c r="N301" s="573"/>
      <c r="O301" s="1037" t="s">
        <v>439</v>
      </c>
    </row>
    <row r="302" spans="1:29" ht="24" hidden="1">
      <c r="A302" s="1144"/>
      <c r="B302" s="564" t="s">
        <v>237</v>
      </c>
      <c r="C302" s="564"/>
      <c r="D302" s="564"/>
      <c r="E302" s="564"/>
      <c r="F302" s="564"/>
      <c r="G302" s="103">
        <f t="shared" ref="G302:M302" si="101">G303+G304</f>
        <v>0</v>
      </c>
      <c r="H302" s="103"/>
      <c r="I302" s="103"/>
      <c r="J302" s="103"/>
      <c r="K302" s="103"/>
      <c r="L302" s="103">
        <f t="shared" si="101"/>
        <v>0</v>
      </c>
      <c r="M302" s="679">
        <f t="shared" si="101"/>
        <v>0</v>
      </c>
      <c r="N302" s="573"/>
      <c r="O302" s="1037"/>
      <c r="S302" s="46"/>
    </row>
    <row r="303" spans="1:29" hidden="1">
      <c r="A303" s="1144"/>
      <c r="B303" s="564" t="s">
        <v>10</v>
      </c>
      <c r="C303" s="564"/>
      <c r="D303" s="564"/>
      <c r="E303" s="564"/>
      <c r="F303" s="564"/>
      <c r="G303" s="103"/>
      <c r="H303" s="103"/>
      <c r="I303" s="103"/>
      <c r="J303" s="103"/>
      <c r="K303" s="103"/>
      <c r="L303" s="103"/>
      <c r="M303" s="679">
        <f>300000-300000</f>
        <v>0</v>
      </c>
      <c r="N303" s="573"/>
      <c r="O303" s="1037"/>
      <c r="P303" s="46"/>
    </row>
    <row r="304" spans="1:29" hidden="1">
      <c r="A304" s="1144"/>
      <c r="B304" s="564" t="s">
        <v>34</v>
      </c>
      <c r="C304" s="564"/>
      <c r="D304" s="564"/>
      <c r="E304" s="564"/>
      <c r="F304" s="564"/>
      <c r="G304" s="103"/>
      <c r="H304" s="103"/>
      <c r="I304" s="103"/>
      <c r="J304" s="103"/>
      <c r="K304" s="103"/>
      <c r="L304" s="103"/>
      <c r="M304" s="679"/>
      <c r="N304" s="573"/>
      <c r="O304" s="1037"/>
    </row>
    <row r="305" spans="1:61" hidden="1">
      <c r="A305" s="1144" t="s">
        <v>245</v>
      </c>
      <c r="B305" s="564" t="s">
        <v>89</v>
      </c>
      <c r="C305" s="564"/>
      <c r="D305" s="564"/>
      <c r="E305" s="564"/>
      <c r="F305" s="564"/>
      <c r="G305" s="103"/>
      <c r="H305" s="103"/>
      <c r="I305" s="103"/>
      <c r="J305" s="103"/>
      <c r="K305" s="103"/>
      <c r="L305" s="103"/>
      <c r="M305" s="679"/>
      <c r="N305" s="573"/>
      <c r="O305" s="1037" t="s">
        <v>305</v>
      </c>
    </row>
    <row r="306" spans="1:61" ht="24" hidden="1">
      <c r="A306" s="1144"/>
      <c r="B306" s="564" t="s">
        <v>237</v>
      </c>
      <c r="C306" s="564"/>
      <c r="D306" s="564"/>
      <c r="E306" s="564"/>
      <c r="F306" s="564"/>
      <c r="G306" s="103">
        <f>G308+G307</f>
        <v>0</v>
      </c>
      <c r="H306" s="103">
        <f t="shared" ref="H306:L306" si="102">H308+H309</f>
        <v>0</v>
      </c>
      <c r="I306" s="103">
        <f t="shared" si="102"/>
        <v>0</v>
      </c>
      <c r="J306" s="103">
        <f t="shared" si="102"/>
        <v>0</v>
      </c>
      <c r="K306" s="103">
        <f t="shared" si="102"/>
        <v>0</v>
      </c>
      <c r="L306" s="103">
        <f t="shared" si="102"/>
        <v>0</v>
      </c>
      <c r="M306" s="679"/>
      <c r="N306" s="573"/>
      <c r="O306" s="1037"/>
    </row>
    <row r="307" spans="1:61" hidden="1">
      <c r="A307" s="1144"/>
      <c r="B307" s="564" t="s">
        <v>461</v>
      </c>
      <c r="C307" s="564"/>
      <c r="D307" s="564"/>
      <c r="E307" s="564"/>
      <c r="F307" s="564"/>
      <c r="G307" s="103"/>
      <c r="H307" s="103"/>
      <c r="I307" s="103"/>
      <c r="J307" s="103"/>
      <c r="K307" s="103"/>
      <c r="L307" s="103"/>
      <c r="M307" s="679"/>
      <c r="N307" s="573"/>
      <c r="O307" s="1037"/>
    </row>
    <row r="308" spans="1:61" hidden="1">
      <c r="A308" s="1144"/>
      <c r="B308" s="564" t="s">
        <v>10</v>
      </c>
      <c r="C308" s="564"/>
      <c r="D308" s="564"/>
      <c r="E308" s="564"/>
      <c r="F308" s="564"/>
      <c r="G308" s="103">
        <f>H308+I308+J308+K308</f>
        <v>0</v>
      </c>
      <c r="H308" s="103"/>
      <c r="I308" s="103"/>
      <c r="J308" s="103"/>
      <c r="K308" s="103"/>
      <c r="L308" s="103"/>
      <c r="M308" s="679"/>
      <c r="N308" s="573"/>
      <c r="O308" s="1037"/>
    </row>
    <row r="309" spans="1:61" hidden="1">
      <c r="A309" s="1144"/>
      <c r="B309" s="564" t="s">
        <v>348</v>
      </c>
      <c r="C309" s="564"/>
      <c r="D309" s="564"/>
      <c r="E309" s="564"/>
      <c r="F309" s="564"/>
      <c r="G309" s="103">
        <v>0</v>
      </c>
      <c r="H309" s="103"/>
      <c r="I309" s="103"/>
      <c r="J309" s="103"/>
      <c r="K309" s="103"/>
      <c r="L309" s="103"/>
      <c r="M309" s="679"/>
      <c r="N309" s="573"/>
      <c r="O309" s="1037"/>
    </row>
    <row r="310" spans="1:61" ht="18" customHeight="1">
      <c r="A310" s="1028" t="s">
        <v>936</v>
      </c>
      <c r="B310" s="564" t="s">
        <v>89</v>
      </c>
      <c r="C310" s="564"/>
      <c r="D310" s="564"/>
      <c r="E310" s="564"/>
      <c r="F310" s="564"/>
      <c r="G310" s="103"/>
      <c r="H310" s="103"/>
      <c r="I310" s="103"/>
      <c r="J310" s="103"/>
      <c r="K310" s="103"/>
      <c r="L310" s="103"/>
      <c r="M310" s="679"/>
      <c r="N310" s="573"/>
      <c r="O310" s="1131" t="s">
        <v>915</v>
      </c>
    </row>
    <row r="311" spans="1:61" s="45" customFormat="1" ht="29.25" customHeight="1">
      <c r="A311" s="1036"/>
      <c r="B311" s="564" t="s">
        <v>237</v>
      </c>
      <c r="C311" s="564"/>
      <c r="D311" s="564"/>
      <c r="E311" s="564"/>
      <c r="F311" s="564"/>
      <c r="G311" s="103">
        <f>K311</f>
        <v>11090</v>
      </c>
      <c r="H311" s="103"/>
      <c r="I311" s="103"/>
      <c r="J311" s="103"/>
      <c r="K311" s="103">
        <f>K312</f>
        <v>11090</v>
      </c>
      <c r="L311" s="103">
        <f>L313</f>
        <v>0</v>
      </c>
      <c r="M311" s="679">
        <f>M313</f>
        <v>0</v>
      </c>
      <c r="N311" s="573"/>
      <c r="O311" s="1131"/>
      <c r="AJ311" s="113"/>
      <c r="AK311" s="113"/>
      <c r="AL311" s="113"/>
      <c r="AM311" s="113"/>
      <c r="AN311" s="113"/>
      <c r="AO311" s="113"/>
      <c r="AP311" s="113"/>
      <c r="AQ311" s="113"/>
      <c r="AR311" s="113"/>
      <c r="AS311" s="113"/>
      <c r="AT311" s="113"/>
      <c r="AU311" s="113"/>
      <c r="AV311" s="113"/>
      <c r="AW311" s="113"/>
      <c r="AX311" s="113"/>
      <c r="AY311" s="113"/>
      <c r="AZ311" s="113"/>
      <c r="BA311" s="113"/>
      <c r="BB311" s="113"/>
      <c r="BC311" s="113"/>
      <c r="BD311" s="113"/>
      <c r="BE311" s="113"/>
      <c r="BF311" s="113"/>
      <c r="BG311" s="113"/>
      <c r="BH311" s="113"/>
      <c r="BI311" s="113"/>
    </row>
    <row r="312" spans="1:61" s="45" customFormat="1" ht="23.25" customHeight="1">
      <c r="A312" s="1036"/>
      <c r="B312" s="564" t="s">
        <v>10</v>
      </c>
      <c r="C312" s="564"/>
      <c r="D312" s="564"/>
      <c r="E312" s="564"/>
      <c r="F312" s="564"/>
      <c r="G312" s="103">
        <f>K312</f>
        <v>11090</v>
      </c>
      <c r="H312" s="103"/>
      <c r="I312" s="103"/>
      <c r="J312" s="103"/>
      <c r="K312" s="103">
        <v>11090</v>
      </c>
      <c r="L312" s="103"/>
      <c r="M312" s="679"/>
      <c r="N312" s="573"/>
      <c r="O312" s="1131"/>
      <c r="P312" s="113"/>
      <c r="Q312" s="113"/>
      <c r="R312" s="113"/>
      <c r="S312" s="113"/>
      <c r="T312" s="113"/>
      <c r="U312" s="113"/>
      <c r="V312" s="113"/>
      <c r="W312" s="113"/>
      <c r="X312" s="113"/>
      <c r="Y312" s="113"/>
      <c r="Z312" s="113"/>
      <c r="AA312" s="113"/>
      <c r="AB312" s="113"/>
      <c r="AC312" s="113"/>
      <c r="AD312" s="113"/>
      <c r="AE312" s="113"/>
      <c r="AF312" s="113"/>
      <c r="AG312" s="113"/>
      <c r="AH312" s="113"/>
      <c r="AI312" s="113"/>
      <c r="AJ312" s="113"/>
      <c r="AK312" s="113"/>
      <c r="AL312" s="113"/>
      <c r="AM312" s="113"/>
      <c r="AN312" s="113"/>
      <c r="AO312" s="113"/>
      <c r="AP312" s="113"/>
      <c r="AQ312" s="113"/>
      <c r="AR312" s="113"/>
      <c r="AS312" s="113"/>
      <c r="AT312" s="113"/>
      <c r="AU312" s="113"/>
      <c r="AV312" s="113"/>
      <c r="AW312" s="113"/>
      <c r="AX312" s="113"/>
      <c r="AY312" s="113"/>
      <c r="AZ312" s="113"/>
      <c r="BA312" s="113"/>
      <c r="BB312" s="113"/>
      <c r="BC312" s="113"/>
      <c r="BD312" s="113"/>
      <c r="BE312" s="113"/>
      <c r="BF312" s="113"/>
      <c r="BG312" s="113"/>
      <c r="BH312" s="113"/>
      <c r="BI312" s="113"/>
    </row>
    <row r="313" spans="1:61" s="45" customFormat="1" ht="21.75" customHeight="1">
      <c r="A313" s="1029"/>
      <c r="B313" s="561" t="s">
        <v>443</v>
      </c>
      <c r="C313" s="561"/>
      <c r="D313" s="561"/>
      <c r="E313" s="561"/>
      <c r="F313" s="561"/>
      <c r="G313" s="121"/>
      <c r="H313" s="121"/>
      <c r="I313" s="121"/>
      <c r="J313" s="121"/>
      <c r="K313" s="121"/>
      <c r="L313" s="107">
        <v>0</v>
      </c>
      <c r="M313" s="680"/>
      <c r="N313" s="573"/>
      <c r="O313" s="1131"/>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3"/>
      <c r="AK313" s="113"/>
      <c r="AL313" s="113"/>
      <c r="AM313" s="113"/>
      <c r="AN313" s="113"/>
      <c r="AO313" s="113"/>
      <c r="AP313" s="113"/>
      <c r="AQ313" s="113"/>
      <c r="AR313" s="113"/>
      <c r="AS313" s="113"/>
      <c r="AT313" s="113"/>
      <c r="AU313" s="113"/>
      <c r="AV313" s="113"/>
      <c r="AW313" s="113"/>
      <c r="AX313" s="113"/>
      <c r="AY313" s="113"/>
      <c r="AZ313" s="113"/>
      <c r="BA313" s="113"/>
      <c r="BB313" s="113"/>
      <c r="BC313" s="113"/>
      <c r="BD313" s="113"/>
      <c r="BE313" s="113"/>
      <c r="BF313" s="113"/>
      <c r="BG313" s="113"/>
      <c r="BH313" s="113"/>
      <c r="BI313" s="113"/>
    </row>
    <row r="314" spans="1:61" s="45" customFormat="1" ht="29.25" customHeight="1">
      <c r="A314" s="1028" t="s">
        <v>937</v>
      </c>
      <c r="B314" s="561" t="s">
        <v>89</v>
      </c>
      <c r="C314" s="561"/>
      <c r="D314" s="561"/>
      <c r="E314" s="561"/>
      <c r="F314" s="561"/>
      <c r="G314" s="107">
        <f>K314</f>
        <v>0</v>
      </c>
      <c r="H314" s="107"/>
      <c r="I314" s="107"/>
      <c r="J314" s="107"/>
      <c r="K314" s="107"/>
      <c r="L314" s="107"/>
      <c r="M314" s="680"/>
      <c r="N314" s="573"/>
      <c r="O314" s="1037" t="s">
        <v>915</v>
      </c>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3"/>
      <c r="AL314" s="113"/>
      <c r="AM314" s="113"/>
      <c r="AN314" s="113"/>
      <c r="AO314" s="113"/>
      <c r="AP314" s="113"/>
      <c r="AQ314" s="113"/>
      <c r="AR314" s="113"/>
      <c r="AS314" s="113"/>
      <c r="AT314" s="113"/>
      <c r="AU314" s="113"/>
      <c r="AV314" s="113"/>
      <c r="AW314" s="113"/>
      <c r="AX314" s="113"/>
      <c r="AY314" s="113"/>
      <c r="AZ314" s="113"/>
      <c r="BA314" s="113"/>
      <c r="BB314" s="113"/>
      <c r="BC314" s="113"/>
      <c r="BD314" s="113"/>
      <c r="BE314" s="113"/>
      <c r="BF314" s="113"/>
      <c r="BG314" s="113"/>
      <c r="BH314" s="113"/>
      <c r="BI314" s="113"/>
    </row>
    <row r="315" spans="1:61" s="45" customFormat="1" ht="24">
      <c r="A315" s="1036"/>
      <c r="B315" s="561" t="s">
        <v>237</v>
      </c>
      <c r="C315" s="561"/>
      <c r="D315" s="561"/>
      <c r="E315" s="561"/>
      <c r="F315" s="561"/>
      <c r="G315" s="107">
        <f t="shared" ref="G315:G316" si="103">K315</f>
        <v>48128.2</v>
      </c>
      <c r="H315" s="107"/>
      <c r="I315" s="107"/>
      <c r="J315" s="107"/>
      <c r="K315" s="107">
        <f>K316</f>
        <v>48128.2</v>
      </c>
      <c r="L315" s="107"/>
      <c r="M315" s="680">
        <f>M317</f>
        <v>0</v>
      </c>
      <c r="N315" s="573"/>
      <c r="O315" s="1037"/>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3"/>
      <c r="AL315" s="113"/>
      <c r="AM315" s="113"/>
      <c r="AN315" s="113"/>
      <c r="AO315" s="113"/>
      <c r="AP315" s="113"/>
      <c r="AQ315" s="113"/>
      <c r="AR315" s="113"/>
      <c r="AS315" s="113"/>
      <c r="AT315" s="113"/>
      <c r="AU315" s="113"/>
      <c r="AV315" s="113"/>
      <c r="AW315" s="113"/>
      <c r="AX315" s="113"/>
      <c r="AY315" s="113"/>
      <c r="AZ315" s="113"/>
      <c r="BA315" s="113"/>
      <c r="BB315" s="113"/>
      <c r="BC315" s="113"/>
      <c r="BD315" s="113"/>
      <c r="BE315" s="113"/>
      <c r="BF315" s="113"/>
      <c r="BG315" s="113"/>
      <c r="BH315" s="113"/>
      <c r="BI315" s="113"/>
    </row>
    <row r="316" spans="1:61" s="45" customFormat="1" ht="20.25" customHeight="1">
      <c r="A316" s="1036"/>
      <c r="B316" s="561" t="s">
        <v>10</v>
      </c>
      <c r="C316" s="561"/>
      <c r="D316" s="561"/>
      <c r="E316" s="561"/>
      <c r="F316" s="561"/>
      <c r="G316" s="107">
        <f t="shared" si="103"/>
        <v>48128.2</v>
      </c>
      <c r="H316" s="107"/>
      <c r="I316" s="107"/>
      <c r="J316" s="107"/>
      <c r="K316" s="107">
        <v>48128.2</v>
      </c>
      <c r="L316" s="107"/>
      <c r="M316" s="680"/>
      <c r="N316" s="573"/>
      <c r="O316" s="1037"/>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c r="AN316" s="113"/>
      <c r="AO316" s="113"/>
      <c r="AP316" s="113"/>
      <c r="AQ316" s="113"/>
      <c r="AR316" s="113"/>
      <c r="AS316" s="113"/>
      <c r="AT316" s="113"/>
      <c r="AU316" s="113"/>
      <c r="AV316" s="113"/>
      <c r="AW316" s="113"/>
      <c r="AX316" s="113"/>
      <c r="AY316" s="113"/>
      <c r="AZ316" s="113"/>
      <c r="BA316" s="113"/>
      <c r="BB316" s="113"/>
      <c r="BC316" s="113"/>
      <c r="BD316" s="113"/>
      <c r="BE316" s="113"/>
      <c r="BF316" s="113"/>
      <c r="BG316" s="113"/>
      <c r="BH316" s="113"/>
      <c r="BI316" s="113"/>
    </row>
    <row r="317" spans="1:61" s="45" customFormat="1" ht="27.75" customHeight="1">
      <c r="A317" s="1029"/>
      <c r="B317" s="561" t="s">
        <v>443</v>
      </c>
      <c r="C317" s="561"/>
      <c r="D317" s="561"/>
      <c r="E317" s="561"/>
      <c r="F317" s="561"/>
      <c r="G317" s="107"/>
      <c r="H317" s="107"/>
      <c r="I317" s="107"/>
      <c r="J317" s="107"/>
      <c r="K317" s="107"/>
      <c r="L317" s="107"/>
      <c r="M317" s="680"/>
      <c r="N317" s="573"/>
      <c r="O317" s="1037"/>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c r="AN317" s="113"/>
      <c r="AO317" s="113"/>
      <c r="AP317" s="113"/>
      <c r="AQ317" s="113"/>
      <c r="AR317" s="113"/>
      <c r="AS317" s="113"/>
      <c r="AT317" s="113"/>
      <c r="AU317" s="113"/>
      <c r="AV317" s="113"/>
      <c r="AW317" s="113"/>
      <c r="AX317" s="113"/>
      <c r="AY317" s="113"/>
      <c r="AZ317" s="113"/>
      <c r="BA317" s="113"/>
      <c r="BB317" s="113"/>
      <c r="BC317" s="113"/>
      <c r="BD317" s="113"/>
      <c r="BE317" s="113"/>
      <c r="BF317" s="113"/>
      <c r="BG317" s="113"/>
      <c r="BH317" s="113"/>
      <c r="BI317" s="113"/>
    </row>
    <row r="318" spans="1:61" s="45" customFormat="1" ht="27" customHeight="1">
      <c r="A318" s="1028" t="s">
        <v>988</v>
      </c>
      <c r="B318" s="766" t="s">
        <v>89</v>
      </c>
      <c r="C318" s="766"/>
      <c r="D318" s="766"/>
      <c r="E318" s="766"/>
      <c r="F318" s="766"/>
      <c r="G318" s="107">
        <f>K318</f>
        <v>0</v>
      </c>
      <c r="H318" s="107"/>
      <c r="I318" s="107"/>
      <c r="J318" s="107"/>
      <c r="K318" s="107"/>
      <c r="L318" s="107"/>
      <c r="M318" s="680"/>
      <c r="N318" s="768"/>
      <c r="O318" s="1037" t="s">
        <v>915</v>
      </c>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c r="AN318" s="113"/>
      <c r="AO318" s="113"/>
      <c r="AP318" s="113"/>
      <c r="AQ318" s="113"/>
      <c r="AR318" s="113"/>
      <c r="AS318" s="113"/>
      <c r="AT318" s="113"/>
      <c r="AU318" s="113"/>
      <c r="AV318" s="113"/>
      <c r="AW318" s="113"/>
      <c r="AX318" s="113"/>
      <c r="AY318" s="113"/>
      <c r="AZ318" s="113"/>
      <c r="BA318" s="113"/>
      <c r="BB318" s="113"/>
      <c r="BC318" s="113"/>
      <c r="BD318" s="113"/>
      <c r="BE318" s="113"/>
      <c r="BF318" s="113"/>
      <c r="BG318" s="113"/>
      <c r="BH318" s="113"/>
      <c r="BI318" s="113"/>
    </row>
    <row r="319" spans="1:61" s="45" customFormat="1" ht="24">
      <c r="A319" s="1036"/>
      <c r="B319" s="766" t="s">
        <v>237</v>
      </c>
      <c r="C319" s="766"/>
      <c r="D319" s="766"/>
      <c r="E319" s="766"/>
      <c r="F319" s="766"/>
      <c r="G319" s="107">
        <f t="shared" ref="G319:G320" si="104">K319</f>
        <v>22500</v>
      </c>
      <c r="H319" s="107"/>
      <c r="I319" s="107"/>
      <c r="J319" s="107"/>
      <c r="K319" s="107">
        <f>K320</f>
        <v>22500</v>
      </c>
      <c r="L319" s="107">
        <f>L320</f>
        <v>0</v>
      </c>
      <c r="M319" s="680">
        <f>M321</f>
        <v>0</v>
      </c>
      <c r="N319" s="768"/>
      <c r="O319" s="1037"/>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c r="AN319" s="113"/>
      <c r="AO319" s="113"/>
      <c r="AP319" s="113"/>
      <c r="AQ319" s="113"/>
      <c r="AR319" s="113"/>
      <c r="AS319" s="113"/>
      <c r="AT319" s="113"/>
      <c r="AU319" s="113"/>
      <c r="AV319" s="113"/>
      <c r="AW319" s="113"/>
      <c r="AX319" s="113"/>
      <c r="AY319" s="113"/>
      <c r="AZ319" s="113"/>
      <c r="BA319" s="113"/>
      <c r="BB319" s="113"/>
      <c r="BC319" s="113"/>
      <c r="BD319" s="113"/>
      <c r="BE319" s="113"/>
      <c r="BF319" s="113"/>
      <c r="BG319" s="113"/>
      <c r="BH319" s="113"/>
      <c r="BI319" s="113"/>
    </row>
    <row r="320" spans="1:61" s="45" customFormat="1" ht="21.75" customHeight="1">
      <c r="A320" s="1036"/>
      <c r="B320" s="766" t="s">
        <v>10</v>
      </c>
      <c r="C320" s="766"/>
      <c r="D320" s="766"/>
      <c r="E320" s="766"/>
      <c r="F320" s="766"/>
      <c r="G320" s="107">
        <f t="shared" si="104"/>
        <v>22500</v>
      </c>
      <c r="H320" s="107"/>
      <c r="I320" s="107"/>
      <c r="J320" s="107"/>
      <c r="K320" s="107">
        <v>22500</v>
      </c>
      <c r="L320" s="107">
        <v>0</v>
      </c>
      <c r="M320" s="680"/>
      <c r="N320" s="768"/>
      <c r="O320" s="1037"/>
      <c r="P320" s="113"/>
      <c r="Q320" s="113"/>
      <c r="R320" s="113"/>
      <c r="S320" s="113"/>
      <c r="T320" s="113"/>
      <c r="U320" s="113"/>
      <c r="V320" s="113"/>
      <c r="W320" s="113"/>
      <c r="X320" s="113"/>
      <c r="Y320" s="113"/>
      <c r="Z320" s="113"/>
      <c r="AA320" s="113"/>
      <c r="AB320" s="113"/>
      <c r="AC320" s="113"/>
      <c r="AD320" s="113"/>
      <c r="AE320" s="113"/>
      <c r="AF320" s="113"/>
      <c r="AG320" s="113"/>
      <c r="AH320" s="113"/>
      <c r="AI320" s="113"/>
      <c r="AJ320" s="113"/>
      <c r="AK320" s="113"/>
      <c r="AL320" s="113"/>
      <c r="AM320" s="113"/>
      <c r="AN320" s="113"/>
      <c r="AO320" s="113"/>
      <c r="AP320" s="113"/>
      <c r="AQ320" s="113"/>
      <c r="AR320" s="113"/>
      <c r="AS320" s="113"/>
      <c r="AT320" s="113"/>
      <c r="AU320" s="113"/>
      <c r="AV320" s="113"/>
      <c r="AW320" s="113"/>
      <c r="AX320" s="113"/>
      <c r="AY320" s="113"/>
      <c r="AZ320" s="113"/>
      <c r="BA320" s="113"/>
      <c r="BB320" s="113"/>
      <c r="BC320" s="113"/>
      <c r="BD320" s="113"/>
      <c r="BE320" s="113"/>
      <c r="BF320" s="113"/>
      <c r="BG320" s="113"/>
      <c r="BH320" s="113"/>
      <c r="BI320" s="113"/>
    </row>
    <row r="321" spans="1:64" s="110" customFormat="1" ht="20.25" customHeight="1">
      <c r="A321" s="1029"/>
      <c r="B321" s="767" t="s">
        <v>443</v>
      </c>
      <c r="C321" s="767"/>
      <c r="D321" s="767"/>
      <c r="E321" s="767"/>
      <c r="F321" s="767"/>
      <c r="G321" s="103"/>
      <c r="H321" s="103"/>
      <c r="I321" s="103"/>
      <c r="J321" s="103"/>
      <c r="K321" s="103"/>
      <c r="L321" s="103"/>
      <c r="M321" s="679"/>
      <c r="N321" s="768"/>
      <c r="O321" s="1037"/>
      <c r="P321" s="113"/>
      <c r="Q321" s="113"/>
      <c r="R321" s="113"/>
      <c r="S321" s="113"/>
      <c r="T321" s="113"/>
      <c r="U321" s="113"/>
      <c r="V321" s="113"/>
      <c r="W321" s="113"/>
      <c r="X321" s="113"/>
      <c r="Y321" s="113"/>
      <c r="Z321" s="113"/>
      <c r="AA321" s="113"/>
      <c r="AB321" s="113"/>
      <c r="AC321" s="113"/>
      <c r="AD321" s="113"/>
      <c r="AE321" s="113"/>
      <c r="AF321" s="113"/>
      <c r="AG321" s="113"/>
      <c r="AH321" s="113"/>
      <c r="AI321" s="113"/>
      <c r="AJ321" s="113"/>
      <c r="AK321" s="113"/>
      <c r="AL321" s="113"/>
      <c r="AM321" s="113"/>
      <c r="AN321" s="113"/>
      <c r="AO321" s="113"/>
      <c r="AP321" s="113"/>
      <c r="AQ321" s="113"/>
      <c r="AR321" s="113"/>
      <c r="AS321" s="113"/>
      <c r="AT321" s="113"/>
      <c r="AU321" s="113"/>
      <c r="AV321" s="113"/>
      <c r="AW321" s="113"/>
      <c r="AX321" s="113"/>
      <c r="AY321" s="113"/>
      <c r="AZ321" s="113"/>
      <c r="BA321" s="113"/>
      <c r="BB321" s="113"/>
      <c r="BC321" s="113"/>
      <c r="BD321" s="113"/>
      <c r="BE321" s="113"/>
      <c r="BF321" s="113"/>
      <c r="BG321" s="113"/>
      <c r="BH321" s="113"/>
      <c r="BI321" s="113"/>
      <c r="BJ321" s="113"/>
      <c r="BK321" s="113"/>
      <c r="BL321" s="112"/>
    </row>
    <row r="322" spans="1:64" s="45" customFormat="1" ht="27" customHeight="1">
      <c r="A322" s="1028" t="s">
        <v>852</v>
      </c>
      <c r="B322" s="766" t="s">
        <v>89</v>
      </c>
      <c r="C322" s="766"/>
      <c r="D322" s="766"/>
      <c r="E322" s="766"/>
      <c r="F322" s="766"/>
      <c r="G322" s="107">
        <f>K322</f>
        <v>0</v>
      </c>
      <c r="H322" s="107"/>
      <c r="I322" s="107"/>
      <c r="J322" s="107"/>
      <c r="K322" s="107"/>
      <c r="L322" s="107"/>
      <c r="M322" s="680"/>
      <c r="N322" s="768"/>
      <c r="O322" s="1037" t="s">
        <v>914</v>
      </c>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3"/>
      <c r="AL322" s="113"/>
      <c r="AM322" s="113"/>
      <c r="AN322" s="113"/>
      <c r="AO322" s="113"/>
      <c r="AP322" s="113"/>
      <c r="AQ322" s="113"/>
      <c r="AR322" s="113"/>
      <c r="AS322" s="113"/>
      <c r="AT322" s="113"/>
      <c r="AU322" s="113"/>
      <c r="AV322" s="113"/>
      <c r="AW322" s="113"/>
      <c r="AX322" s="113"/>
      <c r="AY322" s="113"/>
      <c r="AZ322" s="113"/>
      <c r="BA322" s="113"/>
      <c r="BB322" s="113"/>
      <c r="BC322" s="113"/>
      <c r="BD322" s="113"/>
      <c r="BE322" s="113"/>
      <c r="BF322" s="113"/>
      <c r="BG322" s="113"/>
      <c r="BH322" s="113"/>
      <c r="BI322" s="113"/>
    </row>
    <row r="323" spans="1:64" s="45" customFormat="1" ht="24">
      <c r="A323" s="1036"/>
      <c r="B323" s="766" t="s">
        <v>237</v>
      </c>
      <c r="C323" s="766"/>
      <c r="D323" s="766"/>
      <c r="E323" s="766"/>
      <c r="F323" s="766"/>
      <c r="G323" s="107">
        <f t="shared" ref="G323:G324" si="105">K323</f>
        <v>2500</v>
      </c>
      <c r="H323" s="107"/>
      <c r="I323" s="107"/>
      <c r="J323" s="107"/>
      <c r="K323" s="107">
        <f>K324</f>
        <v>2500</v>
      </c>
      <c r="L323" s="107">
        <f>L324</f>
        <v>5000</v>
      </c>
      <c r="M323" s="680">
        <f>M325</f>
        <v>0</v>
      </c>
      <c r="N323" s="768"/>
      <c r="O323" s="1037"/>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3"/>
      <c r="AL323" s="113"/>
      <c r="AM323" s="113"/>
      <c r="AN323" s="113"/>
      <c r="AO323" s="113"/>
      <c r="AP323" s="113"/>
      <c r="AQ323" s="113"/>
      <c r="AR323" s="113"/>
      <c r="AS323" s="113"/>
      <c r="AT323" s="113"/>
      <c r="AU323" s="113"/>
      <c r="AV323" s="113"/>
      <c r="AW323" s="113"/>
      <c r="AX323" s="113"/>
      <c r="AY323" s="113"/>
      <c r="AZ323" s="113"/>
      <c r="BA323" s="113"/>
      <c r="BB323" s="113"/>
      <c r="BC323" s="113"/>
      <c r="BD323" s="113"/>
      <c r="BE323" s="113"/>
      <c r="BF323" s="113"/>
      <c r="BG323" s="113"/>
      <c r="BH323" s="113"/>
      <c r="BI323" s="113"/>
    </row>
    <row r="324" spans="1:64" s="45" customFormat="1" ht="21.75" customHeight="1">
      <c r="A324" s="1036"/>
      <c r="B324" s="766" t="s">
        <v>10</v>
      </c>
      <c r="C324" s="766"/>
      <c r="D324" s="766"/>
      <c r="E324" s="766"/>
      <c r="F324" s="766"/>
      <c r="G324" s="107">
        <f t="shared" si="105"/>
        <v>2500</v>
      </c>
      <c r="H324" s="107"/>
      <c r="I324" s="107"/>
      <c r="J324" s="107"/>
      <c r="K324" s="107">
        <v>2500</v>
      </c>
      <c r="L324" s="107">
        <v>5000</v>
      </c>
      <c r="M324" s="680"/>
      <c r="N324" s="768"/>
      <c r="O324" s="1037"/>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c r="AN324" s="113"/>
      <c r="AO324" s="113"/>
      <c r="AP324" s="113"/>
      <c r="AQ324" s="113"/>
      <c r="AR324" s="113"/>
      <c r="AS324" s="113"/>
      <c r="AT324" s="113"/>
      <c r="AU324" s="113"/>
      <c r="AV324" s="113"/>
      <c r="AW324" s="113"/>
      <c r="AX324" s="113"/>
      <c r="AY324" s="113"/>
      <c r="AZ324" s="113"/>
      <c r="BA324" s="113"/>
      <c r="BB324" s="113"/>
      <c r="BC324" s="113"/>
      <c r="BD324" s="113"/>
      <c r="BE324" s="113"/>
      <c r="BF324" s="113"/>
      <c r="BG324" s="113"/>
      <c r="BH324" s="113"/>
      <c r="BI324" s="113"/>
    </row>
    <row r="325" spans="1:64" s="110" customFormat="1" ht="20.25" customHeight="1">
      <c r="A325" s="1029"/>
      <c r="B325" s="767" t="s">
        <v>443</v>
      </c>
      <c r="C325" s="767"/>
      <c r="D325" s="767"/>
      <c r="E325" s="767"/>
      <c r="F325" s="767"/>
      <c r="G325" s="103"/>
      <c r="H325" s="103"/>
      <c r="I325" s="103"/>
      <c r="J325" s="103"/>
      <c r="K325" s="103"/>
      <c r="L325" s="103"/>
      <c r="M325" s="679"/>
      <c r="N325" s="768"/>
      <c r="O325" s="1037"/>
      <c r="P325" s="113"/>
      <c r="Q325" s="113"/>
      <c r="R325" s="113"/>
      <c r="S325" s="113"/>
      <c r="T325" s="113"/>
      <c r="U325" s="113"/>
      <c r="V325" s="113"/>
      <c r="W325" s="113"/>
      <c r="X325" s="113"/>
      <c r="Y325" s="113"/>
      <c r="Z325" s="113"/>
      <c r="AA325" s="113"/>
      <c r="AB325" s="113"/>
      <c r="AC325" s="113"/>
      <c r="AD325" s="113"/>
      <c r="AE325" s="113"/>
      <c r="AF325" s="113"/>
      <c r="AG325" s="113"/>
      <c r="AH325" s="113"/>
      <c r="AI325" s="113"/>
      <c r="AJ325" s="113"/>
      <c r="AK325" s="113"/>
      <c r="AL325" s="113"/>
      <c r="AM325" s="113"/>
      <c r="AN325" s="113"/>
      <c r="AO325" s="113"/>
      <c r="AP325" s="113"/>
      <c r="AQ325" s="113"/>
      <c r="AR325" s="113"/>
      <c r="AS325" s="113"/>
      <c r="AT325" s="113"/>
      <c r="AU325" s="113"/>
      <c r="AV325" s="113"/>
      <c r="AW325" s="113"/>
      <c r="AX325" s="113"/>
      <c r="AY325" s="113"/>
      <c r="AZ325" s="113"/>
      <c r="BA325" s="113"/>
      <c r="BB325" s="113"/>
      <c r="BC325" s="113"/>
      <c r="BD325" s="113"/>
      <c r="BE325" s="113"/>
      <c r="BF325" s="113"/>
      <c r="BG325" s="113"/>
      <c r="BH325" s="113"/>
      <c r="BI325" s="113"/>
      <c r="BJ325" s="113"/>
      <c r="BK325" s="113"/>
      <c r="BL325" s="112"/>
    </row>
    <row r="326" spans="1:64" s="45" customFormat="1" ht="27" customHeight="1">
      <c r="A326" s="1028" t="s">
        <v>989</v>
      </c>
      <c r="B326" s="561" t="s">
        <v>89</v>
      </c>
      <c r="C326" s="561"/>
      <c r="D326" s="561"/>
      <c r="E326" s="561"/>
      <c r="F326" s="561"/>
      <c r="G326" s="107">
        <f>K326</f>
        <v>0</v>
      </c>
      <c r="H326" s="107"/>
      <c r="I326" s="107"/>
      <c r="J326" s="107"/>
      <c r="K326" s="107"/>
      <c r="L326" s="107"/>
      <c r="M326" s="680"/>
      <c r="N326" s="573"/>
      <c r="O326" s="1037" t="s">
        <v>915</v>
      </c>
      <c r="P326" s="113"/>
      <c r="Q326" s="113"/>
      <c r="R326" s="113"/>
      <c r="S326" s="113"/>
      <c r="T326" s="113"/>
      <c r="U326" s="113"/>
      <c r="V326" s="113"/>
      <c r="W326" s="113"/>
      <c r="X326" s="113"/>
      <c r="Y326" s="113"/>
      <c r="Z326" s="113"/>
      <c r="AA326" s="113"/>
      <c r="AB326" s="113"/>
      <c r="AC326" s="113"/>
      <c r="AD326" s="113"/>
      <c r="AE326" s="113"/>
      <c r="AF326" s="113"/>
      <c r="AG326" s="113"/>
      <c r="AH326" s="113"/>
      <c r="AI326" s="113"/>
      <c r="AJ326" s="113"/>
      <c r="AK326" s="113"/>
      <c r="AL326" s="113"/>
      <c r="AM326" s="113"/>
      <c r="AN326" s="113"/>
      <c r="AO326" s="113"/>
      <c r="AP326" s="113"/>
      <c r="AQ326" s="113"/>
      <c r="AR326" s="113"/>
      <c r="AS326" s="113"/>
      <c r="AT326" s="113"/>
      <c r="AU326" s="113"/>
      <c r="AV326" s="113"/>
      <c r="AW326" s="113"/>
      <c r="AX326" s="113"/>
      <c r="AY326" s="113"/>
      <c r="AZ326" s="113"/>
      <c r="BA326" s="113"/>
      <c r="BB326" s="113"/>
      <c r="BC326" s="113"/>
      <c r="BD326" s="113"/>
      <c r="BE326" s="113"/>
      <c r="BF326" s="113"/>
      <c r="BG326" s="113"/>
      <c r="BH326" s="113"/>
      <c r="BI326" s="113"/>
    </row>
    <row r="327" spans="1:64" s="45" customFormat="1" ht="24">
      <c r="A327" s="1036"/>
      <c r="B327" s="561" t="s">
        <v>237</v>
      </c>
      <c r="C327" s="561"/>
      <c r="D327" s="561"/>
      <c r="E327" s="561"/>
      <c r="F327" s="561"/>
      <c r="G327" s="107">
        <f t="shared" ref="G327:G328" si="106">K327</f>
        <v>1910</v>
      </c>
      <c r="H327" s="107"/>
      <c r="I327" s="107"/>
      <c r="J327" s="107"/>
      <c r="K327" s="107">
        <f>K328</f>
        <v>1910</v>
      </c>
      <c r="L327" s="107">
        <f>L328</f>
        <v>0</v>
      </c>
      <c r="M327" s="680">
        <f>M329</f>
        <v>0</v>
      </c>
      <c r="N327" s="573"/>
      <c r="O327" s="1037"/>
      <c r="P327" s="113"/>
      <c r="Q327" s="113"/>
      <c r="R327" s="113"/>
      <c r="S327" s="113"/>
      <c r="T327" s="113"/>
      <c r="U327" s="113"/>
      <c r="V327" s="113"/>
      <c r="W327" s="113"/>
      <c r="X327" s="113"/>
      <c r="Y327" s="113"/>
      <c r="Z327" s="113"/>
      <c r="AA327" s="113"/>
      <c r="AB327" s="113"/>
      <c r="AC327" s="113"/>
      <c r="AD327" s="113"/>
      <c r="AE327" s="113"/>
      <c r="AF327" s="113"/>
      <c r="AG327" s="113"/>
      <c r="AH327" s="113"/>
      <c r="AI327" s="113"/>
      <c r="AJ327" s="113"/>
      <c r="AK327" s="113"/>
      <c r="AL327" s="113"/>
      <c r="AM327" s="113"/>
      <c r="AN327" s="113"/>
      <c r="AO327" s="113"/>
      <c r="AP327" s="113"/>
      <c r="AQ327" s="113"/>
      <c r="AR327" s="113"/>
      <c r="AS327" s="113"/>
      <c r="AT327" s="113"/>
      <c r="AU327" s="113"/>
      <c r="AV327" s="113"/>
      <c r="AW327" s="113"/>
      <c r="AX327" s="113"/>
      <c r="AY327" s="113"/>
      <c r="AZ327" s="113"/>
      <c r="BA327" s="113"/>
      <c r="BB327" s="113"/>
      <c r="BC327" s="113"/>
      <c r="BD327" s="113"/>
      <c r="BE327" s="113"/>
      <c r="BF327" s="113"/>
      <c r="BG327" s="113"/>
      <c r="BH327" s="113"/>
      <c r="BI327" s="113"/>
    </row>
    <row r="328" spans="1:64" s="45" customFormat="1" ht="21.75" customHeight="1">
      <c r="A328" s="1036"/>
      <c r="B328" s="561" t="s">
        <v>10</v>
      </c>
      <c r="C328" s="561"/>
      <c r="D328" s="561"/>
      <c r="E328" s="561"/>
      <c r="F328" s="561"/>
      <c r="G328" s="107">
        <f t="shared" si="106"/>
        <v>1910</v>
      </c>
      <c r="H328" s="107"/>
      <c r="I328" s="107"/>
      <c r="J328" s="107"/>
      <c r="K328" s="107">
        <v>1910</v>
      </c>
      <c r="L328" s="107">
        <v>0</v>
      </c>
      <c r="M328" s="680"/>
      <c r="N328" s="573"/>
      <c r="O328" s="1037"/>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13"/>
      <c r="AL328" s="113"/>
      <c r="AM328" s="113"/>
      <c r="AN328" s="113"/>
      <c r="AO328" s="113"/>
      <c r="AP328" s="113"/>
      <c r="AQ328" s="113"/>
      <c r="AR328" s="113"/>
      <c r="AS328" s="113"/>
      <c r="AT328" s="113"/>
      <c r="AU328" s="113"/>
      <c r="AV328" s="113"/>
      <c r="AW328" s="113"/>
      <c r="AX328" s="113"/>
      <c r="AY328" s="113"/>
      <c r="AZ328" s="113"/>
      <c r="BA328" s="113"/>
      <c r="BB328" s="113"/>
      <c r="BC328" s="113"/>
      <c r="BD328" s="113"/>
      <c r="BE328" s="113"/>
      <c r="BF328" s="113"/>
      <c r="BG328" s="113"/>
      <c r="BH328" s="113"/>
      <c r="BI328" s="113"/>
    </row>
    <row r="329" spans="1:64" s="110" customFormat="1" ht="20.25" customHeight="1">
      <c r="A329" s="1029"/>
      <c r="B329" s="564" t="s">
        <v>443</v>
      </c>
      <c r="C329" s="564"/>
      <c r="D329" s="564"/>
      <c r="E329" s="564"/>
      <c r="F329" s="564"/>
      <c r="G329" s="103"/>
      <c r="H329" s="103"/>
      <c r="I329" s="103"/>
      <c r="J329" s="103"/>
      <c r="K329" s="103"/>
      <c r="L329" s="103"/>
      <c r="M329" s="679"/>
      <c r="N329" s="573"/>
      <c r="O329" s="1037"/>
      <c r="P329" s="113"/>
      <c r="Q329" s="113"/>
      <c r="R329" s="113"/>
      <c r="S329" s="113"/>
      <c r="T329" s="113"/>
      <c r="U329" s="113"/>
      <c r="V329" s="113"/>
      <c r="W329" s="113"/>
      <c r="X329" s="113"/>
      <c r="Y329" s="113"/>
      <c r="Z329" s="113"/>
      <c r="AA329" s="113"/>
      <c r="AB329" s="113"/>
      <c r="AC329" s="113"/>
      <c r="AD329" s="113"/>
      <c r="AE329" s="113"/>
      <c r="AF329" s="113"/>
      <c r="AG329" s="113"/>
      <c r="AH329" s="113"/>
      <c r="AI329" s="113"/>
      <c r="AJ329" s="113"/>
      <c r="AK329" s="113"/>
      <c r="AL329" s="113"/>
      <c r="AM329" s="113"/>
      <c r="AN329" s="113"/>
      <c r="AO329" s="113"/>
      <c r="AP329" s="113"/>
      <c r="AQ329" s="113"/>
      <c r="AR329" s="113"/>
      <c r="AS329" s="113"/>
      <c r="AT329" s="113"/>
      <c r="AU329" s="113"/>
      <c r="AV329" s="113"/>
      <c r="AW329" s="113"/>
      <c r="AX329" s="113"/>
      <c r="AY329" s="113"/>
      <c r="AZ329" s="113"/>
      <c r="BA329" s="113"/>
      <c r="BB329" s="113"/>
      <c r="BC329" s="113"/>
      <c r="BD329" s="113"/>
      <c r="BE329" s="113"/>
      <c r="BF329" s="113"/>
      <c r="BG329" s="113"/>
      <c r="BH329" s="113"/>
      <c r="BI329" s="113"/>
      <c r="BJ329" s="113"/>
      <c r="BK329" s="113"/>
      <c r="BL329" s="112"/>
    </row>
    <row r="330" spans="1:64" s="45" customFormat="1" ht="21.75" customHeight="1">
      <c r="A330" s="1067" t="s">
        <v>104</v>
      </c>
      <c r="B330" s="100" t="s">
        <v>89</v>
      </c>
      <c r="C330" s="100"/>
      <c r="D330" s="100"/>
      <c r="E330" s="100"/>
      <c r="F330" s="100"/>
      <c r="G330" s="108">
        <f t="shared" ref="G330:L330" si="107">G342+G346</f>
        <v>0</v>
      </c>
      <c r="H330" s="108"/>
      <c r="I330" s="108"/>
      <c r="J330" s="108"/>
      <c r="K330" s="108"/>
      <c r="L330" s="108">
        <f t="shared" si="107"/>
        <v>0</v>
      </c>
      <c r="M330" s="683"/>
      <c r="N330" s="573"/>
      <c r="O330" s="62"/>
      <c r="AJ330" s="113"/>
      <c r="AK330" s="113"/>
      <c r="AL330" s="113"/>
      <c r="AM330" s="113"/>
      <c r="AN330" s="113"/>
      <c r="AO330" s="113"/>
      <c r="AP330" s="113"/>
      <c r="AQ330" s="113"/>
      <c r="AR330" s="113"/>
      <c r="AS330" s="113"/>
      <c r="AT330" s="113"/>
      <c r="AU330" s="113"/>
      <c r="AV330" s="113"/>
      <c r="AW330" s="113"/>
      <c r="AX330" s="113"/>
      <c r="AY330" s="113"/>
      <c r="AZ330" s="113"/>
      <c r="BA330" s="113"/>
      <c r="BB330" s="113"/>
      <c r="BC330" s="113"/>
      <c r="BD330" s="113"/>
      <c r="BE330" s="113"/>
      <c r="BF330" s="113"/>
      <c r="BG330" s="113"/>
      <c r="BH330" s="113"/>
      <c r="BI330" s="113"/>
    </row>
    <row r="331" spans="1:64" ht="24">
      <c r="A331" s="1068"/>
      <c r="B331" s="62" t="s">
        <v>237</v>
      </c>
      <c r="C331" s="62"/>
      <c r="D331" s="62"/>
      <c r="E331" s="62"/>
      <c r="F331" s="62"/>
      <c r="G331" s="499">
        <f t="shared" ref="G331:M331" si="108">G332+G333</f>
        <v>200</v>
      </c>
      <c r="H331" s="499">
        <f t="shared" si="108"/>
        <v>0</v>
      </c>
      <c r="I331" s="499">
        <f t="shared" si="108"/>
        <v>0</v>
      </c>
      <c r="J331" s="499">
        <f t="shared" si="108"/>
        <v>0</v>
      </c>
      <c r="K331" s="499">
        <f t="shared" si="108"/>
        <v>200</v>
      </c>
      <c r="L331" s="102">
        <f t="shared" si="108"/>
        <v>2000</v>
      </c>
      <c r="M331" s="499">
        <f t="shared" si="108"/>
        <v>0</v>
      </c>
      <c r="N331" s="573"/>
      <c r="O331" s="62"/>
      <c r="V331" s="44">
        <v>55</v>
      </c>
    </row>
    <row r="332" spans="1:64" ht="21" customHeight="1">
      <c r="A332" s="1068"/>
      <c r="B332" s="62" t="s">
        <v>10</v>
      </c>
      <c r="C332" s="62"/>
      <c r="D332" s="62"/>
      <c r="E332" s="62"/>
      <c r="F332" s="62"/>
      <c r="G332" s="499">
        <f t="shared" ref="G332:K332" si="109">G344</f>
        <v>200</v>
      </c>
      <c r="H332" s="499">
        <f t="shared" si="109"/>
        <v>0</v>
      </c>
      <c r="I332" s="499">
        <f t="shared" si="109"/>
        <v>0</v>
      </c>
      <c r="J332" s="499">
        <f t="shared" si="109"/>
        <v>0</v>
      </c>
      <c r="K332" s="499">
        <f t="shared" si="109"/>
        <v>200</v>
      </c>
      <c r="L332" s="102">
        <f>L344</f>
        <v>2000</v>
      </c>
      <c r="M332" s="499">
        <f>M344</f>
        <v>0</v>
      </c>
      <c r="N332" s="573"/>
      <c r="O332" s="62"/>
    </row>
    <row r="333" spans="1:64" ht="24" customHeight="1">
      <c r="A333" s="1069"/>
      <c r="B333" s="62" t="s">
        <v>443</v>
      </c>
      <c r="C333" s="62"/>
      <c r="D333" s="62"/>
      <c r="E333" s="62"/>
      <c r="F333" s="62"/>
      <c r="G333" s="102">
        <f t="shared" ref="G333:L333" si="110">G349+G345</f>
        <v>0</v>
      </c>
      <c r="H333" s="102"/>
      <c r="I333" s="102"/>
      <c r="J333" s="102"/>
      <c r="K333" s="102"/>
      <c r="L333" s="102">
        <f t="shared" si="110"/>
        <v>0</v>
      </c>
      <c r="M333" s="499"/>
      <c r="N333" s="573"/>
      <c r="O333" s="62"/>
    </row>
    <row r="334" spans="1:64" ht="21.75" hidden="1" customHeight="1">
      <c r="A334" s="1028"/>
      <c r="B334" s="632" t="s">
        <v>89</v>
      </c>
      <c r="C334" s="62"/>
      <c r="D334" s="62"/>
      <c r="E334" s="62"/>
      <c r="F334" s="62"/>
      <c r="G334" s="102"/>
      <c r="H334" s="102"/>
      <c r="I334" s="102"/>
      <c r="J334" s="102"/>
      <c r="K334" s="102"/>
      <c r="L334" s="102"/>
      <c r="M334" s="499"/>
      <c r="N334" s="633"/>
      <c r="O334" s="1146"/>
    </row>
    <row r="335" spans="1:64" ht="24" hidden="1">
      <c r="A335" s="1036"/>
      <c r="B335" s="632" t="s">
        <v>237</v>
      </c>
      <c r="C335" s="62"/>
      <c r="D335" s="62"/>
      <c r="E335" s="62"/>
      <c r="F335" s="62"/>
      <c r="G335" s="102"/>
      <c r="H335" s="102"/>
      <c r="I335" s="102"/>
      <c r="J335" s="102"/>
      <c r="K335" s="102"/>
      <c r="L335" s="102"/>
      <c r="M335" s="499"/>
      <c r="N335" s="633"/>
      <c r="O335" s="1147"/>
    </row>
    <row r="336" spans="1:64" hidden="1">
      <c r="A336" s="1036"/>
      <c r="B336" s="632" t="s">
        <v>10</v>
      </c>
      <c r="C336" s="62"/>
      <c r="D336" s="62"/>
      <c r="E336" s="62"/>
      <c r="F336" s="62"/>
      <c r="G336" s="102"/>
      <c r="H336" s="102"/>
      <c r="I336" s="102"/>
      <c r="J336" s="102"/>
      <c r="K336" s="102"/>
      <c r="L336" s="102"/>
      <c r="M336" s="499"/>
      <c r="N336" s="633"/>
      <c r="O336" s="1147"/>
    </row>
    <row r="337" spans="1:15" hidden="1">
      <c r="A337" s="1036"/>
      <c r="B337" s="632" t="s">
        <v>443</v>
      </c>
      <c r="C337" s="62"/>
      <c r="D337" s="62"/>
      <c r="E337" s="62"/>
      <c r="F337" s="62"/>
      <c r="G337" s="102"/>
      <c r="H337" s="102"/>
      <c r="I337" s="102"/>
      <c r="J337" s="102"/>
      <c r="K337" s="102"/>
      <c r="L337" s="102"/>
      <c r="M337" s="499"/>
      <c r="N337" s="633"/>
      <c r="O337" s="1148"/>
    </row>
    <row r="338" spans="1:15" hidden="1">
      <c r="A338" s="1028"/>
      <c r="B338" s="632" t="s">
        <v>89</v>
      </c>
      <c r="C338" s="62"/>
      <c r="D338" s="62"/>
      <c r="E338" s="62"/>
      <c r="F338" s="62"/>
      <c r="G338" s="102"/>
      <c r="H338" s="102"/>
      <c r="I338" s="102"/>
      <c r="J338" s="102"/>
      <c r="K338" s="102"/>
      <c r="L338" s="102"/>
      <c r="M338" s="499"/>
      <c r="N338" s="633"/>
      <c r="O338" s="1146"/>
    </row>
    <row r="339" spans="1:15" ht="24" hidden="1">
      <c r="A339" s="1036"/>
      <c r="B339" s="632" t="s">
        <v>237</v>
      </c>
      <c r="C339" s="62"/>
      <c r="D339" s="62"/>
      <c r="E339" s="62"/>
      <c r="F339" s="62"/>
      <c r="G339" s="102"/>
      <c r="H339" s="102"/>
      <c r="I339" s="102"/>
      <c r="J339" s="102"/>
      <c r="K339" s="102"/>
      <c r="L339" s="102"/>
      <c r="M339" s="499"/>
      <c r="N339" s="633"/>
      <c r="O339" s="1147"/>
    </row>
    <row r="340" spans="1:15" ht="19.5" hidden="1" customHeight="1">
      <c r="A340" s="1036"/>
      <c r="B340" s="632" t="s">
        <v>10</v>
      </c>
      <c r="C340" s="62"/>
      <c r="D340" s="62"/>
      <c r="E340" s="62"/>
      <c r="F340" s="62"/>
      <c r="G340" s="102"/>
      <c r="H340" s="102"/>
      <c r="I340" s="102"/>
      <c r="J340" s="102"/>
      <c r="K340" s="102"/>
      <c r="L340" s="102"/>
      <c r="M340" s="499"/>
      <c r="N340" s="633"/>
      <c r="O340" s="1147"/>
    </row>
    <row r="341" spans="1:15" ht="24" hidden="1" customHeight="1">
      <c r="A341" s="1036"/>
      <c r="B341" s="632" t="s">
        <v>443</v>
      </c>
      <c r="C341" s="62"/>
      <c r="D341" s="62"/>
      <c r="E341" s="62"/>
      <c r="F341" s="62"/>
      <c r="G341" s="102"/>
      <c r="H341" s="102"/>
      <c r="I341" s="102"/>
      <c r="J341" s="102"/>
      <c r="K341" s="102"/>
      <c r="L341" s="102"/>
      <c r="M341" s="499"/>
      <c r="N341" s="633"/>
      <c r="O341" s="1148"/>
    </row>
    <row r="342" spans="1:15" ht="19.5" customHeight="1">
      <c r="A342" s="1065" t="s">
        <v>242</v>
      </c>
      <c r="B342" s="564" t="s">
        <v>89</v>
      </c>
      <c r="C342" s="564">
        <v>176</v>
      </c>
      <c r="D342" s="564" t="s">
        <v>15</v>
      </c>
      <c r="E342" s="564">
        <v>6100404</v>
      </c>
      <c r="F342" s="564">
        <v>414</v>
      </c>
      <c r="G342" s="103"/>
      <c r="H342" s="103"/>
      <c r="I342" s="103"/>
      <c r="J342" s="103"/>
      <c r="K342" s="103"/>
      <c r="L342" s="103">
        <v>0</v>
      </c>
      <c r="M342" s="679"/>
      <c r="N342" s="573"/>
      <c r="O342" s="1037" t="s">
        <v>514</v>
      </c>
    </row>
    <row r="343" spans="1:15" ht="27" customHeight="1">
      <c r="A343" s="1065"/>
      <c r="B343" s="564" t="s">
        <v>237</v>
      </c>
      <c r="C343" s="564"/>
      <c r="D343" s="564"/>
      <c r="E343" s="564"/>
      <c r="F343" s="564"/>
      <c r="G343" s="103">
        <f>K343</f>
        <v>200</v>
      </c>
      <c r="H343" s="103"/>
      <c r="I343" s="103"/>
      <c r="J343" s="103"/>
      <c r="K343" s="103">
        <f>K344</f>
        <v>200</v>
      </c>
      <c r="L343" s="103">
        <f>L344</f>
        <v>2000</v>
      </c>
      <c r="M343" s="679">
        <f>M344</f>
        <v>0</v>
      </c>
      <c r="N343" s="573"/>
      <c r="O343" s="1037"/>
    </row>
    <row r="344" spans="1:15" ht="20.25" customHeight="1">
      <c r="A344" s="1065"/>
      <c r="B344" s="564" t="s">
        <v>10</v>
      </c>
      <c r="C344" s="564"/>
      <c r="D344" s="564"/>
      <c r="E344" s="564"/>
      <c r="F344" s="564"/>
      <c r="G344" s="103">
        <f>K344</f>
        <v>200</v>
      </c>
      <c r="H344" s="103"/>
      <c r="I344" s="103"/>
      <c r="J344" s="103"/>
      <c r="K344" s="103">
        <v>200</v>
      </c>
      <c r="L344" s="103">
        <v>2000</v>
      </c>
      <c r="M344" s="679">
        <v>0</v>
      </c>
      <c r="N344" s="573"/>
      <c r="O344" s="1037"/>
    </row>
    <row r="345" spans="1:15" ht="22.5" customHeight="1">
      <c r="A345" s="1065"/>
      <c r="B345" s="564" t="s">
        <v>443</v>
      </c>
      <c r="C345" s="564"/>
      <c r="D345" s="564"/>
      <c r="E345" s="564"/>
      <c r="F345" s="564"/>
      <c r="G345" s="103"/>
      <c r="H345" s="103"/>
      <c r="I345" s="103"/>
      <c r="J345" s="103"/>
      <c r="K345" s="103"/>
      <c r="L345" s="103">
        <v>0</v>
      </c>
      <c r="M345" s="679"/>
      <c r="N345" s="573"/>
      <c r="O345" s="1037"/>
    </row>
    <row r="346" spans="1:15" ht="21" hidden="1" customHeight="1">
      <c r="A346" s="1065"/>
      <c r="B346" s="564" t="s">
        <v>89</v>
      </c>
      <c r="C346" s="564"/>
      <c r="D346" s="564"/>
      <c r="E346" s="564"/>
      <c r="F346" s="564"/>
      <c r="G346" s="103">
        <v>0</v>
      </c>
      <c r="H346" s="103"/>
      <c r="I346" s="103"/>
      <c r="J346" s="103"/>
      <c r="K346" s="103"/>
      <c r="L346" s="103"/>
      <c r="M346" s="679"/>
      <c r="N346" s="573"/>
      <c r="O346" s="1037" t="s">
        <v>518</v>
      </c>
    </row>
    <row r="347" spans="1:15" ht="24" hidden="1">
      <c r="A347" s="1065"/>
      <c r="B347" s="564" t="s">
        <v>237</v>
      </c>
      <c r="C347" s="564"/>
      <c r="D347" s="564"/>
      <c r="E347" s="564"/>
      <c r="F347" s="564"/>
      <c r="G347" s="103">
        <f>G349</f>
        <v>0</v>
      </c>
      <c r="H347" s="103"/>
      <c r="I347" s="103"/>
      <c r="J347" s="103"/>
      <c r="K347" s="103"/>
      <c r="L347" s="103">
        <f>L349</f>
        <v>0</v>
      </c>
      <c r="M347" s="679"/>
      <c r="N347" s="573"/>
      <c r="O347" s="1037"/>
    </row>
    <row r="348" spans="1:15" ht="20.25" hidden="1" customHeight="1">
      <c r="A348" s="1065"/>
      <c r="B348" s="564" t="s">
        <v>10</v>
      </c>
      <c r="C348" s="564"/>
      <c r="D348" s="564"/>
      <c r="E348" s="564"/>
      <c r="F348" s="564"/>
      <c r="G348" s="103"/>
      <c r="H348" s="103"/>
      <c r="I348" s="103"/>
      <c r="J348" s="103"/>
      <c r="K348" s="103"/>
      <c r="L348" s="103"/>
      <c r="M348" s="679"/>
      <c r="N348" s="573"/>
      <c r="O348" s="1037"/>
    </row>
    <row r="349" spans="1:15" ht="22.5" hidden="1" customHeight="1">
      <c r="A349" s="1065"/>
      <c r="B349" s="564" t="s">
        <v>443</v>
      </c>
      <c r="C349" s="564"/>
      <c r="D349" s="564"/>
      <c r="E349" s="564"/>
      <c r="F349" s="564"/>
      <c r="G349" s="103"/>
      <c r="H349" s="103"/>
      <c r="I349" s="103"/>
      <c r="J349" s="103"/>
      <c r="K349" s="103"/>
      <c r="L349" s="103"/>
      <c r="M349" s="679"/>
      <c r="N349" s="573"/>
      <c r="O349" s="1037"/>
    </row>
    <row r="350" spans="1:15" ht="23.25" customHeight="1">
      <c r="A350" s="1038" t="s">
        <v>163</v>
      </c>
      <c r="B350" s="62" t="s">
        <v>89</v>
      </c>
      <c r="C350" s="564"/>
      <c r="D350" s="564"/>
      <c r="E350" s="564"/>
      <c r="F350" s="564"/>
      <c r="G350" s="102">
        <f t="shared" ref="G350:M350" si="111">G358</f>
        <v>0</v>
      </c>
      <c r="H350" s="102"/>
      <c r="I350" s="102"/>
      <c r="J350" s="102"/>
      <c r="K350" s="102"/>
      <c r="L350" s="102">
        <f t="shared" si="111"/>
        <v>0</v>
      </c>
      <c r="M350" s="499">
        <f t="shared" si="111"/>
        <v>0</v>
      </c>
      <c r="N350" s="573"/>
      <c r="O350" s="564"/>
    </row>
    <row r="351" spans="1:15" ht="24">
      <c r="A351" s="1038"/>
      <c r="B351" s="62" t="s">
        <v>237</v>
      </c>
      <c r="C351" s="564"/>
      <c r="D351" s="564"/>
      <c r="E351" s="564"/>
      <c r="F351" s="564"/>
      <c r="G351" s="102">
        <f>G355+G359</f>
        <v>50</v>
      </c>
      <c r="H351" s="102">
        <f t="shared" ref="H351:M351" si="112">H355+H359</f>
        <v>0</v>
      </c>
      <c r="I351" s="102">
        <f t="shared" si="112"/>
        <v>0</v>
      </c>
      <c r="J351" s="102">
        <f t="shared" si="112"/>
        <v>0</v>
      </c>
      <c r="K351" s="102">
        <f t="shared" si="112"/>
        <v>50</v>
      </c>
      <c r="L351" s="102">
        <f t="shared" si="112"/>
        <v>3000</v>
      </c>
      <c r="M351" s="102">
        <f t="shared" si="112"/>
        <v>0</v>
      </c>
      <c r="N351" s="573"/>
      <c r="O351" s="564"/>
    </row>
    <row r="352" spans="1:15" ht="25.5" customHeight="1">
      <c r="A352" s="1038"/>
      <c r="B352" s="62" t="s">
        <v>10</v>
      </c>
      <c r="C352" s="564"/>
      <c r="D352" s="564"/>
      <c r="E352" s="564"/>
      <c r="F352" s="564"/>
      <c r="G352" s="102">
        <f>G356+G360</f>
        <v>50</v>
      </c>
      <c r="H352" s="102">
        <f t="shared" ref="H352:L352" si="113">H356+H360</f>
        <v>0</v>
      </c>
      <c r="I352" s="102">
        <f t="shared" si="113"/>
        <v>0</v>
      </c>
      <c r="J352" s="102">
        <f t="shared" si="113"/>
        <v>0</v>
      </c>
      <c r="K352" s="102">
        <f t="shared" si="113"/>
        <v>50</v>
      </c>
      <c r="L352" s="102">
        <f t="shared" si="113"/>
        <v>3000</v>
      </c>
      <c r="M352" s="499">
        <f>M356+M360</f>
        <v>0</v>
      </c>
      <c r="N352" s="573"/>
      <c r="O352" s="564"/>
    </row>
    <row r="353" spans="1:61" ht="27" customHeight="1">
      <c r="A353" s="1038"/>
      <c r="B353" s="62" t="s">
        <v>443</v>
      </c>
      <c r="C353" s="564"/>
      <c r="D353" s="564"/>
      <c r="E353" s="564"/>
      <c r="F353" s="564"/>
      <c r="G353" s="102">
        <f t="shared" ref="G353:M353" si="114">G361</f>
        <v>0</v>
      </c>
      <c r="H353" s="102"/>
      <c r="I353" s="102"/>
      <c r="J353" s="102"/>
      <c r="K353" s="102"/>
      <c r="L353" s="102">
        <f t="shared" si="114"/>
        <v>0</v>
      </c>
      <c r="M353" s="499">
        <f t="shared" si="114"/>
        <v>0</v>
      </c>
      <c r="N353" s="573"/>
      <c r="O353" s="564"/>
    </row>
    <row r="354" spans="1:61" ht="30" customHeight="1">
      <c r="A354" s="1028" t="s">
        <v>860</v>
      </c>
      <c r="B354" s="632" t="s">
        <v>89</v>
      </c>
      <c r="C354" s="632"/>
      <c r="D354" s="632"/>
      <c r="E354" s="632"/>
      <c r="F354" s="632"/>
      <c r="G354" s="102"/>
      <c r="H354" s="102"/>
      <c r="I354" s="102"/>
      <c r="J354" s="102"/>
      <c r="K354" s="102"/>
      <c r="L354" s="102"/>
      <c r="M354" s="499"/>
      <c r="N354" s="633"/>
      <c r="O354" s="1030" t="s">
        <v>910</v>
      </c>
    </row>
    <row r="355" spans="1:61" ht="24">
      <c r="A355" s="1036"/>
      <c r="B355" s="632" t="s">
        <v>237</v>
      </c>
      <c r="C355" s="632"/>
      <c r="D355" s="632"/>
      <c r="E355" s="632"/>
      <c r="F355" s="632"/>
      <c r="G355" s="102"/>
      <c r="H355" s="102"/>
      <c r="I355" s="102"/>
      <c r="J355" s="102"/>
      <c r="K355" s="102"/>
      <c r="L355" s="103">
        <f>L356</f>
        <v>3000</v>
      </c>
      <c r="M355" s="499">
        <f>M356</f>
        <v>0</v>
      </c>
      <c r="N355" s="633"/>
      <c r="O355" s="1032"/>
      <c r="AC355" s="44" t="s">
        <v>904</v>
      </c>
    </row>
    <row r="356" spans="1:61" ht="23.25" customHeight="1">
      <c r="A356" s="1036"/>
      <c r="B356" s="632" t="s">
        <v>10</v>
      </c>
      <c r="C356" s="632"/>
      <c r="D356" s="632"/>
      <c r="E356" s="632"/>
      <c r="F356" s="632"/>
      <c r="G356" s="102"/>
      <c r="H356" s="102"/>
      <c r="I356" s="102"/>
      <c r="J356" s="102"/>
      <c r="K356" s="102"/>
      <c r="L356" s="103">
        <v>3000</v>
      </c>
      <c r="M356" s="679">
        <v>0</v>
      </c>
      <c r="N356" s="633"/>
      <c r="O356" s="1032"/>
    </row>
    <row r="357" spans="1:61" ht="21.75" customHeight="1">
      <c r="A357" s="1029"/>
      <c r="B357" s="632" t="s">
        <v>443</v>
      </c>
      <c r="C357" s="632"/>
      <c r="D357" s="632"/>
      <c r="E357" s="632"/>
      <c r="F357" s="632"/>
      <c r="G357" s="102"/>
      <c r="H357" s="102"/>
      <c r="I357" s="102"/>
      <c r="J357" s="102"/>
      <c r="K357" s="102"/>
      <c r="L357" s="102"/>
      <c r="M357" s="499"/>
      <c r="N357" s="633"/>
      <c r="O357" s="1031"/>
    </row>
    <row r="358" spans="1:61" ht="20.25" customHeight="1">
      <c r="A358" s="1065" t="s">
        <v>243</v>
      </c>
      <c r="B358" s="564" t="s">
        <v>89</v>
      </c>
      <c r="C358" s="564"/>
      <c r="D358" s="564"/>
      <c r="E358" s="564"/>
      <c r="F358" s="564"/>
      <c r="G358" s="103">
        <v>0</v>
      </c>
      <c r="H358" s="103"/>
      <c r="I358" s="103"/>
      <c r="J358" s="103"/>
      <c r="K358" s="103"/>
      <c r="L358" s="103"/>
      <c r="M358" s="679"/>
      <c r="N358" s="573"/>
      <c r="O358" s="1037" t="s">
        <v>914</v>
      </c>
    </row>
    <row r="359" spans="1:61" s="45" customFormat="1" ht="24">
      <c r="A359" s="1065"/>
      <c r="B359" s="564" t="s">
        <v>237</v>
      </c>
      <c r="C359" s="564"/>
      <c r="D359" s="564"/>
      <c r="E359" s="564"/>
      <c r="F359" s="564"/>
      <c r="G359" s="103">
        <f t="shared" ref="G359:J359" si="115">G360</f>
        <v>50</v>
      </c>
      <c r="H359" s="103">
        <f t="shared" si="115"/>
        <v>0</v>
      </c>
      <c r="I359" s="103">
        <f t="shared" si="115"/>
        <v>0</v>
      </c>
      <c r="J359" s="103">
        <f t="shared" si="115"/>
        <v>0</v>
      </c>
      <c r="K359" s="103">
        <f>K360</f>
        <v>50</v>
      </c>
      <c r="L359" s="103">
        <f t="shared" ref="L359:M359" si="116">L360+L361</f>
        <v>0</v>
      </c>
      <c r="M359" s="679">
        <f t="shared" si="116"/>
        <v>0</v>
      </c>
      <c r="N359" s="573"/>
      <c r="O359" s="1037"/>
      <c r="AJ359" s="113"/>
      <c r="AK359" s="113"/>
      <c r="AL359" s="113"/>
      <c r="AM359" s="113"/>
      <c r="AN359" s="113"/>
      <c r="AO359" s="113"/>
      <c r="AP359" s="113"/>
      <c r="AQ359" s="113"/>
      <c r="AR359" s="113"/>
      <c r="AS359" s="113"/>
      <c r="AT359" s="113"/>
      <c r="AU359" s="113"/>
      <c r="AV359" s="113"/>
      <c r="AW359" s="113"/>
      <c r="AX359" s="113"/>
      <c r="AY359" s="113"/>
      <c r="AZ359" s="113"/>
      <c r="BA359" s="113"/>
      <c r="BB359" s="113"/>
      <c r="BC359" s="113"/>
      <c r="BD359" s="113"/>
      <c r="BE359" s="113"/>
      <c r="BF359" s="113"/>
      <c r="BG359" s="113"/>
      <c r="BH359" s="113"/>
      <c r="BI359" s="113"/>
    </row>
    <row r="360" spans="1:61" s="45" customFormat="1" ht="19.5" customHeight="1">
      <c r="A360" s="1065"/>
      <c r="B360" s="564" t="s">
        <v>10</v>
      </c>
      <c r="C360" s="564"/>
      <c r="D360" s="564"/>
      <c r="E360" s="564"/>
      <c r="F360" s="564"/>
      <c r="G360" s="103">
        <f>K360</f>
        <v>50</v>
      </c>
      <c r="H360" s="103"/>
      <c r="I360" s="103"/>
      <c r="J360" s="103"/>
      <c r="K360" s="103">
        <v>50</v>
      </c>
      <c r="L360" s="103">
        <v>0</v>
      </c>
      <c r="M360" s="679"/>
      <c r="N360" s="573"/>
      <c r="O360" s="1037"/>
      <c r="AJ360" s="113"/>
      <c r="AK360" s="113"/>
      <c r="AL360" s="113"/>
      <c r="AM360" s="113"/>
      <c r="AN360" s="113"/>
      <c r="AO360" s="113"/>
      <c r="AP360" s="113"/>
      <c r="AQ360" s="113"/>
      <c r="AR360" s="113"/>
      <c r="AS360" s="113"/>
      <c r="AT360" s="113"/>
      <c r="AU360" s="113"/>
      <c r="AV360" s="113"/>
      <c r="AW360" s="113"/>
      <c r="AX360" s="113"/>
      <c r="AY360" s="113"/>
      <c r="AZ360" s="113"/>
      <c r="BA360" s="113"/>
      <c r="BB360" s="113"/>
      <c r="BC360" s="113"/>
      <c r="BD360" s="113"/>
      <c r="BE360" s="113"/>
      <c r="BF360" s="113"/>
      <c r="BG360" s="113"/>
      <c r="BH360" s="113"/>
      <c r="BI360" s="113"/>
    </row>
    <row r="361" spans="1:61" s="45" customFormat="1" ht="22.5" customHeight="1">
      <c r="A361" s="1065"/>
      <c r="B361" s="564" t="s">
        <v>443</v>
      </c>
      <c r="C361" s="564"/>
      <c r="D361" s="564"/>
      <c r="E361" s="564"/>
      <c r="F361" s="564"/>
      <c r="G361" s="103">
        <v>0</v>
      </c>
      <c r="H361" s="103"/>
      <c r="I361" s="103"/>
      <c r="J361" s="103"/>
      <c r="K361" s="103"/>
      <c r="L361" s="103"/>
      <c r="M361" s="679"/>
      <c r="N361" s="573"/>
      <c r="O361" s="1037"/>
      <c r="AJ361" s="113"/>
      <c r="AK361" s="113"/>
      <c r="AL361" s="113"/>
      <c r="AM361" s="113"/>
      <c r="AN361" s="113"/>
      <c r="AO361" s="113"/>
      <c r="AP361" s="113"/>
      <c r="AQ361" s="113"/>
      <c r="AR361" s="113"/>
      <c r="AS361" s="113"/>
      <c r="AT361" s="113"/>
      <c r="AU361" s="113"/>
      <c r="AV361" s="113"/>
      <c r="AW361" s="113"/>
      <c r="AX361" s="113"/>
      <c r="AY361" s="113"/>
      <c r="AZ361" s="113"/>
      <c r="BA361" s="113"/>
      <c r="BB361" s="113"/>
      <c r="BC361" s="113"/>
      <c r="BD361" s="113"/>
      <c r="BE361" s="113"/>
      <c r="BF361" s="113"/>
      <c r="BG361" s="113"/>
      <c r="BH361" s="113"/>
      <c r="BI361" s="113"/>
    </row>
    <row r="362" spans="1:61" s="45" customFormat="1" ht="24.75" customHeight="1">
      <c r="A362" s="1038" t="s">
        <v>105</v>
      </c>
      <c r="B362" s="62" t="s">
        <v>89</v>
      </c>
      <c r="C362" s="62"/>
      <c r="D362" s="62"/>
      <c r="E362" s="62"/>
      <c r="F362" s="62"/>
      <c r="G362" s="102">
        <f>+G374</f>
        <v>0</v>
      </c>
      <c r="H362" s="102">
        <f t="shared" ref="H362:M362" si="117">+H374</f>
        <v>0</v>
      </c>
      <c r="I362" s="102">
        <f t="shared" si="117"/>
        <v>0</v>
      </c>
      <c r="J362" s="102">
        <f t="shared" si="117"/>
        <v>0</v>
      </c>
      <c r="K362" s="102">
        <f t="shared" si="117"/>
        <v>0</v>
      </c>
      <c r="L362" s="102">
        <f t="shared" si="117"/>
        <v>0</v>
      </c>
      <c r="M362" s="499">
        <f t="shared" si="117"/>
        <v>0</v>
      </c>
      <c r="N362" s="573"/>
      <c r="O362" s="62"/>
      <c r="AJ362" s="113"/>
      <c r="AK362" s="113"/>
      <c r="AL362" s="113"/>
      <c r="AM362" s="113"/>
      <c r="AN362" s="113"/>
      <c r="AO362" s="113"/>
      <c r="AP362" s="113"/>
      <c r="AQ362" s="113"/>
      <c r="AR362" s="113"/>
      <c r="AS362" s="113"/>
      <c r="AT362" s="113"/>
      <c r="AU362" s="113"/>
      <c r="AV362" s="113"/>
      <c r="AW362" s="113"/>
      <c r="AX362" s="113"/>
      <c r="AY362" s="113"/>
      <c r="AZ362" s="113"/>
      <c r="BA362" s="113"/>
      <c r="BB362" s="113"/>
      <c r="BC362" s="113"/>
      <c r="BD362" s="113"/>
      <c r="BE362" s="113"/>
      <c r="BF362" s="113"/>
      <c r="BG362" s="113"/>
      <c r="BH362" s="113"/>
      <c r="BI362" s="113"/>
    </row>
    <row r="363" spans="1:61" ht="24">
      <c r="A363" s="1038"/>
      <c r="B363" s="62" t="s">
        <v>237</v>
      </c>
      <c r="C363" s="62"/>
      <c r="D363" s="62"/>
      <c r="E363" s="62"/>
      <c r="F363" s="62"/>
      <c r="G363" s="102">
        <f>G364+G365</f>
        <v>400</v>
      </c>
      <c r="H363" s="102">
        <f t="shared" ref="H363:M363" si="118">H364+H365</f>
        <v>0</v>
      </c>
      <c r="I363" s="102">
        <f t="shared" si="118"/>
        <v>0</v>
      </c>
      <c r="J363" s="102">
        <f t="shared" si="118"/>
        <v>0</v>
      </c>
      <c r="K363" s="102">
        <f t="shared" si="118"/>
        <v>400</v>
      </c>
      <c r="L363" s="102">
        <f t="shared" si="118"/>
        <v>0</v>
      </c>
      <c r="M363" s="499">
        <f t="shared" si="118"/>
        <v>0</v>
      </c>
      <c r="N363" s="573"/>
      <c r="O363" s="62"/>
    </row>
    <row r="364" spans="1:61" ht="18.75" customHeight="1">
      <c r="A364" s="1038"/>
      <c r="B364" s="62" t="s">
        <v>10</v>
      </c>
      <c r="C364" s="62"/>
      <c r="D364" s="62"/>
      <c r="E364" s="62"/>
      <c r="F364" s="62"/>
      <c r="G364" s="102">
        <f>G376</f>
        <v>400</v>
      </c>
      <c r="H364" s="102">
        <f t="shared" ref="H364:M365" si="119">H376</f>
        <v>0</v>
      </c>
      <c r="I364" s="102">
        <f t="shared" si="119"/>
        <v>0</v>
      </c>
      <c r="J364" s="102">
        <f t="shared" si="119"/>
        <v>0</v>
      </c>
      <c r="K364" s="102">
        <f t="shared" si="119"/>
        <v>400</v>
      </c>
      <c r="L364" s="102">
        <f t="shared" si="119"/>
        <v>0</v>
      </c>
      <c r="M364" s="499">
        <f t="shared" si="119"/>
        <v>0</v>
      </c>
      <c r="N364" s="573"/>
      <c r="O364" s="62"/>
    </row>
    <row r="365" spans="1:61" ht="19.5" customHeight="1">
      <c r="A365" s="1038"/>
      <c r="B365" s="62" t="s">
        <v>443</v>
      </c>
      <c r="C365" s="62"/>
      <c r="D365" s="62"/>
      <c r="E365" s="62"/>
      <c r="F365" s="62"/>
      <c r="G365" s="102">
        <f>G377</f>
        <v>0</v>
      </c>
      <c r="H365" s="102"/>
      <c r="I365" s="102"/>
      <c r="J365" s="102"/>
      <c r="K365" s="102"/>
      <c r="L365" s="102">
        <f t="shared" si="119"/>
        <v>0</v>
      </c>
      <c r="M365" s="499">
        <f t="shared" si="119"/>
        <v>0</v>
      </c>
      <c r="N365" s="573"/>
      <c r="O365" s="62"/>
    </row>
    <row r="366" spans="1:61" hidden="1">
      <c r="A366" s="1070" t="s">
        <v>20</v>
      </c>
      <c r="B366" s="564" t="s">
        <v>89</v>
      </c>
      <c r="C366" s="564">
        <v>176</v>
      </c>
      <c r="D366" s="564" t="s">
        <v>15</v>
      </c>
      <c r="E366" s="564">
        <v>6100404</v>
      </c>
      <c r="F366" s="564">
        <v>414</v>
      </c>
      <c r="G366" s="103">
        <v>0</v>
      </c>
      <c r="H366" s="103"/>
      <c r="I366" s="103"/>
      <c r="J366" s="103"/>
      <c r="K366" s="103"/>
      <c r="L366" s="103"/>
      <c r="M366" s="679"/>
      <c r="N366" s="573"/>
      <c r="O366" s="1037" t="s">
        <v>197</v>
      </c>
    </row>
    <row r="367" spans="1:61" ht="24" hidden="1">
      <c r="A367" s="1071"/>
      <c r="B367" s="564" t="s">
        <v>237</v>
      </c>
      <c r="C367" s="564"/>
      <c r="D367" s="564"/>
      <c r="E367" s="564"/>
      <c r="F367" s="564"/>
      <c r="G367" s="103">
        <f t="shared" ref="G367:L367" si="120">G368+G369</f>
        <v>0</v>
      </c>
      <c r="H367" s="103"/>
      <c r="I367" s="103"/>
      <c r="J367" s="103"/>
      <c r="K367" s="103"/>
      <c r="L367" s="103">
        <f t="shared" si="120"/>
        <v>0</v>
      </c>
      <c r="M367" s="679"/>
      <c r="N367" s="573"/>
      <c r="O367" s="1037"/>
    </row>
    <row r="368" spans="1:61" hidden="1">
      <c r="A368" s="1071"/>
      <c r="B368" s="564" t="s">
        <v>10</v>
      </c>
      <c r="C368" s="564"/>
      <c r="D368" s="564"/>
      <c r="E368" s="564"/>
      <c r="F368" s="564"/>
      <c r="G368" s="103"/>
      <c r="H368" s="103"/>
      <c r="I368" s="103"/>
      <c r="J368" s="103"/>
      <c r="K368" s="103"/>
      <c r="L368" s="103"/>
      <c r="M368" s="679"/>
      <c r="N368" s="573"/>
      <c r="O368" s="1037"/>
    </row>
    <row r="369" spans="1:61" hidden="1">
      <c r="A369" s="1072"/>
      <c r="B369" s="564" t="s">
        <v>34</v>
      </c>
      <c r="C369" s="564"/>
      <c r="D369" s="564"/>
      <c r="E369" s="564"/>
      <c r="F369" s="564"/>
      <c r="G369" s="103"/>
      <c r="H369" s="103"/>
      <c r="I369" s="103"/>
      <c r="J369" s="103"/>
      <c r="K369" s="103"/>
      <c r="L369" s="103"/>
      <c r="M369" s="679"/>
      <c r="N369" s="573"/>
      <c r="O369" s="1037"/>
    </row>
    <row r="370" spans="1:61" hidden="1">
      <c r="A370" s="1065" t="s">
        <v>222</v>
      </c>
      <c r="B370" s="564" t="s">
        <v>89</v>
      </c>
      <c r="C370" s="564"/>
      <c r="D370" s="564"/>
      <c r="E370" s="564"/>
      <c r="F370" s="564"/>
      <c r="G370" s="103"/>
      <c r="H370" s="103"/>
      <c r="I370" s="103"/>
      <c r="J370" s="103"/>
      <c r="K370" s="103"/>
      <c r="L370" s="103"/>
      <c r="M370" s="679"/>
      <c r="N370" s="573"/>
      <c r="O370" s="1037" t="s">
        <v>214</v>
      </c>
    </row>
    <row r="371" spans="1:61" s="45" customFormat="1" ht="24" hidden="1">
      <c r="A371" s="1065"/>
      <c r="B371" s="564" t="s">
        <v>237</v>
      </c>
      <c r="C371" s="564"/>
      <c r="D371" s="564"/>
      <c r="E371" s="564"/>
      <c r="F371" s="564"/>
      <c r="G371" s="103">
        <f t="shared" ref="G371:L371" si="121">G372+G373</f>
        <v>0</v>
      </c>
      <c r="H371" s="103"/>
      <c r="I371" s="103"/>
      <c r="J371" s="103"/>
      <c r="K371" s="103"/>
      <c r="L371" s="103">
        <f t="shared" si="121"/>
        <v>0</v>
      </c>
      <c r="M371" s="679"/>
      <c r="N371" s="573"/>
      <c r="O371" s="1037"/>
      <c r="AJ371" s="113"/>
      <c r="AK371" s="113"/>
      <c r="AL371" s="113"/>
      <c r="AM371" s="113"/>
      <c r="AN371" s="113"/>
      <c r="AO371" s="113"/>
      <c r="AP371" s="113"/>
      <c r="AQ371" s="113"/>
      <c r="AR371" s="113"/>
      <c r="AS371" s="113"/>
      <c r="AT371" s="113"/>
      <c r="AU371" s="113"/>
      <c r="AV371" s="113"/>
      <c r="AW371" s="113"/>
      <c r="AX371" s="113"/>
      <c r="AY371" s="113"/>
      <c r="AZ371" s="113"/>
      <c r="BA371" s="113"/>
      <c r="BB371" s="113"/>
      <c r="BC371" s="113"/>
      <c r="BD371" s="113"/>
      <c r="BE371" s="113"/>
      <c r="BF371" s="113"/>
      <c r="BG371" s="113"/>
      <c r="BH371" s="113"/>
      <c r="BI371" s="113"/>
    </row>
    <row r="372" spans="1:61" s="45" customFormat="1" ht="14.25" hidden="1">
      <c r="A372" s="1065"/>
      <c r="B372" s="564" t="s">
        <v>10</v>
      </c>
      <c r="C372" s="564"/>
      <c r="D372" s="564"/>
      <c r="E372" s="564"/>
      <c r="F372" s="564"/>
      <c r="G372" s="103"/>
      <c r="H372" s="103"/>
      <c r="I372" s="103"/>
      <c r="J372" s="103"/>
      <c r="K372" s="103"/>
      <c r="L372" s="103"/>
      <c r="M372" s="679"/>
      <c r="N372" s="573"/>
      <c r="O372" s="1037"/>
      <c r="AJ372" s="113"/>
      <c r="AK372" s="113"/>
      <c r="AL372" s="113"/>
      <c r="AM372" s="113"/>
      <c r="AN372" s="113"/>
      <c r="AO372" s="113"/>
      <c r="AP372" s="113"/>
      <c r="AQ372" s="113"/>
      <c r="AR372" s="113"/>
      <c r="AS372" s="113"/>
      <c r="AT372" s="113"/>
      <c r="AU372" s="113"/>
      <c r="AV372" s="113"/>
      <c r="AW372" s="113"/>
      <c r="AX372" s="113"/>
      <c r="AY372" s="113"/>
      <c r="AZ372" s="113"/>
      <c r="BA372" s="113"/>
      <c r="BB372" s="113"/>
      <c r="BC372" s="113"/>
      <c r="BD372" s="113"/>
      <c r="BE372" s="113"/>
      <c r="BF372" s="113"/>
      <c r="BG372" s="113"/>
      <c r="BH372" s="113"/>
      <c r="BI372" s="113"/>
    </row>
    <row r="373" spans="1:61" s="45" customFormat="1" ht="14.25" hidden="1">
      <c r="A373" s="1065"/>
      <c r="B373" s="564" t="s">
        <v>34</v>
      </c>
      <c r="C373" s="564"/>
      <c r="D373" s="564"/>
      <c r="E373" s="564"/>
      <c r="F373" s="564"/>
      <c r="G373" s="103"/>
      <c r="H373" s="103"/>
      <c r="I373" s="103"/>
      <c r="J373" s="103"/>
      <c r="K373" s="103"/>
      <c r="L373" s="103"/>
      <c r="M373" s="679"/>
      <c r="N373" s="573"/>
      <c r="O373" s="1037"/>
      <c r="AJ373" s="113"/>
      <c r="AK373" s="113"/>
      <c r="AL373" s="113"/>
      <c r="AM373" s="113"/>
      <c r="AN373" s="113"/>
      <c r="AO373" s="113"/>
      <c r="AP373" s="113"/>
      <c r="AQ373" s="113"/>
      <c r="AR373" s="113"/>
      <c r="AS373" s="113"/>
      <c r="AT373" s="113"/>
      <c r="AU373" s="113"/>
      <c r="AV373" s="113"/>
      <c r="AW373" s="113"/>
      <c r="AX373" s="113"/>
      <c r="AY373" s="113"/>
      <c r="AZ373" s="113"/>
      <c r="BA373" s="113"/>
      <c r="BB373" s="113"/>
      <c r="BC373" s="113"/>
      <c r="BD373" s="113"/>
      <c r="BE373" s="113"/>
      <c r="BF373" s="113"/>
      <c r="BG373" s="113"/>
      <c r="BH373" s="113"/>
      <c r="BI373" s="113"/>
    </row>
    <row r="374" spans="1:61" s="45" customFormat="1" ht="21.75" customHeight="1">
      <c r="A374" s="1070" t="s">
        <v>310</v>
      </c>
      <c r="B374" s="564" t="s">
        <v>89</v>
      </c>
      <c r="C374" s="564"/>
      <c r="D374" s="564"/>
      <c r="E374" s="564"/>
      <c r="F374" s="564"/>
      <c r="G374" s="103">
        <f>K374</f>
        <v>0</v>
      </c>
      <c r="H374" s="103"/>
      <c r="I374" s="103"/>
      <c r="J374" s="103"/>
      <c r="K374" s="103"/>
      <c r="L374" s="103"/>
      <c r="M374" s="679"/>
      <c r="N374" s="573"/>
      <c r="O374" s="1037" t="s">
        <v>914</v>
      </c>
      <c r="AJ374" s="113"/>
      <c r="AK374" s="113"/>
      <c r="AL374" s="113"/>
      <c r="AM374" s="113"/>
      <c r="AN374" s="113"/>
      <c r="AO374" s="113"/>
      <c r="AP374" s="113"/>
      <c r="AQ374" s="113"/>
      <c r="AR374" s="113"/>
      <c r="AS374" s="113"/>
      <c r="AT374" s="113"/>
      <c r="AU374" s="113"/>
      <c r="AV374" s="113"/>
      <c r="AW374" s="113"/>
      <c r="AX374" s="113"/>
      <c r="AY374" s="113"/>
      <c r="AZ374" s="113"/>
      <c r="BA374" s="113"/>
      <c r="BB374" s="113"/>
      <c r="BC374" s="113"/>
      <c r="BD374" s="113"/>
      <c r="BE374" s="113"/>
      <c r="BF374" s="113"/>
      <c r="BG374" s="113"/>
      <c r="BH374" s="113"/>
      <c r="BI374" s="113"/>
    </row>
    <row r="375" spans="1:61" s="45" customFormat="1" ht="33.75" customHeight="1">
      <c r="A375" s="1071"/>
      <c r="B375" s="564" t="s">
        <v>237</v>
      </c>
      <c r="C375" s="564"/>
      <c r="D375" s="564"/>
      <c r="E375" s="564"/>
      <c r="F375" s="564"/>
      <c r="G375" s="103">
        <f>G376</f>
        <v>400</v>
      </c>
      <c r="H375" s="103">
        <f t="shared" ref="H375:K375" si="122">H376</f>
        <v>0</v>
      </c>
      <c r="I375" s="103">
        <f t="shared" si="122"/>
        <v>0</v>
      </c>
      <c r="J375" s="103">
        <f t="shared" si="122"/>
        <v>0</v>
      </c>
      <c r="K375" s="103">
        <f t="shared" si="122"/>
        <v>400</v>
      </c>
      <c r="L375" s="103">
        <f>L376</f>
        <v>0</v>
      </c>
      <c r="M375" s="679"/>
      <c r="N375" s="573"/>
      <c r="O375" s="1037"/>
      <c r="AJ375" s="113"/>
      <c r="AK375" s="113"/>
      <c r="AL375" s="113"/>
      <c r="AM375" s="113"/>
      <c r="AN375" s="113"/>
      <c r="AO375" s="113"/>
      <c r="AP375" s="113"/>
      <c r="AQ375" s="113"/>
      <c r="AR375" s="113"/>
      <c r="AS375" s="113"/>
      <c r="AT375" s="113"/>
      <c r="AU375" s="113"/>
      <c r="AV375" s="113"/>
      <c r="AW375" s="113"/>
      <c r="AX375" s="113"/>
      <c r="AY375" s="113"/>
      <c r="AZ375" s="113"/>
      <c r="BA375" s="113"/>
      <c r="BB375" s="113"/>
      <c r="BC375" s="113"/>
      <c r="BD375" s="113"/>
      <c r="BE375" s="113"/>
      <c r="BF375" s="113"/>
      <c r="BG375" s="113"/>
      <c r="BH375" s="113"/>
      <c r="BI375" s="113"/>
    </row>
    <row r="376" spans="1:61" s="45" customFormat="1" ht="24" customHeight="1">
      <c r="A376" s="1071"/>
      <c r="B376" s="564" t="s">
        <v>10</v>
      </c>
      <c r="C376" s="564"/>
      <c r="D376" s="564"/>
      <c r="E376" s="564"/>
      <c r="F376" s="564"/>
      <c r="G376" s="103">
        <f>J376+K376</f>
        <v>400</v>
      </c>
      <c r="H376" s="103"/>
      <c r="I376" s="103"/>
      <c r="J376" s="103"/>
      <c r="K376" s="103">
        <v>400</v>
      </c>
      <c r="L376" s="103"/>
      <c r="M376" s="679"/>
      <c r="N376" s="573"/>
      <c r="O376" s="1037"/>
      <c r="AJ376" s="113"/>
      <c r="AK376" s="113"/>
      <c r="AL376" s="113"/>
      <c r="AM376" s="113"/>
      <c r="AN376" s="113"/>
      <c r="AO376" s="113"/>
      <c r="AP376" s="113"/>
      <c r="AQ376" s="113"/>
      <c r="AR376" s="113"/>
      <c r="AS376" s="113"/>
      <c r="AT376" s="113"/>
      <c r="AU376" s="113"/>
      <c r="AV376" s="113"/>
      <c r="AW376" s="113"/>
      <c r="AX376" s="113"/>
      <c r="AY376" s="113"/>
      <c r="AZ376" s="113"/>
      <c r="BA376" s="113"/>
      <c r="BB376" s="113"/>
      <c r="BC376" s="113"/>
      <c r="BD376" s="113"/>
      <c r="BE376" s="113"/>
      <c r="BF376" s="113"/>
      <c r="BG376" s="113"/>
      <c r="BH376" s="113"/>
      <c r="BI376" s="113"/>
    </row>
    <row r="377" spans="1:61" s="45" customFormat="1" ht="21" customHeight="1">
      <c r="A377" s="1072"/>
      <c r="B377" s="564" t="s">
        <v>443</v>
      </c>
      <c r="C377" s="564"/>
      <c r="D377" s="564"/>
      <c r="E377" s="564"/>
      <c r="F377" s="564"/>
      <c r="G377" s="103"/>
      <c r="H377" s="103"/>
      <c r="I377" s="103"/>
      <c r="J377" s="103"/>
      <c r="K377" s="103"/>
      <c r="L377" s="103"/>
      <c r="M377" s="679"/>
      <c r="N377" s="573"/>
      <c r="O377" s="1037"/>
      <c r="AJ377" s="113"/>
      <c r="AK377" s="113"/>
      <c r="AL377" s="113"/>
      <c r="AM377" s="113"/>
      <c r="AN377" s="113"/>
      <c r="AO377" s="113"/>
      <c r="AP377" s="113"/>
      <c r="AQ377" s="113"/>
      <c r="AR377" s="113"/>
      <c r="AS377" s="113"/>
      <c r="AT377" s="113"/>
      <c r="AU377" s="113"/>
      <c r="AV377" s="113"/>
      <c r="AW377" s="113"/>
      <c r="AX377" s="113"/>
      <c r="AY377" s="113"/>
      <c r="AZ377" s="113"/>
      <c r="BA377" s="113"/>
      <c r="BB377" s="113"/>
      <c r="BC377" s="113"/>
      <c r="BD377" s="113"/>
      <c r="BE377" s="113"/>
      <c r="BF377" s="113"/>
      <c r="BG377" s="113"/>
      <c r="BH377" s="113"/>
      <c r="BI377" s="113"/>
    </row>
    <row r="378" spans="1:61" s="45" customFormat="1" ht="23.25" customHeight="1">
      <c r="A378" s="985" t="s">
        <v>106</v>
      </c>
      <c r="B378" s="62" t="s">
        <v>89</v>
      </c>
      <c r="C378" s="62"/>
      <c r="D378" s="62"/>
      <c r="E378" s="62"/>
      <c r="F378" s="62"/>
      <c r="G378" s="102">
        <f>G382+G386</f>
        <v>0</v>
      </c>
      <c r="H378" s="102">
        <f t="shared" ref="H378:K378" si="123">H382+H386</f>
        <v>0</v>
      </c>
      <c r="I378" s="102">
        <f t="shared" si="123"/>
        <v>0</v>
      </c>
      <c r="J378" s="102">
        <f t="shared" si="123"/>
        <v>0</v>
      </c>
      <c r="K378" s="102">
        <f t="shared" si="123"/>
        <v>0</v>
      </c>
      <c r="L378" s="102">
        <f>L382+L386</f>
        <v>0</v>
      </c>
      <c r="M378" s="499">
        <f>M382+M386</f>
        <v>0</v>
      </c>
      <c r="N378" s="573"/>
      <c r="O378" s="62"/>
      <c r="AJ378" s="113"/>
      <c r="AK378" s="113"/>
      <c r="AL378" s="113"/>
      <c r="AM378" s="113"/>
      <c r="AN378" s="113"/>
      <c r="AO378" s="113"/>
      <c r="AP378" s="113"/>
      <c r="AQ378" s="113"/>
      <c r="AR378" s="113"/>
      <c r="AS378" s="113"/>
      <c r="AT378" s="113"/>
      <c r="AU378" s="113"/>
      <c r="AV378" s="113"/>
      <c r="AW378" s="113"/>
      <c r="AX378" s="113"/>
      <c r="AY378" s="113"/>
      <c r="AZ378" s="113"/>
      <c r="BA378" s="113"/>
      <c r="BB378" s="113"/>
      <c r="BC378" s="113"/>
      <c r="BD378" s="113"/>
      <c r="BE378" s="113"/>
      <c r="BF378" s="113"/>
      <c r="BG378" s="113"/>
      <c r="BH378" s="113"/>
      <c r="BI378" s="113"/>
    </row>
    <row r="379" spans="1:61" ht="24">
      <c r="A379" s="986"/>
      <c r="B379" s="62" t="s">
        <v>237</v>
      </c>
      <c r="C379" s="62"/>
      <c r="D379" s="62"/>
      <c r="E379" s="62"/>
      <c r="F379" s="62"/>
      <c r="G379" s="102">
        <f t="shared" ref="G379:M379" si="124">G381+G380</f>
        <v>120557.2</v>
      </c>
      <c r="H379" s="102">
        <f t="shared" si="124"/>
        <v>0</v>
      </c>
      <c r="I379" s="102">
        <f t="shared" si="124"/>
        <v>0</v>
      </c>
      <c r="J379" s="102">
        <f t="shared" si="124"/>
        <v>0</v>
      </c>
      <c r="K379" s="102">
        <f t="shared" si="124"/>
        <v>120557.2</v>
      </c>
      <c r="L379" s="102">
        <f t="shared" si="124"/>
        <v>0</v>
      </c>
      <c r="M379" s="499">
        <f t="shared" si="124"/>
        <v>0</v>
      </c>
      <c r="N379" s="573"/>
      <c r="O379" s="62"/>
    </row>
    <row r="380" spans="1:61" ht="26.25" customHeight="1">
      <c r="A380" s="986"/>
      <c r="B380" s="62" t="s">
        <v>10</v>
      </c>
      <c r="C380" s="62"/>
      <c r="D380" s="62"/>
      <c r="E380" s="62"/>
      <c r="F380" s="62"/>
      <c r="G380" s="102">
        <f t="shared" ref="G380:M381" si="125">G384+G388</f>
        <v>120557.2</v>
      </c>
      <c r="H380" s="102">
        <f t="shared" si="125"/>
        <v>0</v>
      </c>
      <c r="I380" s="102">
        <f t="shared" si="125"/>
        <v>0</v>
      </c>
      <c r="J380" s="102">
        <f t="shared" si="125"/>
        <v>0</v>
      </c>
      <c r="K380" s="102">
        <f t="shared" si="125"/>
        <v>120557.2</v>
      </c>
      <c r="L380" s="102">
        <f t="shared" si="125"/>
        <v>0</v>
      </c>
      <c r="M380" s="499">
        <f t="shared" si="125"/>
        <v>0</v>
      </c>
      <c r="N380" s="573"/>
      <c r="O380" s="62"/>
    </row>
    <row r="381" spans="1:61" ht="27.75" customHeight="1">
      <c r="A381" s="987"/>
      <c r="B381" s="62" t="s">
        <v>443</v>
      </c>
      <c r="C381" s="62"/>
      <c r="D381" s="62"/>
      <c r="E381" s="62"/>
      <c r="F381" s="62"/>
      <c r="G381" s="102">
        <f t="shared" si="125"/>
        <v>0</v>
      </c>
      <c r="H381" s="102">
        <f t="shared" si="125"/>
        <v>0</v>
      </c>
      <c r="I381" s="102">
        <f t="shared" si="125"/>
        <v>0</v>
      </c>
      <c r="J381" s="102">
        <f t="shared" si="125"/>
        <v>0</v>
      </c>
      <c r="K381" s="102">
        <f t="shared" si="125"/>
        <v>0</v>
      </c>
      <c r="L381" s="102">
        <f t="shared" si="125"/>
        <v>0</v>
      </c>
      <c r="M381" s="499">
        <f t="shared" si="125"/>
        <v>0</v>
      </c>
      <c r="N381" s="573"/>
      <c r="O381" s="62"/>
    </row>
    <row r="382" spans="1:61" hidden="1">
      <c r="A382" s="1065" t="s">
        <v>21</v>
      </c>
      <c r="B382" s="572" t="s">
        <v>89</v>
      </c>
      <c r="C382" s="572">
        <v>176</v>
      </c>
      <c r="D382" s="572" t="s">
        <v>15</v>
      </c>
      <c r="E382" s="572">
        <v>6100404</v>
      </c>
      <c r="F382" s="572">
        <v>414</v>
      </c>
      <c r="G382" s="104"/>
      <c r="H382" s="104"/>
      <c r="I382" s="104"/>
      <c r="J382" s="104"/>
      <c r="K382" s="104"/>
      <c r="L382" s="104"/>
      <c r="M382" s="692"/>
      <c r="N382" s="573"/>
      <c r="O382" s="1074" t="s">
        <v>200</v>
      </c>
    </row>
    <row r="383" spans="1:61" ht="24" hidden="1">
      <c r="A383" s="1065"/>
      <c r="B383" s="572" t="s">
        <v>237</v>
      </c>
      <c r="C383" s="572"/>
      <c r="D383" s="572"/>
      <c r="E383" s="572"/>
      <c r="F383" s="572"/>
      <c r="G383" s="104">
        <f t="shared" ref="G383:L383" si="126">G384+G385</f>
        <v>0</v>
      </c>
      <c r="H383" s="104"/>
      <c r="I383" s="104"/>
      <c r="J383" s="104"/>
      <c r="K383" s="104"/>
      <c r="L383" s="104">
        <f t="shared" si="126"/>
        <v>0</v>
      </c>
      <c r="M383" s="692"/>
      <c r="N383" s="573"/>
      <c r="O383" s="1074"/>
    </row>
    <row r="384" spans="1:61" hidden="1">
      <c r="A384" s="1065"/>
      <c r="B384" s="572" t="s">
        <v>10</v>
      </c>
      <c r="C384" s="572"/>
      <c r="D384" s="572"/>
      <c r="E384" s="572"/>
      <c r="F384" s="572"/>
      <c r="G384" s="104"/>
      <c r="H384" s="104"/>
      <c r="I384" s="104"/>
      <c r="J384" s="104"/>
      <c r="K384" s="104"/>
      <c r="L384" s="104"/>
      <c r="M384" s="692"/>
      <c r="N384" s="573"/>
      <c r="O384" s="1074"/>
    </row>
    <row r="385" spans="1:61" hidden="1">
      <c r="A385" s="1065"/>
      <c r="B385" s="572" t="s">
        <v>34</v>
      </c>
      <c r="C385" s="572"/>
      <c r="D385" s="572"/>
      <c r="E385" s="572"/>
      <c r="F385" s="572"/>
      <c r="G385" s="104"/>
      <c r="H385" s="104"/>
      <c r="I385" s="104"/>
      <c r="J385" s="104"/>
      <c r="K385" s="104"/>
      <c r="L385" s="104"/>
      <c r="M385" s="692"/>
      <c r="N385" s="573"/>
      <c r="O385" s="1074"/>
    </row>
    <row r="386" spans="1:61" ht="21.75" customHeight="1">
      <c r="A386" s="1065" t="s">
        <v>311</v>
      </c>
      <c r="B386" s="564" t="s">
        <v>89</v>
      </c>
      <c r="C386" s="564"/>
      <c r="D386" s="564"/>
      <c r="E386" s="564"/>
      <c r="F386" s="564"/>
      <c r="G386" s="103">
        <f>K386</f>
        <v>0</v>
      </c>
      <c r="H386" s="103"/>
      <c r="I386" s="103"/>
      <c r="J386" s="103"/>
      <c r="K386" s="103"/>
      <c r="L386" s="103"/>
      <c r="M386" s="679"/>
      <c r="N386" s="573"/>
      <c r="O386" s="1037" t="s">
        <v>916</v>
      </c>
    </row>
    <row r="387" spans="1:61" ht="24">
      <c r="A387" s="1065"/>
      <c r="B387" s="564" t="s">
        <v>237</v>
      </c>
      <c r="C387" s="564"/>
      <c r="D387" s="564"/>
      <c r="E387" s="564"/>
      <c r="F387" s="564"/>
      <c r="G387" s="103">
        <f>K387</f>
        <v>120557.2</v>
      </c>
      <c r="H387" s="103"/>
      <c r="I387" s="103"/>
      <c r="J387" s="103"/>
      <c r="K387" s="103">
        <f>K388+K389</f>
        <v>120557.2</v>
      </c>
      <c r="L387" s="103">
        <f t="shared" ref="L387:M387" si="127">L388+L389</f>
        <v>0</v>
      </c>
      <c r="M387" s="679">
        <f t="shared" si="127"/>
        <v>0</v>
      </c>
      <c r="N387" s="573"/>
      <c r="O387" s="1037"/>
    </row>
    <row r="388" spans="1:61" ht="23.25" customHeight="1">
      <c r="A388" s="1065"/>
      <c r="B388" s="564" t="s">
        <v>10</v>
      </c>
      <c r="C388" s="564"/>
      <c r="D388" s="564"/>
      <c r="E388" s="564"/>
      <c r="F388" s="564"/>
      <c r="G388" s="103">
        <f t="shared" ref="G388:G389" si="128">K388</f>
        <v>120557.2</v>
      </c>
      <c r="H388" s="103"/>
      <c r="I388" s="103"/>
      <c r="J388" s="103"/>
      <c r="K388" s="103">
        <v>120557.2</v>
      </c>
      <c r="L388" s="103"/>
      <c r="M388" s="679">
        <v>0</v>
      </c>
      <c r="N388" s="573"/>
      <c r="O388" s="1037"/>
    </row>
    <row r="389" spans="1:61" ht="25.5" customHeight="1">
      <c r="A389" s="1065"/>
      <c r="B389" s="564" t="s">
        <v>443</v>
      </c>
      <c r="C389" s="564"/>
      <c r="D389" s="564"/>
      <c r="E389" s="564"/>
      <c r="F389" s="564"/>
      <c r="G389" s="103">
        <f t="shared" si="128"/>
        <v>0</v>
      </c>
      <c r="H389" s="103"/>
      <c r="I389" s="103"/>
      <c r="J389" s="103"/>
      <c r="K389" s="103"/>
      <c r="L389" s="103"/>
      <c r="M389" s="679"/>
      <c r="N389" s="573"/>
      <c r="O389" s="1037"/>
    </row>
    <row r="390" spans="1:61" s="45" customFormat="1" ht="24" customHeight="1">
      <c r="A390" s="1038" t="s">
        <v>137</v>
      </c>
      <c r="B390" s="62" t="s">
        <v>89</v>
      </c>
      <c r="C390" s="62"/>
      <c r="D390" s="62"/>
      <c r="E390" s="62"/>
      <c r="F390" s="62"/>
      <c r="G390" s="102">
        <f t="shared" ref="G390:K390" si="129">G402</f>
        <v>0</v>
      </c>
      <c r="H390" s="102">
        <f t="shared" si="129"/>
        <v>0</v>
      </c>
      <c r="I390" s="102">
        <f t="shared" si="129"/>
        <v>0</v>
      </c>
      <c r="J390" s="102">
        <f t="shared" si="129"/>
        <v>0</v>
      </c>
      <c r="K390" s="102">
        <f t="shared" si="129"/>
        <v>0</v>
      </c>
      <c r="L390" s="102">
        <f>L398+L402</f>
        <v>0</v>
      </c>
      <c r="M390" s="499">
        <f>M398+M402</f>
        <v>0</v>
      </c>
      <c r="N390" s="573"/>
      <c r="O390" s="62"/>
      <c r="AJ390" s="113"/>
      <c r="AK390" s="113"/>
      <c r="AL390" s="113"/>
      <c r="AM390" s="113"/>
      <c r="AN390" s="113"/>
      <c r="AO390" s="113"/>
      <c r="AP390" s="113"/>
      <c r="AQ390" s="113"/>
      <c r="AR390" s="113"/>
      <c r="AS390" s="113"/>
      <c r="AT390" s="113"/>
      <c r="AU390" s="113"/>
      <c r="AV390" s="113"/>
      <c r="AW390" s="113"/>
      <c r="AX390" s="113"/>
      <c r="AY390" s="113"/>
      <c r="AZ390" s="113"/>
      <c r="BA390" s="113"/>
      <c r="BB390" s="113"/>
      <c r="BC390" s="113"/>
      <c r="BD390" s="113"/>
      <c r="BE390" s="113"/>
      <c r="BF390" s="113"/>
      <c r="BG390" s="113"/>
      <c r="BH390" s="113"/>
      <c r="BI390" s="113"/>
    </row>
    <row r="391" spans="1:61" ht="24">
      <c r="A391" s="1038"/>
      <c r="B391" s="62" t="s">
        <v>237</v>
      </c>
      <c r="C391" s="62"/>
      <c r="D391" s="62"/>
      <c r="E391" s="62"/>
      <c r="F391" s="62"/>
      <c r="G391" s="102">
        <f t="shared" ref="G391:M391" si="130">G392+G393</f>
        <v>7929.4</v>
      </c>
      <c r="H391" s="102">
        <f t="shared" si="130"/>
        <v>0</v>
      </c>
      <c r="I391" s="102">
        <f t="shared" si="130"/>
        <v>0</v>
      </c>
      <c r="J391" s="102">
        <f t="shared" si="130"/>
        <v>0</v>
      </c>
      <c r="K391" s="102">
        <f t="shared" si="130"/>
        <v>7929.4</v>
      </c>
      <c r="L391" s="102">
        <f t="shared" si="130"/>
        <v>5000</v>
      </c>
      <c r="M391" s="499">
        <f t="shared" si="130"/>
        <v>0</v>
      </c>
      <c r="N391" s="573"/>
      <c r="O391" s="62"/>
    </row>
    <row r="392" spans="1:61" ht="24.75" customHeight="1">
      <c r="A392" s="1038"/>
      <c r="B392" s="62" t="s">
        <v>10</v>
      </c>
      <c r="C392" s="62"/>
      <c r="D392" s="62"/>
      <c r="E392" s="62"/>
      <c r="F392" s="62"/>
      <c r="G392" s="499">
        <f t="shared" ref="G392:K392" si="131">G400+G404</f>
        <v>7929.4</v>
      </c>
      <c r="H392" s="499">
        <f t="shared" si="131"/>
        <v>0</v>
      </c>
      <c r="I392" s="499">
        <f t="shared" si="131"/>
        <v>0</v>
      </c>
      <c r="J392" s="499">
        <f t="shared" si="131"/>
        <v>0</v>
      </c>
      <c r="K392" s="499">
        <f t="shared" si="131"/>
        <v>7929.4</v>
      </c>
      <c r="L392" s="102">
        <f>L400+L404</f>
        <v>5000</v>
      </c>
      <c r="M392" s="499">
        <f>M399+M404</f>
        <v>0</v>
      </c>
      <c r="N392" s="573"/>
      <c r="O392" s="62"/>
    </row>
    <row r="393" spans="1:61" ht="24.75" customHeight="1">
      <c r="A393" s="1038"/>
      <c r="B393" s="62" t="s">
        <v>443</v>
      </c>
      <c r="C393" s="62"/>
      <c r="D393" s="62"/>
      <c r="E393" s="62"/>
      <c r="F393" s="62"/>
      <c r="G393" s="102">
        <f>G405</f>
        <v>0</v>
      </c>
      <c r="H393" s="102">
        <f>H405</f>
        <v>0</v>
      </c>
      <c r="I393" s="102">
        <f>I405</f>
        <v>0</v>
      </c>
      <c r="J393" s="102">
        <f>J405</f>
        <v>0</v>
      </c>
      <c r="K393" s="102">
        <f>K405</f>
        <v>0</v>
      </c>
      <c r="L393" s="102">
        <f>L401+L405</f>
        <v>0</v>
      </c>
      <c r="M393" s="499">
        <f>M401+M405</f>
        <v>0</v>
      </c>
      <c r="N393" s="573"/>
      <c r="O393" s="62"/>
    </row>
    <row r="394" spans="1:61" hidden="1">
      <c r="A394" s="1028"/>
      <c r="B394" s="632" t="s">
        <v>89</v>
      </c>
      <c r="C394" s="62"/>
      <c r="D394" s="62"/>
      <c r="E394" s="62"/>
      <c r="F394" s="62"/>
      <c r="G394" s="102"/>
      <c r="H394" s="102"/>
      <c r="I394" s="102"/>
      <c r="J394" s="102"/>
      <c r="K394" s="102"/>
      <c r="L394" s="102"/>
      <c r="M394" s="499"/>
      <c r="N394" s="633"/>
      <c r="O394" s="1146"/>
    </row>
    <row r="395" spans="1:61" ht="24" hidden="1">
      <c r="A395" s="1036"/>
      <c r="B395" s="632" t="s">
        <v>237</v>
      </c>
      <c r="C395" s="62"/>
      <c r="D395" s="62"/>
      <c r="E395" s="62"/>
      <c r="F395" s="62"/>
      <c r="G395" s="102"/>
      <c r="H395" s="102"/>
      <c r="I395" s="102"/>
      <c r="J395" s="102"/>
      <c r="K395" s="102"/>
      <c r="L395" s="102"/>
      <c r="M395" s="499"/>
      <c r="N395" s="633"/>
      <c r="O395" s="1147"/>
    </row>
    <row r="396" spans="1:61" ht="18" hidden="1" customHeight="1">
      <c r="A396" s="1036"/>
      <c r="B396" s="632" t="s">
        <v>10</v>
      </c>
      <c r="C396" s="62"/>
      <c r="D396" s="62"/>
      <c r="E396" s="62"/>
      <c r="F396" s="62"/>
      <c r="G396" s="102"/>
      <c r="H396" s="102"/>
      <c r="I396" s="102"/>
      <c r="J396" s="102"/>
      <c r="K396" s="102"/>
      <c r="L396" s="102"/>
      <c r="M396" s="499"/>
      <c r="N396" s="633"/>
      <c r="O396" s="1147"/>
    </row>
    <row r="397" spans="1:61" ht="17.25" hidden="1" customHeight="1">
      <c r="A397" s="1029"/>
      <c r="B397" s="632" t="s">
        <v>443</v>
      </c>
      <c r="C397" s="62"/>
      <c r="D397" s="62"/>
      <c r="E397" s="62"/>
      <c r="F397" s="62"/>
      <c r="G397" s="102"/>
      <c r="H397" s="102"/>
      <c r="I397" s="102"/>
      <c r="J397" s="102"/>
      <c r="K397" s="102"/>
      <c r="L397" s="102"/>
      <c r="M397" s="499"/>
      <c r="N397" s="633"/>
      <c r="O397" s="1148"/>
    </row>
    <row r="398" spans="1:61" ht="21" customHeight="1">
      <c r="A398" s="1065" t="s">
        <v>531</v>
      </c>
      <c r="B398" s="564" t="s">
        <v>89</v>
      </c>
      <c r="C398" s="564">
        <v>176</v>
      </c>
      <c r="D398" s="564" t="s">
        <v>15</v>
      </c>
      <c r="E398" s="564">
        <v>6100404</v>
      </c>
      <c r="F398" s="564">
        <v>414</v>
      </c>
      <c r="G398" s="103">
        <f>K398</f>
        <v>0</v>
      </c>
      <c r="H398" s="103"/>
      <c r="I398" s="103"/>
      <c r="J398" s="103"/>
      <c r="K398" s="103"/>
      <c r="L398" s="103"/>
      <c r="M398" s="679"/>
      <c r="N398" s="573"/>
      <c r="O398" s="1037" t="s">
        <v>916</v>
      </c>
    </row>
    <row r="399" spans="1:61" ht="24">
      <c r="A399" s="1065"/>
      <c r="B399" s="564" t="s">
        <v>237</v>
      </c>
      <c r="C399" s="564"/>
      <c r="D399" s="564"/>
      <c r="E399" s="564"/>
      <c r="F399" s="564"/>
      <c r="G399" s="103">
        <f t="shared" ref="G399" si="132">G400+G401</f>
        <v>7929.4</v>
      </c>
      <c r="H399" s="103"/>
      <c r="I399" s="103"/>
      <c r="J399" s="103"/>
      <c r="K399" s="103">
        <f>K400</f>
        <v>7929.4</v>
      </c>
      <c r="L399" s="103">
        <f>L400+L401</f>
        <v>5000</v>
      </c>
      <c r="M399" s="679">
        <f>M400+M401</f>
        <v>0</v>
      </c>
      <c r="N399" s="573"/>
      <c r="O399" s="1037"/>
    </row>
    <row r="400" spans="1:61" ht="25.5" customHeight="1">
      <c r="A400" s="1065"/>
      <c r="B400" s="564" t="s">
        <v>10</v>
      </c>
      <c r="C400" s="564"/>
      <c r="D400" s="564"/>
      <c r="E400" s="564"/>
      <c r="F400" s="564"/>
      <c r="G400" s="103">
        <f>J400+K400</f>
        <v>7929.4</v>
      </c>
      <c r="H400" s="103"/>
      <c r="I400" s="103"/>
      <c r="J400" s="103"/>
      <c r="K400" s="103">
        <v>7929.4</v>
      </c>
      <c r="L400" s="103">
        <v>5000</v>
      </c>
      <c r="M400" s="679">
        <v>0</v>
      </c>
      <c r="N400" s="573"/>
      <c r="O400" s="1037"/>
    </row>
    <row r="401" spans="1:15" ht="22.5" customHeight="1">
      <c r="A401" s="1065"/>
      <c r="B401" s="564" t="s">
        <v>443</v>
      </c>
      <c r="C401" s="564"/>
      <c r="D401" s="564"/>
      <c r="E401" s="564"/>
      <c r="F401" s="564"/>
      <c r="G401" s="103">
        <f>J401+K401</f>
        <v>0</v>
      </c>
      <c r="H401" s="103"/>
      <c r="I401" s="103"/>
      <c r="J401" s="103"/>
      <c r="K401" s="103"/>
      <c r="L401" s="103"/>
      <c r="M401" s="679"/>
      <c r="N401" s="573"/>
      <c r="O401" s="1037"/>
    </row>
    <row r="402" spans="1:15" hidden="1">
      <c r="A402" s="1065" t="s">
        <v>552</v>
      </c>
      <c r="B402" s="564" t="s">
        <v>89</v>
      </c>
      <c r="C402" s="564">
        <v>176</v>
      </c>
      <c r="D402" s="564" t="s">
        <v>15</v>
      </c>
      <c r="E402" s="564">
        <v>6100404</v>
      </c>
      <c r="F402" s="564">
        <v>414</v>
      </c>
      <c r="G402" s="103">
        <f>K402</f>
        <v>0</v>
      </c>
      <c r="H402" s="103"/>
      <c r="I402" s="103"/>
      <c r="J402" s="103"/>
      <c r="K402" s="103"/>
      <c r="L402" s="103"/>
      <c r="M402" s="679"/>
      <c r="N402" s="573"/>
      <c r="O402" s="1037" t="s">
        <v>559</v>
      </c>
    </row>
    <row r="403" spans="1:15" ht="24" hidden="1">
      <c r="A403" s="1065"/>
      <c r="B403" s="564" t="s">
        <v>237</v>
      </c>
      <c r="C403" s="564"/>
      <c r="D403" s="564"/>
      <c r="E403" s="564"/>
      <c r="F403" s="564"/>
      <c r="G403" s="103">
        <f>G404+G405</f>
        <v>0</v>
      </c>
      <c r="H403" s="103"/>
      <c r="I403" s="103"/>
      <c r="J403" s="103"/>
      <c r="K403" s="103">
        <f>K404</f>
        <v>0</v>
      </c>
      <c r="L403" s="103">
        <f>L404</f>
        <v>0</v>
      </c>
      <c r="M403" s="679">
        <f>M404</f>
        <v>0</v>
      </c>
      <c r="N403" s="573"/>
      <c r="O403" s="1037"/>
    </row>
    <row r="404" spans="1:15" ht="20.25" hidden="1" customHeight="1">
      <c r="A404" s="1065"/>
      <c r="B404" s="564" t="s">
        <v>10</v>
      </c>
      <c r="C404" s="564"/>
      <c r="D404" s="564"/>
      <c r="E404" s="564"/>
      <c r="F404" s="564"/>
      <c r="G404" s="103">
        <f>J404+K404</f>
        <v>0</v>
      </c>
      <c r="H404" s="103"/>
      <c r="I404" s="103"/>
      <c r="J404" s="103"/>
      <c r="K404" s="103"/>
      <c r="L404" s="103"/>
      <c r="M404" s="679"/>
      <c r="N404" s="573"/>
      <c r="O404" s="1037"/>
    </row>
    <row r="405" spans="1:15" ht="21" hidden="1" customHeight="1">
      <c r="A405" s="1065"/>
      <c r="B405" s="632" t="s">
        <v>443</v>
      </c>
      <c r="C405" s="632"/>
      <c r="D405" s="632"/>
      <c r="E405" s="632"/>
      <c r="F405" s="632"/>
      <c r="G405" s="103">
        <f>J405+K405</f>
        <v>0</v>
      </c>
      <c r="H405" s="103"/>
      <c r="I405" s="103"/>
      <c r="J405" s="103"/>
      <c r="K405" s="103"/>
      <c r="L405" s="103"/>
      <c r="M405" s="679"/>
      <c r="N405" s="633"/>
      <c r="O405" s="1037"/>
    </row>
    <row r="406" spans="1:15" ht="24.75" customHeight="1">
      <c r="A406" s="985" t="s">
        <v>138</v>
      </c>
      <c r="B406" s="752" t="s">
        <v>89</v>
      </c>
      <c r="C406" s="750"/>
      <c r="D406" s="750"/>
      <c r="E406" s="750"/>
      <c r="F406" s="750"/>
      <c r="G406" s="103"/>
      <c r="H406" s="103"/>
      <c r="I406" s="103"/>
      <c r="J406" s="103"/>
      <c r="K406" s="103"/>
      <c r="L406" s="103"/>
      <c r="M406" s="499">
        <f>M410</f>
        <v>2.5</v>
      </c>
      <c r="N406" s="751"/>
      <c r="O406" s="750"/>
    </row>
    <row r="407" spans="1:15" ht="24">
      <c r="A407" s="986"/>
      <c r="B407" s="752" t="s">
        <v>237</v>
      </c>
      <c r="C407" s="750"/>
      <c r="D407" s="750"/>
      <c r="E407" s="750"/>
      <c r="F407" s="750"/>
      <c r="G407" s="102">
        <f>G411</f>
        <v>1322.9</v>
      </c>
      <c r="H407" s="102">
        <f t="shared" ref="H407:M407" si="133">H411</f>
        <v>0</v>
      </c>
      <c r="I407" s="102">
        <f t="shared" si="133"/>
        <v>0</v>
      </c>
      <c r="J407" s="102">
        <f t="shared" si="133"/>
        <v>0</v>
      </c>
      <c r="K407" s="102">
        <f t="shared" si="133"/>
        <v>1322.9</v>
      </c>
      <c r="L407" s="102">
        <f t="shared" si="133"/>
        <v>559</v>
      </c>
      <c r="M407" s="102">
        <f t="shared" si="133"/>
        <v>50000</v>
      </c>
      <c r="N407" s="751"/>
      <c r="O407" s="750"/>
    </row>
    <row r="408" spans="1:15" ht="19.5" customHeight="1">
      <c r="A408" s="986"/>
      <c r="B408" s="752" t="s">
        <v>10</v>
      </c>
      <c r="C408" s="750"/>
      <c r="D408" s="750"/>
      <c r="E408" s="750"/>
      <c r="F408" s="750"/>
      <c r="G408" s="102">
        <f>G412</f>
        <v>1322.9</v>
      </c>
      <c r="H408" s="102">
        <f t="shared" ref="H408:M408" si="134">H412</f>
        <v>0</v>
      </c>
      <c r="I408" s="102">
        <f t="shared" si="134"/>
        <v>0</v>
      </c>
      <c r="J408" s="102">
        <f t="shared" si="134"/>
        <v>0</v>
      </c>
      <c r="K408" s="102">
        <f t="shared" si="134"/>
        <v>1322.9</v>
      </c>
      <c r="L408" s="102">
        <f t="shared" si="134"/>
        <v>559</v>
      </c>
      <c r="M408" s="102">
        <f t="shared" si="134"/>
        <v>50000</v>
      </c>
      <c r="N408" s="751"/>
      <c r="O408" s="750"/>
    </row>
    <row r="409" spans="1:15" ht="24.75" customHeight="1">
      <c r="A409" s="987"/>
      <c r="B409" s="752" t="s">
        <v>443</v>
      </c>
      <c r="C409" s="750"/>
      <c r="D409" s="750"/>
      <c r="E409" s="750"/>
      <c r="F409" s="750"/>
      <c r="G409" s="103"/>
      <c r="H409" s="103"/>
      <c r="I409" s="103"/>
      <c r="J409" s="103"/>
      <c r="K409" s="103"/>
      <c r="L409" s="103"/>
      <c r="M409" s="679"/>
      <c r="N409" s="751"/>
      <c r="O409" s="750"/>
    </row>
    <row r="410" spans="1:15" ht="24.75" customHeight="1">
      <c r="A410" s="1028" t="s">
        <v>939</v>
      </c>
      <c r="B410" s="750" t="s">
        <v>89</v>
      </c>
      <c r="C410" s="750"/>
      <c r="D410" s="750"/>
      <c r="E410" s="750"/>
      <c r="F410" s="750"/>
      <c r="G410" s="103"/>
      <c r="H410" s="103"/>
      <c r="I410" s="103"/>
      <c r="J410" s="103"/>
      <c r="K410" s="103"/>
      <c r="L410" s="103"/>
      <c r="M410" s="679">
        <v>2.5</v>
      </c>
      <c r="N410" s="751"/>
      <c r="O410" s="1030" t="s">
        <v>271</v>
      </c>
    </row>
    <row r="411" spans="1:15" ht="24">
      <c r="A411" s="1036"/>
      <c r="B411" s="750" t="s">
        <v>237</v>
      </c>
      <c r="C411" s="750"/>
      <c r="D411" s="750"/>
      <c r="E411" s="750"/>
      <c r="F411" s="750"/>
      <c r="G411" s="103">
        <f>K411</f>
        <v>1322.9</v>
      </c>
      <c r="H411" s="103"/>
      <c r="I411" s="103"/>
      <c r="J411" s="103"/>
      <c r="K411" s="103">
        <f>K412</f>
        <v>1322.9</v>
      </c>
      <c r="L411" s="103">
        <f t="shared" ref="L411:M411" si="135">L412</f>
        <v>559</v>
      </c>
      <c r="M411" s="103">
        <f t="shared" si="135"/>
        <v>50000</v>
      </c>
      <c r="N411" s="751"/>
      <c r="O411" s="1032"/>
    </row>
    <row r="412" spans="1:15" ht="19.5" customHeight="1">
      <c r="A412" s="1036"/>
      <c r="B412" s="750" t="s">
        <v>10</v>
      </c>
      <c r="C412" s="750"/>
      <c r="D412" s="750"/>
      <c r="E412" s="750"/>
      <c r="F412" s="750"/>
      <c r="G412" s="103">
        <f>K412</f>
        <v>1322.9</v>
      </c>
      <c r="H412" s="103"/>
      <c r="I412" s="103"/>
      <c r="J412" s="103"/>
      <c r="K412" s="103">
        <v>1322.9</v>
      </c>
      <c r="L412" s="103">
        <v>559</v>
      </c>
      <c r="M412" s="679">
        <v>50000</v>
      </c>
      <c r="N412" s="751"/>
      <c r="O412" s="1032"/>
    </row>
    <row r="413" spans="1:15" ht="24.75" customHeight="1">
      <c r="A413" s="1029"/>
      <c r="B413" s="750" t="s">
        <v>443</v>
      </c>
      <c r="C413" s="750"/>
      <c r="D413" s="750"/>
      <c r="E413" s="750"/>
      <c r="F413" s="750"/>
      <c r="G413" s="103"/>
      <c r="H413" s="103"/>
      <c r="I413" s="103"/>
      <c r="J413" s="103"/>
      <c r="K413" s="103"/>
      <c r="L413" s="103"/>
      <c r="M413" s="679"/>
      <c r="N413" s="751"/>
      <c r="O413" s="1031"/>
    </row>
    <row r="414" spans="1:15" ht="24.75" customHeight="1">
      <c r="A414" s="985" t="s">
        <v>819</v>
      </c>
      <c r="B414" s="62" t="s">
        <v>89</v>
      </c>
      <c r="C414" s="632"/>
      <c r="D414" s="632"/>
      <c r="E414" s="632"/>
      <c r="F414" s="632"/>
      <c r="G414" s="103"/>
      <c r="H414" s="103"/>
      <c r="I414" s="103"/>
      <c r="J414" s="103"/>
      <c r="K414" s="103"/>
      <c r="L414" s="103"/>
      <c r="M414" s="679"/>
      <c r="N414" s="633"/>
      <c r="O414" s="632"/>
    </row>
    <row r="415" spans="1:15" ht="24">
      <c r="A415" s="986"/>
      <c r="B415" s="62" t="s">
        <v>237</v>
      </c>
      <c r="C415" s="632"/>
      <c r="D415" s="632"/>
      <c r="E415" s="632"/>
      <c r="F415" s="632"/>
      <c r="G415" s="103"/>
      <c r="H415" s="103"/>
      <c r="I415" s="103"/>
      <c r="J415" s="103"/>
      <c r="K415" s="103"/>
      <c r="L415" s="102">
        <f>L423</f>
        <v>2950.9</v>
      </c>
      <c r="M415" s="499">
        <f>M423</f>
        <v>0</v>
      </c>
      <c r="N415" s="633"/>
      <c r="O415" s="632"/>
    </row>
    <row r="416" spans="1:15" ht="22.5" customHeight="1">
      <c r="A416" s="986"/>
      <c r="B416" s="62" t="s">
        <v>10</v>
      </c>
      <c r="C416" s="632"/>
      <c r="D416" s="632"/>
      <c r="E416" s="632"/>
      <c r="F416" s="632"/>
      <c r="G416" s="103"/>
      <c r="H416" s="103"/>
      <c r="I416" s="103"/>
      <c r="J416" s="103"/>
      <c r="K416" s="103"/>
      <c r="L416" s="102">
        <f>L424</f>
        <v>2950.9</v>
      </c>
      <c r="M416" s="499">
        <f>M424</f>
        <v>0</v>
      </c>
      <c r="N416" s="633"/>
      <c r="O416" s="632"/>
    </row>
    <row r="417" spans="1:61" ht="24.75" customHeight="1">
      <c r="A417" s="987"/>
      <c r="B417" s="62" t="s">
        <v>443</v>
      </c>
      <c r="C417" s="632"/>
      <c r="D417" s="632"/>
      <c r="E417" s="632"/>
      <c r="F417" s="632"/>
      <c r="G417" s="103"/>
      <c r="H417" s="103"/>
      <c r="I417" s="103"/>
      <c r="J417" s="103"/>
      <c r="K417" s="103"/>
      <c r="L417" s="103"/>
      <c r="M417" s="679"/>
      <c r="N417" s="633"/>
      <c r="O417" s="632"/>
    </row>
    <row r="418" spans="1:61" hidden="1">
      <c r="A418" s="1070" t="s">
        <v>862</v>
      </c>
      <c r="B418" s="632" t="s">
        <v>89</v>
      </c>
      <c r="C418" s="632"/>
      <c r="D418" s="632"/>
      <c r="E418" s="632"/>
      <c r="F418" s="632"/>
      <c r="G418" s="103"/>
      <c r="H418" s="103"/>
      <c r="I418" s="103"/>
      <c r="J418" s="103"/>
      <c r="K418" s="103"/>
      <c r="L418" s="103"/>
      <c r="M418" s="679"/>
      <c r="N418" s="633"/>
      <c r="O418" s="1030"/>
    </row>
    <row r="419" spans="1:61" ht="24" hidden="1">
      <c r="A419" s="1071"/>
      <c r="B419" s="632" t="s">
        <v>237</v>
      </c>
      <c r="C419" s="632"/>
      <c r="D419" s="632"/>
      <c r="E419" s="632"/>
      <c r="F419" s="632"/>
      <c r="G419" s="103"/>
      <c r="H419" s="103"/>
      <c r="I419" s="103"/>
      <c r="J419" s="103"/>
      <c r="K419" s="103"/>
      <c r="L419" s="103"/>
      <c r="M419" s="679"/>
      <c r="N419" s="633"/>
      <c r="O419" s="1032"/>
    </row>
    <row r="420" spans="1:61" hidden="1">
      <c r="A420" s="1071"/>
      <c r="B420" s="632" t="s">
        <v>10</v>
      </c>
      <c r="C420" s="632"/>
      <c r="D420" s="632"/>
      <c r="E420" s="632"/>
      <c r="F420" s="632"/>
      <c r="G420" s="103"/>
      <c r="H420" s="103"/>
      <c r="I420" s="103"/>
      <c r="J420" s="103"/>
      <c r="K420" s="103"/>
      <c r="L420" s="103"/>
      <c r="M420" s="679"/>
      <c r="N420" s="633"/>
      <c r="O420" s="1032"/>
    </row>
    <row r="421" spans="1:61" hidden="1">
      <c r="A421" s="1072"/>
      <c r="B421" s="632" t="s">
        <v>443</v>
      </c>
      <c r="C421" s="632"/>
      <c r="D421" s="632"/>
      <c r="E421" s="632"/>
      <c r="F421" s="632"/>
      <c r="G421" s="103"/>
      <c r="H421" s="103"/>
      <c r="I421" s="103"/>
      <c r="J421" s="103"/>
      <c r="K421" s="103"/>
      <c r="L421" s="103"/>
      <c r="M421" s="679"/>
      <c r="N421" s="633"/>
      <c r="O421" s="1031"/>
    </row>
    <row r="422" spans="1:61" ht="27" customHeight="1">
      <c r="A422" s="1070" t="s">
        <v>847</v>
      </c>
      <c r="B422" s="632" t="s">
        <v>89</v>
      </c>
      <c r="C422" s="632"/>
      <c r="D422" s="632"/>
      <c r="E422" s="632"/>
      <c r="F422" s="632"/>
      <c r="G422" s="103"/>
      <c r="H422" s="103"/>
      <c r="I422" s="103"/>
      <c r="J422" s="103"/>
      <c r="K422" s="103"/>
      <c r="L422" s="103"/>
      <c r="M422" s="679"/>
      <c r="N422" s="633"/>
      <c r="O422" s="1030" t="s">
        <v>561</v>
      </c>
    </row>
    <row r="423" spans="1:61" ht="24">
      <c r="A423" s="1071"/>
      <c r="B423" s="632" t="s">
        <v>237</v>
      </c>
      <c r="C423" s="632"/>
      <c r="D423" s="632"/>
      <c r="E423" s="632"/>
      <c r="F423" s="632"/>
      <c r="G423" s="103"/>
      <c r="H423" s="103"/>
      <c r="I423" s="103"/>
      <c r="J423" s="103"/>
      <c r="K423" s="103"/>
      <c r="L423" s="103">
        <f>L424</f>
        <v>2950.9</v>
      </c>
      <c r="M423" s="679">
        <f>M424</f>
        <v>0</v>
      </c>
      <c r="N423" s="633"/>
      <c r="O423" s="1032"/>
    </row>
    <row r="424" spans="1:61" ht="22.5" customHeight="1">
      <c r="A424" s="1071"/>
      <c r="B424" s="632" t="s">
        <v>10</v>
      </c>
      <c r="C424" s="632"/>
      <c r="D424" s="632"/>
      <c r="E424" s="632"/>
      <c r="F424" s="632"/>
      <c r="G424" s="103"/>
      <c r="H424" s="103"/>
      <c r="I424" s="103"/>
      <c r="J424" s="103"/>
      <c r="K424" s="103"/>
      <c r="L424" s="103">
        <v>2950.9</v>
      </c>
      <c r="M424" s="679"/>
      <c r="N424" s="633"/>
      <c r="O424" s="1032"/>
    </row>
    <row r="425" spans="1:61" ht="23.25" customHeight="1">
      <c r="A425" s="1072"/>
      <c r="B425" s="632" t="s">
        <v>443</v>
      </c>
      <c r="C425" s="632"/>
      <c r="D425" s="632"/>
      <c r="E425" s="632"/>
      <c r="F425" s="632"/>
      <c r="G425" s="103"/>
      <c r="H425" s="103"/>
      <c r="I425" s="103"/>
      <c r="J425" s="103"/>
      <c r="K425" s="103"/>
      <c r="L425" s="103"/>
      <c r="M425" s="679"/>
      <c r="N425" s="633"/>
      <c r="O425" s="1031"/>
    </row>
    <row r="426" spans="1:61" ht="18.75" customHeight="1">
      <c r="A426" s="985" t="s">
        <v>140</v>
      </c>
      <c r="B426" s="62" t="s">
        <v>89</v>
      </c>
      <c r="C426" s="632"/>
      <c r="D426" s="632"/>
      <c r="E426" s="632"/>
      <c r="F426" s="632"/>
      <c r="G426" s="102">
        <f t="shared" ref="G426" si="136">G430</f>
        <v>0</v>
      </c>
      <c r="H426" s="102"/>
      <c r="I426" s="102"/>
      <c r="J426" s="102"/>
      <c r="K426" s="102"/>
      <c r="L426" s="102">
        <f>L434</f>
        <v>0</v>
      </c>
      <c r="M426" s="499"/>
      <c r="N426" s="633"/>
      <c r="O426" s="632"/>
    </row>
    <row r="427" spans="1:61" ht="24">
      <c r="A427" s="986"/>
      <c r="B427" s="62" t="s">
        <v>237</v>
      </c>
      <c r="C427" s="632"/>
      <c r="D427" s="632"/>
      <c r="E427" s="632"/>
      <c r="F427" s="632"/>
      <c r="G427" s="102">
        <f>G431</f>
        <v>100</v>
      </c>
      <c r="H427" s="102">
        <f t="shared" ref="H427:M427" si="137">H431</f>
        <v>0</v>
      </c>
      <c r="I427" s="102">
        <f t="shared" si="137"/>
        <v>0</v>
      </c>
      <c r="J427" s="102">
        <f t="shared" si="137"/>
        <v>0</v>
      </c>
      <c r="K427" s="102">
        <f t="shared" si="137"/>
        <v>100</v>
      </c>
      <c r="L427" s="102">
        <f t="shared" si="137"/>
        <v>0</v>
      </c>
      <c r="M427" s="102">
        <f t="shared" si="137"/>
        <v>0</v>
      </c>
      <c r="N427" s="633"/>
      <c r="O427" s="632"/>
    </row>
    <row r="428" spans="1:61" ht="24.75" customHeight="1">
      <c r="A428" s="986"/>
      <c r="B428" s="62" t="s">
        <v>10</v>
      </c>
      <c r="C428" s="632"/>
      <c r="D428" s="632"/>
      <c r="E428" s="632"/>
      <c r="F428" s="632"/>
      <c r="G428" s="102">
        <f>G432</f>
        <v>100</v>
      </c>
      <c r="H428" s="102">
        <f t="shared" ref="H428:M428" si="138">H432</f>
        <v>0</v>
      </c>
      <c r="I428" s="102">
        <f t="shared" si="138"/>
        <v>0</v>
      </c>
      <c r="J428" s="102">
        <f t="shared" si="138"/>
        <v>0</v>
      </c>
      <c r="K428" s="102">
        <f t="shared" si="138"/>
        <v>100</v>
      </c>
      <c r="L428" s="102">
        <f t="shared" si="138"/>
        <v>0</v>
      </c>
      <c r="M428" s="102">
        <f t="shared" si="138"/>
        <v>0</v>
      </c>
      <c r="N428" s="633"/>
      <c r="O428" s="632"/>
    </row>
    <row r="429" spans="1:61" ht="21" customHeight="1">
      <c r="A429" s="987"/>
      <c r="B429" s="62" t="s">
        <v>443</v>
      </c>
      <c r="C429" s="632"/>
      <c r="D429" s="632"/>
      <c r="E429" s="632"/>
      <c r="F429" s="632"/>
      <c r="G429" s="102">
        <f>G433</f>
        <v>0</v>
      </c>
      <c r="H429" s="102"/>
      <c r="I429" s="102"/>
      <c r="J429" s="102"/>
      <c r="K429" s="102"/>
      <c r="L429" s="102">
        <f>L437</f>
        <v>0</v>
      </c>
      <c r="M429" s="499"/>
      <c r="N429" s="633"/>
      <c r="O429" s="632"/>
    </row>
    <row r="430" spans="1:61" ht="27" customHeight="1">
      <c r="A430" s="1070" t="s">
        <v>532</v>
      </c>
      <c r="B430" s="632" t="s">
        <v>89</v>
      </c>
      <c r="C430" s="632"/>
      <c r="D430" s="632"/>
      <c r="E430" s="632"/>
      <c r="F430" s="632"/>
      <c r="G430" s="103"/>
      <c r="H430" s="103"/>
      <c r="I430" s="103"/>
      <c r="J430" s="103"/>
      <c r="K430" s="103"/>
      <c r="L430" s="103"/>
      <c r="M430" s="679"/>
      <c r="N430" s="633"/>
      <c r="O430" s="1030" t="s">
        <v>914</v>
      </c>
    </row>
    <row r="431" spans="1:61" s="45" customFormat="1" ht="24">
      <c r="A431" s="1071"/>
      <c r="B431" s="632" t="s">
        <v>237</v>
      </c>
      <c r="C431" s="632"/>
      <c r="D431" s="632"/>
      <c r="E431" s="632"/>
      <c r="F431" s="632"/>
      <c r="G431" s="103">
        <f>K431</f>
        <v>100</v>
      </c>
      <c r="H431" s="103"/>
      <c r="I431" s="103"/>
      <c r="J431" s="103"/>
      <c r="K431" s="103">
        <f>K432</f>
        <v>100</v>
      </c>
      <c r="L431" s="103">
        <f t="shared" ref="L431" si="139">L432+L433</f>
        <v>0</v>
      </c>
      <c r="M431" s="679"/>
      <c r="N431" s="633"/>
      <c r="O431" s="1032"/>
      <c r="AJ431" s="113"/>
      <c r="AK431" s="113"/>
      <c r="AL431" s="113"/>
      <c r="AM431" s="113"/>
      <c r="AN431" s="113"/>
      <c r="AO431" s="113"/>
      <c r="AP431" s="113"/>
      <c r="AQ431" s="113"/>
      <c r="AR431" s="113"/>
      <c r="AS431" s="113"/>
      <c r="AT431" s="113"/>
      <c r="AU431" s="113"/>
      <c r="AV431" s="113"/>
      <c r="AW431" s="113"/>
      <c r="AX431" s="113"/>
      <c r="AY431" s="113"/>
      <c r="AZ431" s="113"/>
      <c r="BA431" s="113"/>
      <c r="BB431" s="113"/>
      <c r="BC431" s="113"/>
      <c r="BD431" s="113"/>
      <c r="BE431" s="113"/>
      <c r="BF431" s="113"/>
      <c r="BG431" s="113"/>
      <c r="BH431" s="113"/>
      <c r="BI431" s="113"/>
    </row>
    <row r="432" spans="1:61" s="45" customFormat="1" ht="24.75" customHeight="1">
      <c r="A432" s="1071"/>
      <c r="B432" s="632" t="s">
        <v>10</v>
      </c>
      <c r="C432" s="632"/>
      <c r="D432" s="632"/>
      <c r="E432" s="632"/>
      <c r="F432" s="632"/>
      <c r="G432" s="103">
        <f>K432</f>
        <v>100</v>
      </c>
      <c r="H432" s="103"/>
      <c r="I432" s="103"/>
      <c r="J432" s="103"/>
      <c r="K432" s="103">
        <v>100</v>
      </c>
      <c r="L432" s="103"/>
      <c r="M432" s="679"/>
      <c r="N432" s="633"/>
      <c r="O432" s="1032"/>
      <c r="AJ432" s="113"/>
      <c r="AK432" s="113"/>
      <c r="AL432" s="113"/>
      <c r="AM432" s="113"/>
      <c r="AN432" s="113"/>
      <c r="AO432" s="113"/>
      <c r="AP432" s="113"/>
      <c r="AQ432" s="113"/>
      <c r="AR432" s="113"/>
      <c r="AS432" s="113"/>
      <c r="AT432" s="113"/>
      <c r="AU432" s="113"/>
      <c r="AV432" s="113"/>
      <c r="AW432" s="113"/>
      <c r="AX432" s="113"/>
      <c r="AY432" s="113"/>
      <c r="AZ432" s="113"/>
      <c r="BA432" s="113"/>
      <c r="BB432" s="113"/>
      <c r="BC432" s="113"/>
      <c r="BD432" s="113"/>
      <c r="BE432" s="113"/>
      <c r="BF432" s="113"/>
      <c r="BG432" s="113"/>
      <c r="BH432" s="113"/>
      <c r="BI432" s="113"/>
    </row>
    <row r="433" spans="1:61" s="45" customFormat="1" ht="20.25" customHeight="1">
      <c r="A433" s="1072"/>
      <c r="B433" s="632" t="s">
        <v>443</v>
      </c>
      <c r="C433" s="632"/>
      <c r="D433" s="632"/>
      <c r="E433" s="632"/>
      <c r="F433" s="632"/>
      <c r="G433" s="103"/>
      <c r="H433" s="103"/>
      <c r="I433" s="103"/>
      <c r="J433" s="103"/>
      <c r="K433" s="103"/>
      <c r="L433" s="103"/>
      <c r="M433" s="679"/>
      <c r="N433" s="633"/>
      <c r="O433" s="1031"/>
      <c r="AJ433" s="113"/>
      <c r="AK433" s="113"/>
      <c r="AL433" s="113"/>
      <c r="AM433" s="113"/>
      <c r="AN433" s="113"/>
      <c r="AO433" s="113"/>
      <c r="AP433" s="113"/>
      <c r="AQ433" s="113"/>
      <c r="AR433" s="113"/>
      <c r="AS433" s="113"/>
      <c r="AT433" s="113"/>
      <c r="AU433" s="113"/>
      <c r="AV433" s="113"/>
      <c r="AW433" s="113"/>
      <c r="AX433" s="113"/>
      <c r="AY433" s="113"/>
      <c r="AZ433" s="113"/>
      <c r="BA433" s="113"/>
      <c r="BB433" s="113"/>
      <c r="BC433" s="113"/>
      <c r="BD433" s="113"/>
      <c r="BE433" s="113"/>
      <c r="BF433" s="113"/>
      <c r="BG433" s="113"/>
      <c r="BH433" s="113"/>
      <c r="BI433" s="113"/>
    </row>
    <row r="434" spans="1:61" s="45" customFormat="1" ht="14.25" hidden="1" customHeight="1">
      <c r="A434" s="1070" t="s">
        <v>291</v>
      </c>
      <c r="B434" s="632" t="s">
        <v>89</v>
      </c>
      <c r="C434" s="632"/>
      <c r="D434" s="632"/>
      <c r="E434" s="632"/>
      <c r="F434" s="632"/>
      <c r="G434" s="103"/>
      <c r="H434" s="103"/>
      <c r="I434" s="103"/>
      <c r="J434" s="103"/>
      <c r="K434" s="103"/>
      <c r="L434" s="103"/>
      <c r="M434" s="679"/>
      <c r="N434" s="633"/>
      <c r="O434" s="1030" t="s">
        <v>219</v>
      </c>
      <c r="AJ434" s="113"/>
      <c r="AK434" s="113"/>
      <c r="AL434" s="113"/>
      <c r="AM434" s="113"/>
      <c r="AN434" s="113"/>
      <c r="AO434" s="113"/>
      <c r="AP434" s="113"/>
      <c r="AQ434" s="113"/>
      <c r="AR434" s="113"/>
      <c r="AS434" s="113"/>
      <c r="AT434" s="113"/>
      <c r="AU434" s="113"/>
      <c r="AV434" s="113"/>
      <c r="AW434" s="113"/>
      <c r="AX434" s="113"/>
      <c r="AY434" s="113"/>
      <c r="AZ434" s="113"/>
      <c r="BA434" s="113"/>
      <c r="BB434" s="113"/>
      <c r="BC434" s="113"/>
      <c r="BD434" s="113"/>
      <c r="BE434" s="113"/>
      <c r="BF434" s="113"/>
      <c r="BG434" s="113"/>
      <c r="BH434" s="113"/>
      <c r="BI434" s="113"/>
    </row>
    <row r="435" spans="1:61" s="45" customFormat="1" ht="24" hidden="1">
      <c r="A435" s="1071"/>
      <c r="B435" s="632" t="s">
        <v>237</v>
      </c>
      <c r="C435" s="632"/>
      <c r="D435" s="632"/>
      <c r="E435" s="632"/>
      <c r="F435" s="632"/>
      <c r="G435" s="103"/>
      <c r="H435" s="103"/>
      <c r="I435" s="103"/>
      <c r="J435" s="103"/>
      <c r="K435" s="103"/>
      <c r="L435" s="103">
        <f>L437</f>
        <v>0</v>
      </c>
      <c r="M435" s="679"/>
      <c r="N435" s="633"/>
      <c r="O435" s="1032"/>
      <c r="AJ435" s="113"/>
      <c r="AK435" s="113"/>
      <c r="AL435" s="113"/>
      <c r="AM435" s="113"/>
      <c r="AN435" s="113"/>
      <c r="AO435" s="113"/>
      <c r="AP435" s="113"/>
      <c r="AQ435" s="113"/>
      <c r="AR435" s="113"/>
      <c r="AS435" s="113"/>
      <c r="AT435" s="113"/>
      <c r="AU435" s="113"/>
      <c r="AV435" s="113"/>
      <c r="AW435" s="113"/>
      <c r="AX435" s="113"/>
      <c r="AY435" s="113"/>
      <c r="AZ435" s="113"/>
      <c r="BA435" s="113"/>
      <c r="BB435" s="113"/>
      <c r="BC435" s="113"/>
      <c r="BD435" s="113"/>
      <c r="BE435" s="113"/>
      <c r="BF435" s="113"/>
      <c r="BG435" s="113"/>
      <c r="BH435" s="113"/>
      <c r="BI435" s="113"/>
    </row>
    <row r="436" spans="1:61" s="45" customFormat="1" ht="14.25" hidden="1">
      <c r="A436" s="1071"/>
      <c r="B436" s="632" t="s">
        <v>10</v>
      </c>
      <c r="C436" s="632"/>
      <c r="D436" s="632"/>
      <c r="E436" s="632"/>
      <c r="F436" s="632"/>
      <c r="G436" s="103"/>
      <c r="H436" s="103"/>
      <c r="I436" s="103"/>
      <c r="J436" s="103"/>
      <c r="K436" s="103"/>
      <c r="L436" s="103"/>
      <c r="M436" s="679"/>
      <c r="N436" s="633"/>
      <c r="O436" s="1032"/>
      <c r="AJ436" s="113"/>
      <c r="AK436" s="113"/>
      <c r="AL436" s="113"/>
      <c r="AM436" s="113"/>
      <c r="AN436" s="113"/>
      <c r="AO436" s="113"/>
      <c r="AP436" s="113"/>
      <c r="AQ436" s="113"/>
      <c r="AR436" s="113"/>
      <c r="AS436" s="113"/>
      <c r="AT436" s="113"/>
      <c r="AU436" s="113"/>
      <c r="AV436" s="113"/>
      <c r="AW436" s="113"/>
      <c r="AX436" s="113"/>
      <c r="AY436" s="113"/>
      <c r="AZ436" s="113"/>
      <c r="BA436" s="113"/>
      <c r="BB436" s="113"/>
      <c r="BC436" s="113"/>
      <c r="BD436" s="113"/>
      <c r="BE436" s="113"/>
      <c r="BF436" s="113"/>
      <c r="BG436" s="113"/>
      <c r="BH436" s="113"/>
      <c r="BI436" s="113"/>
    </row>
    <row r="437" spans="1:61" s="45" customFormat="1" ht="14.25" hidden="1">
      <c r="A437" s="1072"/>
      <c r="B437" s="632" t="s">
        <v>34</v>
      </c>
      <c r="C437" s="632"/>
      <c r="D437" s="632"/>
      <c r="E437" s="632"/>
      <c r="F437" s="632"/>
      <c r="G437" s="103"/>
      <c r="H437" s="103"/>
      <c r="I437" s="103"/>
      <c r="J437" s="103"/>
      <c r="K437" s="103"/>
      <c r="L437" s="103"/>
      <c r="M437" s="679"/>
      <c r="N437" s="633"/>
      <c r="O437" s="1031"/>
      <c r="AJ437" s="113"/>
      <c r="AK437" s="113"/>
      <c r="AL437" s="113"/>
      <c r="AM437" s="113"/>
      <c r="AN437" s="113"/>
      <c r="AO437" s="113"/>
      <c r="AP437" s="113"/>
      <c r="AQ437" s="113"/>
      <c r="AR437" s="113"/>
      <c r="AS437" s="113"/>
      <c r="AT437" s="113"/>
      <c r="AU437" s="113"/>
      <c r="AV437" s="113"/>
      <c r="AW437" s="113"/>
      <c r="AX437" s="113"/>
      <c r="AY437" s="113"/>
      <c r="AZ437" s="113"/>
      <c r="BA437" s="113"/>
      <c r="BB437" s="113"/>
      <c r="BC437" s="113"/>
      <c r="BD437" s="113"/>
      <c r="BE437" s="113"/>
      <c r="BF437" s="113"/>
      <c r="BG437" s="113"/>
      <c r="BH437" s="113"/>
      <c r="BI437" s="113"/>
    </row>
    <row r="438" spans="1:61" s="45" customFormat="1" ht="16.5" customHeight="1">
      <c r="A438" s="1038" t="s">
        <v>107</v>
      </c>
      <c r="B438" s="62" t="s">
        <v>89</v>
      </c>
      <c r="C438" s="62"/>
      <c r="D438" s="62"/>
      <c r="E438" s="62"/>
      <c r="F438" s="62"/>
      <c r="G438" s="102">
        <f t="shared" ref="G438:M438" si="140">G442+G446+G450</f>
        <v>0</v>
      </c>
      <c r="H438" s="102">
        <f t="shared" si="140"/>
        <v>0</v>
      </c>
      <c r="I438" s="102">
        <f t="shared" si="140"/>
        <v>0</v>
      </c>
      <c r="J438" s="102">
        <f t="shared" si="140"/>
        <v>0</v>
      </c>
      <c r="K438" s="102">
        <f t="shared" si="140"/>
        <v>0</v>
      </c>
      <c r="L438" s="102">
        <f t="shared" si="140"/>
        <v>0</v>
      </c>
      <c r="M438" s="499">
        <f t="shared" si="140"/>
        <v>0</v>
      </c>
      <c r="N438" s="573"/>
      <c r="O438" s="62"/>
      <c r="AJ438" s="113"/>
      <c r="AK438" s="113"/>
      <c r="AL438" s="113"/>
      <c r="AM438" s="113"/>
      <c r="AN438" s="113"/>
      <c r="AO438" s="113"/>
      <c r="AP438" s="113"/>
      <c r="AQ438" s="113"/>
      <c r="AR438" s="113"/>
      <c r="AS438" s="113"/>
      <c r="AT438" s="113"/>
      <c r="AU438" s="113"/>
      <c r="AV438" s="113"/>
      <c r="AW438" s="113"/>
      <c r="AX438" s="113"/>
      <c r="AY438" s="113"/>
      <c r="AZ438" s="113"/>
      <c r="BA438" s="113"/>
      <c r="BB438" s="113"/>
      <c r="BC438" s="113"/>
      <c r="BD438" s="113"/>
      <c r="BE438" s="113"/>
      <c r="BF438" s="113"/>
      <c r="BG438" s="113"/>
      <c r="BH438" s="113"/>
      <c r="BI438" s="113"/>
    </row>
    <row r="439" spans="1:61" ht="24">
      <c r="A439" s="1038"/>
      <c r="B439" s="62" t="s">
        <v>237</v>
      </c>
      <c r="C439" s="62"/>
      <c r="D439" s="62"/>
      <c r="E439" s="62"/>
      <c r="F439" s="62"/>
      <c r="G439" s="102">
        <f t="shared" ref="G439:M439" si="141">G440+G441</f>
        <v>3612.4</v>
      </c>
      <c r="H439" s="102">
        <f t="shared" si="141"/>
        <v>0</v>
      </c>
      <c r="I439" s="102">
        <f t="shared" si="141"/>
        <v>0</v>
      </c>
      <c r="J439" s="102">
        <f t="shared" si="141"/>
        <v>0</v>
      </c>
      <c r="K439" s="102">
        <f t="shared" si="141"/>
        <v>3612.4</v>
      </c>
      <c r="L439" s="102">
        <f t="shared" si="141"/>
        <v>0</v>
      </c>
      <c r="M439" s="499">
        <f t="shared" si="141"/>
        <v>0</v>
      </c>
      <c r="N439" s="573"/>
      <c r="O439" s="62"/>
    </row>
    <row r="440" spans="1:61" ht="21" customHeight="1">
      <c r="A440" s="1038"/>
      <c r="B440" s="62" t="s">
        <v>10</v>
      </c>
      <c r="C440" s="62"/>
      <c r="D440" s="62"/>
      <c r="E440" s="62"/>
      <c r="F440" s="62"/>
      <c r="G440" s="102">
        <f t="shared" ref="G440:M441" si="142">G444+G448+G452</f>
        <v>3612.4</v>
      </c>
      <c r="H440" s="102">
        <f t="shared" si="142"/>
        <v>0</v>
      </c>
      <c r="I440" s="102">
        <f t="shared" si="142"/>
        <v>0</v>
      </c>
      <c r="J440" s="102">
        <f t="shared" si="142"/>
        <v>0</v>
      </c>
      <c r="K440" s="102">
        <f t="shared" si="142"/>
        <v>3612.4</v>
      </c>
      <c r="L440" s="102">
        <f t="shared" si="142"/>
        <v>0</v>
      </c>
      <c r="M440" s="499">
        <f t="shared" si="142"/>
        <v>0</v>
      </c>
      <c r="N440" s="573"/>
      <c r="O440" s="62"/>
    </row>
    <row r="441" spans="1:61" ht="29.25" customHeight="1">
      <c r="A441" s="1038"/>
      <c r="B441" s="62" t="s">
        <v>443</v>
      </c>
      <c r="C441" s="62"/>
      <c r="D441" s="62"/>
      <c r="E441" s="62"/>
      <c r="F441" s="62"/>
      <c r="G441" s="102">
        <f t="shared" si="142"/>
        <v>0</v>
      </c>
      <c r="H441" s="102"/>
      <c r="I441" s="102"/>
      <c r="J441" s="102"/>
      <c r="K441" s="102"/>
      <c r="L441" s="102">
        <f t="shared" si="142"/>
        <v>0</v>
      </c>
      <c r="M441" s="499">
        <f t="shared" si="142"/>
        <v>0</v>
      </c>
      <c r="N441" s="573"/>
      <c r="O441" s="62"/>
    </row>
    <row r="442" spans="1:61" hidden="1">
      <c r="A442" s="1039" t="s">
        <v>202</v>
      </c>
      <c r="B442" s="564" t="s">
        <v>89</v>
      </c>
      <c r="C442" s="564">
        <v>176</v>
      </c>
      <c r="D442" s="564" t="s">
        <v>15</v>
      </c>
      <c r="E442" s="564">
        <v>6100404</v>
      </c>
      <c r="F442" s="564">
        <v>414</v>
      </c>
      <c r="G442" s="103">
        <v>0</v>
      </c>
      <c r="H442" s="103"/>
      <c r="I442" s="103"/>
      <c r="J442" s="103"/>
      <c r="K442" s="103"/>
      <c r="L442" s="103"/>
      <c r="M442" s="679"/>
      <c r="N442" s="573"/>
      <c r="O442" s="1037" t="s">
        <v>201</v>
      </c>
    </row>
    <row r="443" spans="1:61" ht="24" hidden="1">
      <c r="A443" s="1039"/>
      <c r="B443" s="564" t="s">
        <v>237</v>
      </c>
      <c r="C443" s="564"/>
      <c r="D443" s="564"/>
      <c r="E443" s="564"/>
      <c r="F443" s="564"/>
      <c r="G443" s="103">
        <f t="shared" ref="G443:L443" si="143">G444+G445</f>
        <v>0</v>
      </c>
      <c r="H443" s="103"/>
      <c r="I443" s="103"/>
      <c r="J443" s="103"/>
      <c r="K443" s="103"/>
      <c r="L443" s="103">
        <f t="shared" si="143"/>
        <v>0</v>
      </c>
      <c r="M443" s="679"/>
      <c r="N443" s="573"/>
      <c r="O443" s="1037"/>
    </row>
    <row r="444" spans="1:61" hidden="1">
      <c r="A444" s="1039"/>
      <c r="B444" s="564" t="s">
        <v>10</v>
      </c>
      <c r="C444" s="564"/>
      <c r="D444" s="564"/>
      <c r="E444" s="564"/>
      <c r="F444" s="564"/>
      <c r="G444" s="103"/>
      <c r="H444" s="103"/>
      <c r="I444" s="103"/>
      <c r="J444" s="103"/>
      <c r="K444" s="103"/>
      <c r="L444" s="103"/>
      <c r="M444" s="679"/>
      <c r="N444" s="573"/>
      <c r="O444" s="1037"/>
    </row>
    <row r="445" spans="1:61" hidden="1">
      <c r="A445" s="1039"/>
      <c r="B445" s="564" t="s">
        <v>34</v>
      </c>
      <c r="C445" s="564"/>
      <c r="D445" s="564"/>
      <c r="E445" s="564"/>
      <c r="F445" s="564"/>
      <c r="G445" s="103"/>
      <c r="H445" s="103"/>
      <c r="I445" s="103"/>
      <c r="J445" s="103"/>
      <c r="K445" s="103"/>
      <c r="L445" s="103"/>
      <c r="M445" s="679"/>
      <c r="N445" s="573"/>
      <c r="O445" s="1037"/>
    </row>
    <row r="446" spans="1:61" hidden="1">
      <c r="A446" s="1087" t="s">
        <v>270</v>
      </c>
      <c r="B446" s="564" t="s">
        <v>89</v>
      </c>
      <c r="C446" s="564"/>
      <c r="D446" s="564"/>
      <c r="E446" s="564"/>
      <c r="F446" s="564"/>
      <c r="G446" s="103"/>
      <c r="H446" s="103"/>
      <c r="I446" s="103"/>
      <c r="J446" s="103"/>
      <c r="K446" s="103"/>
      <c r="L446" s="103"/>
      <c r="M446" s="679"/>
      <c r="N446" s="573"/>
      <c r="O446" s="1037" t="s">
        <v>246</v>
      </c>
    </row>
    <row r="447" spans="1:61" ht="24" hidden="1">
      <c r="A447" s="1088"/>
      <c r="B447" s="564" t="s">
        <v>237</v>
      </c>
      <c r="C447" s="564"/>
      <c r="D447" s="564"/>
      <c r="E447" s="564"/>
      <c r="F447" s="564"/>
      <c r="G447" s="103">
        <f t="shared" ref="G447:L447" si="144">G448+G449</f>
        <v>0</v>
      </c>
      <c r="H447" s="103"/>
      <c r="I447" s="103"/>
      <c r="J447" s="103"/>
      <c r="K447" s="103"/>
      <c r="L447" s="103">
        <f t="shared" si="144"/>
        <v>0</v>
      </c>
      <c r="M447" s="679"/>
      <c r="N447" s="573"/>
      <c r="O447" s="1037"/>
    </row>
    <row r="448" spans="1:61" hidden="1">
      <c r="A448" s="1088"/>
      <c r="B448" s="564" t="s">
        <v>10</v>
      </c>
      <c r="C448" s="564"/>
      <c r="D448" s="564"/>
      <c r="E448" s="564"/>
      <c r="F448" s="564"/>
      <c r="G448" s="103"/>
      <c r="H448" s="103"/>
      <c r="I448" s="103"/>
      <c r="J448" s="103"/>
      <c r="K448" s="103"/>
      <c r="L448" s="103"/>
      <c r="M448" s="679"/>
      <c r="N448" s="573"/>
      <c r="O448" s="1037"/>
    </row>
    <row r="449" spans="1:15" hidden="1">
      <c r="A449" s="1089"/>
      <c r="B449" s="564" t="s">
        <v>34</v>
      </c>
      <c r="C449" s="564"/>
      <c r="D449" s="564"/>
      <c r="E449" s="564"/>
      <c r="F449" s="564"/>
      <c r="G449" s="103"/>
      <c r="H449" s="103"/>
      <c r="I449" s="103"/>
      <c r="J449" s="103"/>
      <c r="K449" s="103"/>
      <c r="L449" s="103"/>
      <c r="M449" s="679"/>
      <c r="N449" s="573"/>
      <c r="O449" s="1037"/>
    </row>
    <row r="450" spans="1:15" ht="24" customHeight="1">
      <c r="A450" s="1086" t="s">
        <v>312</v>
      </c>
      <c r="B450" s="572" t="s">
        <v>89</v>
      </c>
      <c r="C450" s="572"/>
      <c r="D450" s="572"/>
      <c r="E450" s="572"/>
      <c r="F450" s="572"/>
      <c r="G450" s="103">
        <f>K450</f>
        <v>0</v>
      </c>
      <c r="H450" s="103"/>
      <c r="I450" s="103"/>
      <c r="J450" s="103"/>
      <c r="K450" s="103"/>
      <c r="L450" s="103"/>
      <c r="M450" s="679"/>
      <c r="N450" s="573"/>
      <c r="O450" s="1037" t="s">
        <v>848</v>
      </c>
    </row>
    <row r="451" spans="1:15" ht="24">
      <c r="A451" s="1086"/>
      <c r="B451" s="572" t="s">
        <v>237</v>
      </c>
      <c r="C451" s="572"/>
      <c r="D451" s="572"/>
      <c r="E451" s="572"/>
      <c r="F451" s="572"/>
      <c r="G451" s="103">
        <f t="shared" ref="G451:L451" si="145">G452+G453</f>
        <v>3612.4</v>
      </c>
      <c r="H451" s="103">
        <f t="shared" si="145"/>
        <v>0</v>
      </c>
      <c r="I451" s="103">
        <f t="shared" si="145"/>
        <v>0</v>
      </c>
      <c r="J451" s="103">
        <f t="shared" si="145"/>
        <v>0</v>
      </c>
      <c r="K451" s="103">
        <f t="shared" si="145"/>
        <v>3612.4</v>
      </c>
      <c r="L451" s="103">
        <f t="shared" si="145"/>
        <v>0</v>
      </c>
      <c r="M451" s="679">
        <f>M452+M453</f>
        <v>0</v>
      </c>
      <c r="N451" s="573"/>
      <c r="O451" s="1037"/>
    </row>
    <row r="452" spans="1:15" ht="23.25" customHeight="1">
      <c r="A452" s="1086"/>
      <c r="B452" s="572" t="s">
        <v>10</v>
      </c>
      <c r="C452" s="572"/>
      <c r="D452" s="572"/>
      <c r="E452" s="572"/>
      <c r="F452" s="572"/>
      <c r="G452" s="103">
        <f>J452+K452</f>
        <v>3612.4</v>
      </c>
      <c r="H452" s="103"/>
      <c r="I452" s="103"/>
      <c r="J452" s="103"/>
      <c r="K452" s="103">
        <v>3612.4</v>
      </c>
      <c r="L452" s="103"/>
      <c r="M452" s="679"/>
      <c r="N452" s="573"/>
      <c r="O452" s="1037"/>
    </row>
    <row r="453" spans="1:15" ht="25.5" customHeight="1">
      <c r="A453" s="1086"/>
      <c r="B453" s="572" t="s">
        <v>443</v>
      </c>
      <c r="C453" s="572"/>
      <c r="D453" s="572"/>
      <c r="E453" s="572"/>
      <c r="F453" s="572"/>
      <c r="G453" s="103"/>
      <c r="H453" s="103"/>
      <c r="I453" s="103"/>
      <c r="J453" s="103"/>
      <c r="K453" s="103"/>
      <c r="L453" s="103"/>
      <c r="M453" s="679"/>
      <c r="N453" s="573"/>
      <c r="O453" s="1037"/>
    </row>
    <row r="454" spans="1:15" hidden="1">
      <c r="A454" s="1073" t="s">
        <v>164</v>
      </c>
      <c r="B454" s="62" t="s">
        <v>89</v>
      </c>
      <c r="C454" s="564"/>
      <c r="D454" s="564"/>
      <c r="E454" s="564"/>
      <c r="F454" s="564"/>
      <c r="G454" s="102">
        <f>G458+G517+G462</f>
        <v>5784590.8000000017</v>
      </c>
      <c r="H454" s="102"/>
      <c r="I454" s="102"/>
      <c r="J454" s="102"/>
      <c r="K454" s="102"/>
      <c r="L454" s="102">
        <f>L458+L517+L462</f>
        <v>4460964.7</v>
      </c>
      <c r="M454" s="499"/>
      <c r="N454" s="573"/>
      <c r="O454" s="564"/>
    </row>
    <row r="455" spans="1:15" ht="24" hidden="1">
      <c r="A455" s="1073"/>
      <c r="B455" s="62" t="s">
        <v>237</v>
      </c>
      <c r="C455" s="564"/>
      <c r="D455" s="564"/>
      <c r="E455" s="564"/>
      <c r="F455" s="564"/>
      <c r="G455" s="102">
        <f t="shared" ref="G455:L455" si="146">G456+G457</f>
        <v>0</v>
      </c>
      <c r="H455" s="102"/>
      <c r="I455" s="102"/>
      <c r="J455" s="102"/>
      <c r="K455" s="102"/>
      <c r="L455" s="102" t="e">
        <f t="shared" si="146"/>
        <v>#REF!</v>
      </c>
      <c r="M455" s="499"/>
      <c r="N455" s="573"/>
      <c r="O455" s="564"/>
    </row>
    <row r="456" spans="1:15" hidden="1">
      <c r="A456" s="1073"/>
      <c r="B456" s="62" t="s">
        <v>10</v>
      </c>
      <c r="C456" s="564"/>
      <c r="D456" s="564"/>
      <c r="E456" s="564"/>
      <c r="F456" s="564"/>
      <c r="G456" s="102"/>
      <c r="H456" s="102"/>
      <c r="I456" s="102"/>
      <c r="J456" s="102"/>
      <c r="K456" s="102"/>
      <c r="L456" s="102"/>
      <c r="M456" s="499"/>
      <c r="N456" s="573"/>
      <c r="O456" s="564"/>
    </row>
    <row r="457" spans="1:15" hidden="1">
      <c r="A457" s="1073"/>
      <c r="B457" s="62" t="s">
        <v>34</v>
      </c>
      <c r="C457" s="564"/>
      <c r="D457" s="564"/>
      <c r="E457" s="564"/>
      <c r="F457" s="564"/>
      <c r="G457" s="102"/>
      <c r="H457" s="102"/>
      <c r="I457" s="102"/>
      <c r="J457" s="102"/>
      <c r="K457" s="102"/>
      <c r="L457" s="102" t="e">
        <f>L461+#REF!+L465</f>
        <v>#REF!</v>
      </c>
      <c r="M457" s="499"/>
      <c r="N457" s="573"/>
      <c r="O457" s="564"/>
    </row>
    <row r="458" spans="1:15" hidden="1">
      <c r="A458" s="1092" t="s">
        <v>207</v>
      </c>
      <c r="B458" s="572" t="s">
        <v>89</v>
      </c>
      <c r="C458" s="572"/>
      <c r="D458" s="572"/>
      <c r="E458" s="572"/>
      <c r="F458" s="572"/>
      <c r="G458" s="103"/>
      <c r="H458" s="103"/>
      <c r="I458" s="103"/>
      <c r="J458" s="103"/>
      <c r="K458" s="103"/>
      <c r="L458" s="103"/>
      <c r="M458" s="679"/>
      <c r="N458" s="573"/>
      <c r="O458" s="1037"/>
    </row>
    <row r="459" spans="1:15" ht="24" hidden="1">
      <c r="A459" s="1093"/>
      <c r="B459" s="572" t="s">
        <v>237</v>
      </c>
      <c r="C459" s="572"/>
      <c r="D459" s="572"/>
      <c r="E459" s="572"/>
      <c r="F459" s="572"/>
      <c r="G459" s="103">
        <f t="shared" ref="G459:L459" si="147">G460+G461</f>
        <v>0</v>
      </c>
      <c r="H459" s="103"/>
      <c r="I459" s="103"/>
      <c r="J459" s="103"/>
      <c r="K459" s="103"/>
      <c r="L459" s="103">
        <f t="shared" si="147"/>
        <v>0</v>
      </c>
      <c r="M459" s="679"/>
      <c r="N459" s="573"/>
      <c r="O459" s="1037"/>
    </row>
    <row r="460" spans="1:15" hidden="1">
      <c r="A460" s="1093"/>
      <c r="B460" s="572" t="s">
        <v>10</v>
      </c>
      <c r="C460" s="572"/>
      <c r="D460" s="572"/>
      <c r="E460" s="572"/>
      <c r="F460" s="572"/>
      <c r="G460" s="103"/>
      <c r="H460" s="103"/>
      <c r="I460" s="103"/>
      <c r="J460" s="103"/>
      <c r="K460" s="103"/>
      <c r="L460" s="103">
        <v>0</v>
      </c>
      <c r="M460" s="679"/>
      <c r="N460" s="573"/>
      <c r="O460" s="1037"/>
    </row>
    <row r="461" spans="1:15" hidden="1">
      <c r="A461" s="1094"/>
      <c r="B461" s="572" t="s">
        <v>34</v>
      </c>
      <c r="C461" s="572"/>
      <c r="D461" s="572"/>
      <c r="E461" s="572"/>
      <c r="F461" s="572"/>
      <c r="G461" s="103"/>
      <c r="H461" s="103"/>
      <c r="I461" s="103"/>
      <c r="J461" s="103"/>
      <c r="K461" s="103"/>
      <c r="L461" s="103">
        <v>0</v>
      </c>
      <c r="M461" s="679"/>
      <c r="N461" s="573"/>
      <c r="O461" s="1037"/>
    </row>
    <row r="462" spans="1:15" hidden="1">
      <c r="A462" s="1092" t="s">
        <v>267</v>
      </c>
      <c r="B462" s="564" t="s">
        <v>89</v>
      </c>
      <c r="C462" s="564"/>
      <c r="D462" s="564"/>
      <c r="E462" s="564"/>
      <c r="F462" s="564"/>
      <c r="G462" s="103"/>
      <c r="H462" s="103"/>
      <c r="I462" s="103"/>
      <c r="J462" s="103"/>
      <c r="K462" s="103"/>
      <c r="L462" s="103"/>
      <c r="M462" s="679"/>
      <c r="N462" s="573"/>
      <c r="O462" s="1037" t="s">
        <v>271</v>
      </c>
    </row>
    <row r="463" spans="1:15" ht="24" hidden="1">
      <c r="A463" s="1093"/>
      <c r="B463" s="564" t="s">
        <v>237</v>
      </c>
      <c r="C463" s="564"/>
      <c r="D463" s="564"/>
      <c r="E463" s="564"/>
      <c r="F463" s="564"/>
      <c r="G463" s="103">
        <f>G464+G465</f>
        <v>0</v>
      </c>
      <c r="H463" s="103"/>
      <c r="I463" s="103"/>
      <c r="J463" s="103"/>
      <c r="K463" s="103"/>
      <c r="L463" s="103">
        <f t="shared" ref="L463" si="148">L464+L465</f>
        <v>0</v>
      </c>
      <c r="M463" s="679"/>
      <c r="N463" s="573"/>
      <c r="O463" s="1037"/>
    </row>
    <row r="464" spans="1:15" ht="0.75" hidden="1" customHeight="1">
      <c r="A464" s="1093"/>
      <c r="B464" s="564" t="s">
        <v>10</v>
      </c>
      <c r="C464" s="564"/>
      <c r="D464" s="564"/>
      <c r="E464" s="564"/>
      <c r="F464" s="564"/>
      <c r="G464" s="103"/>
      <c r="H464" s="103"/>
      <c r="I464" s="103"/>
      <c r="J464" s="103"/>
      <c r="K464" s="103"/>
      <c r="L464" s="103"/>
      <c r="M464" s="679"/>
      <c r="N464" s="573"/>
      <c r="O464" s="1037"/>
    </row>
    <row r="465" spans="1:15" hidden="1">
      <c r="A465" s="1094"/>
      <c r="B465" s="564" t="s">
        <v>34</v>
      </c>
      <c r="C465" s="564"/>
      <c r="D465" s="564"/>
      <c r="E465" s="564"/>
      <c r="F465" s="564"/>
      <c r="G465" s="103"/>
      <c r="H465" s="103"/>
      <c r="I465" s="103"/>
      <c r="J465" s="103"/>
      <c r="K465" s="103"/>
      <c r="L465" s="103"/>
      <c r="M465" s="679"/>
      <c r="N465" s="573"/>
      <c r="O465" s="1037"/>
    </row>
    <row r="466" spans="1:15" ht="0.75" hidden="1" customHeight="1">
      <c r="A466" s="1155" t="s">
        <v>22</v>
      </c>
      <c r="B466" s="564" t="s">
        <v>89</v>
      </c>
      <c r="C466" s="564"/>
      <c r="D466" s="564"/>
      <c r="E466" s="564"/>
      <c r="F466" s="564"/>
      <c r="G466" s="103"/>
      <c r="H466" s="103"/>
      <c r="I466" s="103"/>
      <c r="J466" s="103"/>
      <c r="K466" s="103"/>
      <c r="L466" s="103"/>
      <c r="M466" s="679"/>
      <c r="N466" s="573"/>
      <c r="O466" s="1037" t="s">
        <v>519</v>
      </c>
    </row>
    <row r="467" spans="1:15" ht="45.75" hidden="1" customHeight="1">
      <c r="A467" s="1156"/>
      <c r="B467" s="564" t="s">
        <v>237</v>
      </c>
      <c r="C467" s="564"/>
      <c r="D467" s="564"/>
      <c r="E467" s="564"/>
      <c r="F467" s="564"/>
      <c r="G467" s="102">
        <f>K467</f>
        <v>0</v>
      </c>
      <c r="H467" s="102"/>
      <c r="I467" s="102"/>
      <c r="J467" s="102"/>
      <c r="K467" s="102">
        <f>K468+K469</f>
        <v>0</v>
      </c>
      <c r="L467" s="103">
        <f>L468+L469</f>
        <v>0</v>
      </c>
      <c r="M467" s="679"/>
      <c r="N467" s="573"/>
      <c r="O467" s="1037"/>
    </row>
    <row r="468" spans="1:15" ht="24" hidden="1" customHeight="1">
      <c r="A468" s="1156"/>
      <c r="B468" s="564" t="s">
        <v>10</v>
      </c>
      <c r="C468" s="564"/>
      <c r="D468" s="564"/>
      <c r="E468" s="564"/>
      <c r="F468" s="564"/>
      <c r="G468" s="103">
        <f t="shared" ref="G468:G469" si="149">K468</f>
        <v>0</v>
      </c>
      <c r="H468" s="103"/>
      <c r="I468" s="103"/>
      <c r="J468" s="103"/>
      <c r="K468" s="103"/>
      <c r="L468" s="103"/>
      <c r="M468" s="679"/>
      <c r="N468" s="573"/>
      <c r="O468" s="1037"/>
    </row>
    <row r="469" spans="1:15" ht="40.5" hidden="1" customHeight="1">
      <c r="A469" s="1157"/>
      <c r="B469" s="564" t="s">
        <v>443</v>
      </c>
      <c r="C469" s="564"/>
      <c r="D469" s="564"/>
      <c r="E469" s="564"/>
      <c r="F469" s="564"/>
      <c r="G469" s="103">
        <f t="shared" si="149"/>
        <v>0</v>
      </c>
      <c r="H469" s="103"/>
      <c r="I469" s="103"/>
      <c r="J469" s="103"/>
      <c r="K469" s="103"/>
      <c r="L469" s="103"/>
      <c r="M469" s="679"/>
      <c r="N469" s="573"/>
      <c r="O469" s="1037"/>
    </row>
    <row r="470" spans="1:15" ht="68.25" hidden="1" customHeight="1">
      <c r="A470" s="1149" t="s">
        <v>554</v>
      </c>
      <c r="B470" s="62" t="s">
        <v>871</v>
      </c>
      <c r="C470" s="643"/>
      <c r="D470" s="643"/>
      <c r="E470" s="643"/>
      <c r="F470" s="643"/>
      <c r="G470" s="103">
        <v>0</v>
      </c>
      <c r="H470" s="103"/>
      <c r="I470" s="103"/>
      <c r="J470" s="103"/>
      <c r="K470" s="103">
        <v>0</v>
      </c>
      <c r="L470" s="103"/>
      <c r="M470" s="499">
        <f>M488</f>
        <v>0</v>
      </c>
      <c r="N470" s="1030" t="s">
        <v>26</v>
      </c>
      <c r="O470" s="1030" t="s">
        <v>872</v>
      </c>
    </row>
    <row r="471" spans="1:15" ht="30.75" hidden="1" customHeight="1">
      <c r="A471" s="1149"/>
      <c r="B471" s="62" t="s">
        <v>24</v>
      </c>
      <c r="C471" s="643"/>
      <c r="D471" s="643"/>
      <c r="E471" s="643"/>
      <c r="F471" s="643"/>
      <c r="G471" s="103"/>
      <c r="H471" s="103"/>
      <c r="I471" s="103"/>
      <c r="J471" s="103"/>
      <c r="K471" s="103"/>
      <c r="L471" s="103"/>
      <c r="M471" s="499"/>
      <c r="N471" s="1032"/>
      <c r="O471" s="1032"/>
    </row>
    <row r="472" spans="1:15" ht="25.5" hidden="1" customHeight="1">
      <c r="A472" s="1149"/>
      <c r="B472" s="62" t="s">
        <v>237</v>
      </c>
      <c r="C472" s="643"/>
      <c r="D472" s="643"/>
      <c r="E472" s="643"/>
      <c r="F472" s="643"/>
      <c r="G472" s="102">
        <f>G473+G474</f>
        <v>0</v>
      </c>
      <c r="H472" s="102">
        <f t="shared" ref="H472:K472" si="150">H473+H474</f>
        <v>0</v>
      </c>
      <c r="I472" s="102">
        <f t="shared" si="150"/>
        <v>0</v>
      </c>
      <c r="J472" s="102">
        <f t="shared" si="150"/>
        <v>0</v>
      </c>
      <c r="K472" s="102">
        <f t="shared" si="150"/>
        <v>0</v>
      </c>
      <c r="L472" s="102">
        <f t="shared" ref="L472" si="151">L473+L474</f>
        <v>0</v>
      </c>
      <c r="M472" s="499">
        <f t="shared" ref="M472" si="152">M473+M474</f>
        <v>0</v>
      </c>
      <c r="N472" s="1032"/>
      <c r="O472" s="1032"/>
    </row>
    <row r="473" spans="1:15" ht="19.5" hidden="1" customHeight="1">
      <c r="A473" s="1149"/>
      <c r="B473" s="62" t="s">
        <v>10</v>
      </c>
      <c r="C473" s="643"/>
      <c r="D473" s="643"/>
      <c r="E473" s="643"/>
      <c r="F473" s="643"/>
      <c r="G473" s="102">
        <f>G478+G490+G506+G514</f>
        <v>0</v>
      </c>
      <c r="H473" s="102">
        <f t="shared" ref="H473:M473" si="153">H478+H490+H506+H514</f>
        <v>0</v>
      </c>
      <c r="I473" s="102">
        <f t="shared" si="153"/>
        <v>0</v>
      </c>
      <c r="J473" s="102">
        <f t="shared" si="153"/>
        <v>0</v>
      </c>
      <c r="K473" s="102">
        <f t="shared" si="153"/>
        <v>0</v>
      </c>
      <c r="L473" s="102">
        <f t="shared" si="153"/>
        <v>0</v>
      </c>
      <c r="M473" s="499">
        <f t="shared" si="153"/>
        <v>0</v>
      </c>
      <c r="N473" s="1032"/>
      <c r="O473" s="1032"/>
    </row>
    <row r="474" spans="1:15" ht="31.5" hidden="1" customHeight="1">
      <c r="A474" s="1149"/>
      <c r="B474" s="62" t="s">
        <v>443</v>
      </c>
      <c r="C474" s="643"/>
      <c r="D474" s="643"/>
      <c r="E474" s="643"/>
      <c r="F474" s="643"/>
      <c r="G474" s="103"/>
      <c r="H474" s="103"/>
      <c r="I474" s="103"/>
      <c r="J474" s="103"/>
      <c r="K474" s="103"/>
      <c r="L474" s="103"/>
      <c r="M474" s="679"/>
      <c r="N474" s="1031"/>
      <c r="O474" s="1031"/>
    </row>
    <row r="475" spans="1:15" ht="15" hidden="1" customHeight="1">
      <c r="A475" s="654" t="s">
        <v>29</v>
      </c>
      <c r="B475" s="62"/>
      <c r="C475" s="643"/>
      <c r="D475" s="643"/>
      <c r="E475" s="643"/>
      <c r="F475" s="643"/>
      <c r="G475" s="103"/>
      <c r="H475" s="103"/>
      <c r="I475" s="103"/>
      <c r="J475" s="103"/>
      <c r="K475" s="103"/>
      <c r="L475" s="103"/>
      <c r="M475" s="679"/>
      <c r="N475" s="651"/>
      <c r="O475" s="641"/>
    </row>
    <row r="476" spans="1:15" ht="18.75" hidden="1" customHeight="1">
      <c r="A476" s="1038" t="s">
        <v>103</v>
      </c>
      <c r="B476" s="62" t="s">
        <v>89</v>
      </c>
      <c r="C476" s="62"/>
      <c r="D476" s="62"/>
      <c r="E476" s="62"/>
      <c r="F476" s="62"/>
      <c r="G476" s="102"/>
      <c r="H476" s="102"/>
      <c r="I476" s="102"/>
      <c r="J476" s="102"/>
      <c r="K476" s="102"/>
      <c r="L476" s="102"/>
      <c r="M476" s="499"/>
      <c r="N476" s="651"/>
      <c r="O476" s="62"/>
    </row>
    <row r="477" spans="1:15" ht="24" hidden="1" customHeight="1">
      <c r="A477" s="1038"/>
      <c r="B477" s="62" t="s">
        <v>237</v>
      </c>
      <c r="C477" s="62"/>
      <c r="D477" s="62"/>
      <c r="E477" s="62"/>
      <c r="F477" s="62"/>
      <c r="G477" s="102"/>
      <c r="H477" s="102"/>
      <c r="I477" s="102"/>
      <c r="J477" s="102"/>
      <c r="K477" s="102"/>
      <c r="L477" s="102"/>
      <c r="M477" s="499"/>
      <c r="N477" s="651"/>
      <c r="O477" s="62"/>
    </row>
    <row r="478" spans="1:15" ht="18.75" hidden="1" customHeight="1">
      <c r="A478" s="1038"/>
      <c r="B478" s="62" t="s">
        <v>10</v>
      </c>
      <c r="C478" s="62"/>
      <c r="D478" s="62"/>
      <c r="E478" s="62"/>
      <c r="F478" s="62"/>
      <c r="G478" s="102"/>
      <c r="H478" s="102"/>
      <c r="I478" s="102"/>
      <c r="J478" s="102"/>
      <c r="K478" s="102"/>
      <c r="L478" s="102"/>
      <c r="M478" s="499"/>
      <c r="N478" s="651"/>
      <c r="O478" s="62"/>
    </row>
    <row r="479" spans="1:15" ht="20.25" hidden="1" customHeight="1">
      <c r="A479" s="1038"/>
      <c r="B479" s="62" t="s">
        <v>443</v>
      </c>
      <c r="C479" s="62"/>
      <c r="D479" s="62"/>
      <c r="E479" s="62"/>
      <c r="F479" s="62"/>
      <c r="G479" s="102"/>
      <c r="H479" s="102"/>
      <c r="I479" s="102"/>
      <c r="J479" s="102"/>
      <c r="K479" s="102"/>
      <c r="L479" s="102"/>
      <c r="M479" s="499"/>
      <c r="N479" s="651"/>
      <c r="O479" s="62"/>
    </row>
    <row r="480" spans="1:15" ht="20.25" hidden="1" customHeight="1">
      <c r="A480" s="1158" t="s">
        <v>854</v>
      </c>
      <c r="B480" s="664" t="s">
        <v>89</v>
      </c>
      <c r="C480" s="62"/>
      <c r="D480" s="62"/>
      <c r="E480" s="62"/>
      <c r="F480" s="62"/>
      <c r="G480" s="102">
        <v>0</v>
      </c>
      <c r="H480" s="102">
        <v>0</v>
      </c>
      <c r="I480" s="102">
        <v>0</v>
      </c>
      <c r="J480" s="102">
        <v>0</v>
      </c>
      <c r="K480" s="102">
        <v>0</v>
      </c>
      <c r="L480" s="102"/>
      <c r="M480" s="499"/>
      <c r="N480" s="651"/>
      <c r="O480" s="658"/>
    </row>
    <row r="481" spans="1:15" ht="25.5" hidden="1" customHeight="1">
      <c r="A481" s="1159"/>
      <c r="B481" s="664" t="s">
        <v>237</v>
      </c>
      <c r="C481" s="62"/>
      <c r="D481" s="62"/>
      <c r="E481" s="62"/>
      <c r="F481" s="62"/>
      <c r="G481" s="102"/>
      <c r="H481" s="102"/>
      <c r="I481" s="102"/>
      <c r="J481" s="102"/>
      <c r="K481" s="102"/>
      <c r="L481" s="102"/>
      <c r="M481" s="499"/>
      <c r="N481" s="651"/>
      <c r="O481" s="659"/>
    </row>
    <row r="482" spans="1:15" ht="20.25" hidden="1" customHeight="1">
      <c r="A482" s="1159"/>
      <c r="B482" s="664" t="s">
        <v>10</v>
      </c>
      <c r="C482" s="643"/>
      <c r="D482" s="643"/>
      <c r="E482" s="643"/>
      <c r="F482" s="643"/>
      <c r="G482" s="103"/>
      <c r="H482" s="103"/>
      <c r="I482" s="103"/>
      <c r="J482" s="103"/>
      <c r="K482" s="103"/>
      <c r="L482" s="103"/>
      <c r="M482" s="679"/>
      <c r="N482" s="651"/>
      <c r="O482" s="659"/>
    </row>
    <row r="483" spans="1:15" ht="20.25" hidden="1" customHeight="1">
      <c r="A483" s="1160"/>
      <c r="B483" s="664" t="s">
        <v>443</v>
      </c>
      <c r="C483" s="643"/>
      <c r="D483" s="643"/>
      <c r="E483" s="643"/>
      <c r="F483" s="643"/>
      <c r="G483" s="103"/>
      <c r="H483" s="103"/>
      <c r="I483" s="103"/>
      <c r="J483" s="103"/>
      <c r="K483" s="103"/>
      <c r="L483" s="103"/>
      <c r="M483" s="679"/>
      <c r="N483" s="651"/>
      <c r="O483" s="660"/>
    </row>
    <row r="484" spans="1:15" ht="20.25" hidden="1" customHeight="1">
      <c r="A484" s="1039" t="s">
        <v>856</v>
      </c>
      <c r="B484" s="664" t="s">
        <v>89</v>
      </c>
      <c r="C484" s="643"/>
      <c r="D484" s="643"/>
      <c r="E484" s="643"/>
      <c r="F484" s="643"/>
      <c r="G484" s="103"/>
      <c r="H484" s="103"/>
      <c r="I484" s="103"/>
      <c r="J484" s="103"/>
      <c r="K484" s="103"/>
      <c r="L484" s="103"/>
      <c r="M484" s="679"/>
      <c r="N484" s="651"/>
      <c r="O484" s="1154"/>
    </row>
    <row r="485" spans="1:15" ht="20.25" hidden="1" customHeight="1">
      <c r="A485" s="1039"/>
      <c r="B485" s="664" t="s">
        <v>237</v>
      </c>
      <c r="C485" s="643"/>
      <c r="D485" s="643"/>
      <c r="E485" s="643"/>
      <c r="F485" s="643"/>
      <c r="G485" s="103"/>
      <c r="H485" s="103"/>
      <c r="I485" s="103"/>
      <c r="J485" s="103"/>
      <c r="K485" s="103"/>
      <c r="L485" s="103"/>
      <c r="M485" s="679"/>
      <c r="N485" s="651"/>
      <c r="O485" s="1154"/>
    </row>
    <row r="486" spans="1:15" ht="20.25" hidden="1" customHeight="1">
      <c r="A486" s="1039"/>
      <c r="B486" s="664" t="s">
        <v>10</v>
      </c>
      <c r="C486" s="643"/>
      <c r="D486" s="643"/>
      <c r="E486" s="643"/>
      <c r="F486" s="643"/>
      <c r="G486" s="103"/>
      <c r="H486" s="103"/>
      <c r="I486" s="103"/>
      <c r="J486" s="103"/>
      <c r="K486" s="103"/>
      <c r="L486" s="103"/>
      <c r="M486" s="679"/>
      <c r="N486" s="651"/>
      <c r="O486" s="1154"/>
    </row>
    <row r="487" spans="1:15" ht="20.25" hidden="1" customHeight="1">
      <c r="A487" s="1039"/>
      <c r="B487" s="664" t="s">
        <v>443</v>
      </c>
      <c r="C487" s="643"/>
      <c r="D487" s="643"/>
      <c r="E487" s="643"/>
      <c r="F487" s="643"/>
      <c r="G487" s="103"/>
      <c r="H487" s="103"/>
      <c r="I487" s="103"/>
      <c r="J487" s="103"/>
      <c r="K487" s="103"/>
      <c r="L487" s="103"/>
      <c r="M487" s="679"/>
      <c r="N487" s="651"/>
      <c r="O487" s="1154"/>
    </row>
    <row r="488" spans="1:15" ht="20.25" hidden="1" customHeight="1">
      <c r="A488" s="1067" t="s">
        <v>104</v>
      </c>
      <c r="B488" s="665" t="s">
        <v>867</v>
      </c>
      <c r="C488" s="643"/>
      <c r="D488" s="643"/>
      <c r="E488" s="643"/>
      <c r="F488" s="643"/>
      <c r="G488" s="103"/>
      <c r="H488" s="103"/>
      <c r="I488" s="103"/>
      <c r="J488" s="103"/>
      <c r="K488" s="103"/>
      <c r="L488" s="103"/>
      <c r="M488" s="679"/>
      <c r="N488" s="651"/>
      <c r="O488" s="1030" t="s">
        <v>869</v>
      </c>
    </row>
    <row r="489" spans="1:15" ht="23.25" hidden="1" customHeight="1">
      <c r="A489" s="1068"/>
      <c r="B489" s="665" t="s">
        <v>237</v>
      </c>
      <c r="C489" s="643"/>
      <c r="D489" s="643"/>
      <c r="E489" s="643"/>
      <c r="F489" s="643"/>
      <c r="G489" s="103"/>
      <c r="H489" s="103"/>
      <c r="I489" s="103"/>
      <c r="J489" s="103"/>
      <c r="K489" s="103"/>
      <c r="L489" s="103"/>
      <c r="M489" s="679">
        <f>M490</f>
        <v>0</v>
      </c>
      <c r="N489" s="651"/>
      <c r="O489" s="1032"/>
    </row>
    <row r="490" spans="1:15" ht="20.25" hidden="1" customHeight="1">
      <c r="A490" s="1068"/>
      <c r="B490" s="665" t="s">
        <v>10</v>
      </c>
      <c r="C490" s="643"/>
      <c r="D490" s="643"/>
      <c r="E490" s="643"/>
      <c r="F490" s="643"/>
      <c r="G490" s="103"/>
      <c r="H490" s="103"/>
      <c r="I490" s="103"/>
      <c r="J490" s="103"/>
      <c r="K490" s="103"/>
      <c r="L490" s="103"/>
      <c r="M490" s="679">
        <f>M494+M498+M502</f>
        <v>0</v>
      </c>
      <c r="N490" s="651"/>
      <c r="O490" s="1032"/>
    </row>
    <row r="491" spans="1:15" ht="20.25" hidden="1" customHeight="1">
      <c r="A491" s="1069"/>
      <c r="B491" s="665" t="s">
        <v>443</v>
      </c>
      <c r="C491" s="643"/>
      <c r="D491" s="643"/>
      <c r="E491" s="643"/>
      <c r="F491" s="643"/>
      <c r="G491" s="103"/>
      <c r="H491" s="103"/>
      <c r="I491" s="103"/>
      <c r="J491" s="103"/>
      <c r="K491" s="103"/>
      <c r="L491" s="103"/>
      <c r="M491" s="679"/>
      <c r="N491" s="651"/>
      <c r="O491" s="1031"/>
    </row>
    <row r="492" spans="1:15" ht="20.25" hidden="1" customHeight="1">
      <c r="A492" s="1039" t="s">
        <v>858</v>
      </c>
      <c r="B492" s="664" t="s">
        <v>89</v>
      </c>
      <c r="C492" s="643"/>
      <c r="D492" s="643"/>
      <c r="E492" s="643"/>
      <c r="F492" s="643"/>
      <c r="G492" s="103"/>
      <c r="H492" s="103"/>
      <c r="I492" s="103"/>
      <c r="J492" s="103"/>
      <c r="K492" s="103"/>
      <c r="L492" s="103"/>
      <c r="M492" s="679"/>
      <c r="N492" s="651"/>
      <c r="O492" s="1030" t="s">
        <v>868</v>
      </c>
    </row>
    <row r="493" spans="1:15" ht="20.25" hidden="1" customHeight="1">
      <c r="A493" s="1039"/>
      <c r="B493" s="664" t="s">
        <v>237</v>
      </c>
      <c r="C493" s="643"/>
      <c r="D493" s="643"/>
      <c r="E493" s="643"/>
      <c r="F493" s="643"/>
      <c r="G493" s="103"/>
      <c r="H493" s="103"/>
      <c r="I493" s="103"/>
      <c r="J493" s="103"/>
      <c r="K493" s="103"/>
      <c r="L493" s="103"/>
      <c r="M493" s="679">
        <f>M494</f>
        <v>0</v>
      </c>
      <c r="N493" s="651"/>
      <c r="O493" s="1032"/>
    </row>
    <row r="494" spans="1:15" ht="20.25" hidden="1" customHeight="1">
      <c r="A494" s="1039"/>
      <c r="B494" s="664" t="s">
        <v>10</v>
      </c>
      <c r="C494" s="643"/>
      <c r="D494" s="643"/>
      <c r="E494" s="643"/>
      <c r="F494" s="643"/>
      <c r="G494" s="103"/>
      <c r="H494" s="103"/>
      <c r="I494" s="103"/>
      <c r="J494" s="103"/>
      <c r="K494" s="103"/>
      <c r="L494" s="103"/>
      <c r="M494" s="679"/>
      <c r="N494" s="651"/>
      <c r="O494" s="1032"/>
    </row>
    <row r="495" spans="1:15" ht="20.25" hidden="1" customHeight="1">
      <c r="A495" s="1039"/>
      <c r="B495" s="664" t="s">
        <v>443</v>
      </c>
      <c r="C495" s="643"/>
      <c r="D495" s="643"/>
      <c r="E495" s="643"/>
      <c r="F495" s="643"/>
      <c r="G495" s="103"/>
      <c r="H495" s="103"/>
      <c r="I495" s="103"/>
      <c r="J495" s="103"/>
      <c r="K495" s="103"/>
      <c r="L495" s="103"/>
      <c r="M495" s="679"/>
      <c r="N495" s="651"/>
      <c r="O495" s="1031"/>
    </row>
    <row r="496" spans="1:15" ht="20.25" hidden="1" customHeight="1">
      <c r="A496" s="1039" t="s">
        <v>859</v>
      </c>
      <c r="B496" s="664" t="s">
        <v>89</v>
      </c>
      <c r="C496" s="643"/>
      <c r="D496" s="643"/>
      <c r="E496" s="643"/>
      <c r="F496" s="643"/>
      <c r="G496" s="103"/>
      <c r="H496" s="103"/>
      <c r="I496" s="103"/>
      <c r="J496" s="103"/>
      <c r="K496" s="103"/>
      <c r="L496" s="103"/>
      <c r="M496" s="679"/>
      <c r="N496" s="651"/>
      <c r="O496" s="1030" t="s">
        <v>868</v>
      </c>
    </row>
    <row r="497" spans="1:15" ht="22.5" hidden="1" customHeight="1">
      <c r="A497" s="1039"/>
      <c r="B497" s="664" t="s">
        <v>237</v>
      </c>
      <c r="C497" s="643"/>
      <c r="D497" s="643"/>
      <c r="E497" s="643"/>
      <c r="F497" s="643"/>
      <c r="G497" s="103"/>
      <c r="H497" s="103"/>
      <c r="I497" s="103"/>
      <c r="J497" s="103"/>
      <c r="K497" s="103"/>
      <c r="L497" s="103"/>
      <c r="M497" s="679">
        <f>M498</f>
        <v>0</v>
      </c>
      <c r="N497" s="651"/>
      <c r="O497" s="1032"/>
    </row>
    <row r="498" spans="1:15" ht="20.25" hidden="1" customHeight="1">
      <c r="A498" s="1039"/>
      <c r="B498" s="664" t="s">
        <v>10</v>
      </c>
      <c r="C498" s="643"/>
      <c r="D498" s="643"/>
      <c r="E498" s="643"/>
      <c r="F498" s="643"/>
      <c r="G498" s="103"/>
      <c r="H498" s="103"/>
      <c r="I498" s="103"/>
      <c r="J498" s="103"/>
      <c r="K498" s="103"/>
      <c r="L498" s="103"/>
      <c r="M498" s="679"/>
      <c r="N498" s="651"/>
      <c r="O498" s="1032"/>
    </row>
    <row r="499" spans="1:15" ht="20.25" hidden="1" customHeight="1">
      <c r="A499" s="1039"/>
      <c r="B499" s="664" t="s">
        <v>443</v>
      </c>
      <c r="C499" s="643"/>
      <c r="D499" s="643"/>
      <c r="E499" s="643"/>
      <c r="F499" s="643"/>
      <c r="G499" s="103"/>
      <c r="H499" s="103"/>
      <c r="I499" s="103"/>
      <c r="J499" s="103"/>
      <c r="K499" s="103"/>
      <c r="L499" s="103"/>
      <c r="M499" s="679"/>
      <c r="N499" s="651"/>
      <c r="O499" s="1031"/>
    </row>
    <row r="500" spans="1:15" ht="20.25" hidden="1" customHeight="1">
      <c r="A500" s="1028" t="s">
        <v>857</v>
      </c>
      <c r="B500" s="664" t="s">
        <v>89</v>
      </c>
      <c r="C500" s="643"/>
      <c r="D500" s="643"/>
      <c r="E500" s="643"/>
      <c r="F500" s="643"/>
      <c r="G500" s="103"/>
      <c r="H500" s="103"/>
      <c r="I500" s="103"/>
      <c r="J500" s="103"/>
      <c r="K500" s="103"/>
      <c r="L500" s="103"/>
      <c r="M500" s="679"/>
      <c r="N500" s="651"/>
      <c r="O500" s="1030" t="s">
        <v>868</v>
      </c>
    </row>
    <row r="501" spans="1:15" ht="20.25" hidden="1" customHeight="1">
      <c r="A501" s="1036"/>
      <c r="B501" s="664" t="s">
        <v>237</v>
      </c>
      <c r="C501" s="643"/>
      <c r="D501" s="643"/>
      <c r="E501" s="643"/>
      <c r="F501" s="643"/>
      <c r="G501" s="103"/>
      <c r="H501" s="103"/>
      <c r="I501" s="103"/>
      <c r="J501" s="103"/>
      <c r="K501" s="103"/>
      <c r="L501" s="103"/>
      <c r="M501" s="679">
        <f>M502</f>
        <v>0</v>
      </c>
      <c r="N501" s="651"/>
      <c r="O501" s="1032"/>
    </row>
    <row r="502" spans="1:15" ht="20.25" hidden="1" customHeight="1">
      <c r="A502" s="1036"/>
      <c r="B502" s="664" t="s">
        <v>10</v>
      </c>
      <c r="C502" s="643"/>
      <c r="D502" s="643"/>
      <c r="E502" s="643"/>
      <c r="F502" s="643"/>
      <c r="G502" s="103"/>
      <c r="H502" s="103"/>
      <c r="I502" s="103"/>
      <c r="J502" s="103"/>
      <c r="K502" s="103"/>
      <c r="L502" s="103"/>
      <c r="M502" s="679"/>
      <c r="N502" s="651"/>
      <c r="O502" s="1032"/>
    </row>
    <row r="503" spans="1:15" ht="20.25" hidden="1" customHeight="1">
      <c r="A503" s="1029"/>
      <c r="B503" s="664" t="s">
        <v>443</v>
      </c>
      <c r="C503" s="643"/>
      <c r="D503" s="643"/>
      <c r="E503" s="643"/>
      <c r="F503" s="643"/>
      <c r="G503" s="103"/>
      <c r="H503" s="103"/>
      <c r="I503" s="103"/>
      <c r="J503" s="103"/>
      <c r="K503" s="103"/>
      <c r="L503" s="103"/>
      <c r="M503" s="679"/>
      <c r="N503" s="651"/>
      <c r="O503" s="1031"/>
    </row>
    <row r="504" spans="1:15" ht="20.25" hidden="1" customHeight="1">
      <c r="A504" s="1038" t="s">
        <v>137</v>
      </c>
      <c r="B504" s="665" t="s">
        <v>89</v>
      </c>
      <c r="C504" s="643"/>
      <c r="D504" s="643"/>
      <c r="E504" s="643"/>
      <c r="F504" s="643"/>
      <c r="G504" s="103"/>
      <c r="H504" s="103"/>
      <c r="I504" s="103"/>
      <c r="J504" s="103"/>
      <c r="K504" s="103"/>
      <c r="L504" s="103"/>
      <c r="M504" s="679"/>
      <c r="N504" s="651"/>
      <c r="O504" s="1154"/>
    </row>
    <row r="505" spans="1:15" ht="20.25" hidden="1" customHeight="1">
      <c r="A505" s="1038"/>
      <c r="B505" s="665" t="s">
        <v>237</v>
      </c>
      <c r="C505" s="643"/>
      <c r="D505" s="643"/>
      <c r="E505" s="643"/>
      <c r="F505" s="643"/>
      <c r="G505" s="103"/>
      <c r="H505" s="103"/>
      <c r="I505" s="103"/>
      <c r="J505" s="103"/>
      <c r="K505" s="103"/>
      <c r="L505" s="103"/>
      <c r="M505" s="679"/>
      <c r="N505" s="651"/>
      <c r="O505" s="1154"/>
    </row>
    <row r="506" spans="1:15" ht="20.25" hidden="1" customHeight="1">
      <c r="A506" s="1038"/>
      <c r="B506" s="665" t="s">
        <v>10</v>
      </c>
      <c r="C506" s="643"/>
      <c r="D506" s="643"/>
      <c r="E506" s="643"/>
      <c r="F506" s="643"/>
      <c r="G506" s="103"/>
      <c r="H506" s="103"/>
      <c r="I506" s="103"/>
      <c r="J506" s="103"/>
      <c r="K506" s="103"/>
      <c r="L506" s="103"/>
      <c r="M506" s="679"/>
      <c r="N506" s="651"/>
      <c r="O506" s="1154"/>
    </row>
    <row r="507" spans="1:15" ht="20.25" hidden="1" customHeight="1">
      <c r="A507" s="1038"/>
      <c r="B507" s="665" t="s">
        <v>443</v>
      </c>
      <c r="C507" s="643"/>
      <c r="D507" s="643"/>
      <c r="E507" s="643"/>
      <c r="F507" s="643"/>
      <c r="G507" s="103"/>
      <c r="H507" s="103"/>
      <c r="I507" s="103"/>
      <c r="J507" s="103"/>
      <c r="K507" s="103"/>
      <c r="L507" s="103"/>
      <c r="M507" s="679"/>
      <c r="N507" s="651"/>
      <c r="O507" s="1154"/>
    </row>
    <row r="508" spans="1:15" ht="20.25" hidden="1" customHeight="1">
      <c r="A508" s="1028" t="s">
        <v>861</v>
      </c>
      <c r="B508" s="664" t="s">
        <v>89</v>
      </c>
      <c r="C508" s="643"/>
      <c r="D508" s="643"/>
      <c r="E508" s="643"/>
      <c r="F508" s="643"/>
      <c r="G508" s="103"/>
      <c r="H508" s="103"/>
      <c r="I508" s="103"/>
      <c r="J508" s="103"/>
      <c r="K508" s="103"/>
      <c r="L508" s="103"/>
      <c r="M508" s="679"/>
      <c r="N508" s="651"/>
      <c r="O508" s="1154"/>
    </row>
    <row r="509" spans="1:15" ht="20.25" hidden="1" customHeight="1">
      <c r="A509" s="1036"/>
      <c r="B509" s="664" t="s">
        <v>237</v>
      </c>
      <c r="C509" s="643"/>
      <c r="D509" s="643"/>
      <c r="E509" s="643"/>
      <c r="F509" s="643"/>
      <c r="G509" s="103"/>
      <c r="H509" s="103"/>
      <c r="I509" s="103"/>
      <c r="J509" s="103"/>
      <c r="K509" s="103"/>
      <c r="L509" s="103"/>
      <c r="M509" s="679"/>
      <c r="N509" s="651"/>
      <c r="O509" s="1154"/>
    </row>
    <row r="510" spans="1:15" ht="20.25" hidden="1" customHeight="1">
      <c r="A510" s="1036"/>
      <c r="B510" s="664" t="s">
        <v>10</v>
      </c>
      <c r="C510" s="643"/>
      <c r="D510" s="643"/>
      <c r="E510" s="643"/>
      <c r="F510" s="643"/>
      <c r="G510" s="103"/>
      <c r="H510" s="103"/>
      <c r="I510" s="103"/>
      <c r="J510" s="103"/>
      <c r="K510" s="103"/>
      <c r="L510" s="103"/>
      <c r="M510" s="679"/>
      <c r="N510" s="651"/>
      <c r="O510" s="1154"/>
    </row>
    <row r="511" spans="1:15" ht="20.25" hidden="1" customHeight="1">
      <c r="A511" s="1029"/>
      <c r="B511" s="664" t="s">
        <v>443</v>
      </c>
      <c r="C511" s="643"/>
      <c r="D511" s="643"/>
      <c r="E511" s="643"/>
      <c r="F511" s="643"/>
      <c r="G511" s="103"/>
      <c r="H511" s="103"/>
      <c r="I511" s="103"/>
      <c r="J511" s="103"/>
      <c r="K511" s="103"/>
      <c r="L511" s="103"/>
      <c r="M511" s="679"/>
      <c r="N511" s="651"/>
      <c r="O511" s="1154"/>
    </row>
    <row r="512" spans="1:15" ht="20.25" hidden="1" customHeight="1">
      <c r="A512" s="1028" t="s">
        <v>870</v>
      </c>
      <c r="B512" s="665" t="s">
        <v>89</v>
      </c>
      <c r="C512" s="730"/>
      <c r="D512" s="730"/>
      <c r="E512" s="730"/>
      <c r="F512" s="730"/>
      <c r="G512" s="103"/>
      <c r="H512" s="103"/>
      <c r="I512" s="103"/>
      <c r="J512" s="103"/>
      <c r="K512" s="103"/>
      <c r="L512" s="103"/>
      <c r="M512" s="103"/>
      <c r="N512" s="731"/>
      <c r="O512" s="1078" t="s">
        <v>905</v>
      </c>
    </row>
    <row r="513" spans="1:15" ht="23.25" hidden="1" customHeight="1">
      <c r="A513" s="1036"/>
      <c r="B513" s="665" t="s">
        <v>237</v>
      </c>
      <c r="C513" s="730"/>
      <c r="D513" s="730"/>
      <c r="E513" s="730"/>
      <c r="F513" s="730"/>
      <c r="G513" s="103">
        <f>K513</f>
        <v>0</v>
      </c>
      <c r="H513" s="103"/>
      <c r="I513" s="103"/>
      <c r="J513" s="103"/>
      <c r="K513" s="103">
        <f>K514</f>
        <v>0</v>
      </c>
      <c r="L513" s="103"/>
      <c r="M513" s="103"/>
      <c r="N513" s="731"/>
      <c r="O513" s="1079"/>
    </row>
    <row r="514" spans="1:15" ht="20.25" hidden="1" customHeight="1">
      <c r="A514" s="1036"/>
      <c r="B514" s="665" t="s">
        <v>10</v>
      </c>
      <c r="C514" s="730"/>
      <c r="D514" s="730"/>
      <c r="E514" s="730"/>
      <c r="F514" s="730"/>
      <c r="G514" s="103">
        <f>K514</f>
        <v>0</v>
      </c>
      <c r="H514" s="103"/>
      <c r="I514" s="103"/>
      <c r="J514" s="103"/>
      <c r="K514" s="103"/>
      <c r="L514" s="103"/>
      <c r="M514" s="103"/>
      <c r="N514" s="731"/>
      <c r="O514" s="1079"/>
    </row>
    <row r="515" spans="1:15" ht="20.25" hidden="1" customHeight="1">
      <c r="A515" s="1029"/>
      <c r="B515" s="665" t="s">
        <v>443</v>
      </c>
      <c r="C515" s="730"/>
      <c r="D515" s="730"/>
      <c r="E515" s="730"/>
      <c r="F515" s="730"/>
      <c r="G515" s="103"/>
      <c r="H515" s="103"/>
      <c r="I515" s="103"/>
      <c r="J515" s="103"/>
      <c r="K515" s="103"/>
      <c r="L515" s="103"/>
      <c r="M515" s="103"/>
      <c r="N515" s="731"/>
      <c r="O515" s="1080"/>
    </row>
    <row r="516" spans="1:15" ht="18.75" customHeight="1">
      <c r="A516" s="1155" t="s">
        <v>194</v>
      </c>
      <c r="B516" s="62" t="s">
        <v>89</v>
      </c>
      <c r="C516" s="62"/>
      <c r="D516" s="62"/>
      <c r="E516" s="62"/>
      <c r="F516" s="62"/>
      <c r="G516" s="102">
        <v>0</v>
      </c>
      <c r="H516" s="102" t="s">
        <v>496</v>
      </c>
      <c r="I516" s="102" t="s">
        <v>496</v>
      </c>
      <c r="J516" s="102" t="s">
        <v>496</v>
      </c>
      <c r="K516" s="102" t="s">
        <v>496</v>
      </c>
      <c r="L516" s="102">
        <v>0</v>
      </c>
      <c r="M516" s="499"/>
      <c r="N516" s="1030" t="s">
        <v>26</v>
      </c>
      <c r="O516" s="1030" t="s">
        <v>192</v>
      </c>
    </row>
    <row r="517" spans="1:15" ht="26.25" customHeight="1">
      <c r="A517" s="1156"/>
      <c r="B517" s="62" t="s">
        <v>237</v>
      </c>
      <c r="C517" s="62"/>
      <c r="D517" s="62"/>
      <c r="E517" s="62"/>
      <c r="F517" s="62"/>
      <c r="G517" s="102">
        <f t="shared" ref="G517:M517" si="154">G518+G519</f>
        <v>5784590.8000000017</v>
      </c>
      <c r="H517" s="102">
        <f t="shared" si="154"/>
        <v>998726.07045999996</v>
      </c>
      <c r="I517" s="102">
        <f t="shared" si="154"/>
        <v>993036.58594999998</v>
      </c>
      <c r="J517" s="102">
        <f t="shared" si="154"/>
        <v>1697498.558</v>
      </c>
      <c r="K517" s="102">
        <f t="shared" si="154"/>
        <v>2826338.8582800012</v>
      </c>
      <c r="L517" s="102">
        <f t="shared" si="154"/>
        <v>4460964.7</v>
      </c>
      <c r="M517" s="499">
        <f t="shared" si="154"/>
        <v>7299797.9000000004</v>
      </c>
      <c r="N517" s="1032"/>
      <c r="O517" s="1032"/>
    </row>
    <row r="518" spans="1:15" ht="23.25" customHeight="1">
      <c r="A518" s="1156"/>
      <c r="B518" s="62" t="s">
        <v>10</v>
      </c>
      <c r="C518" s="62"/>
      <c r="D518" s="62"/>
      <c r="E518" s="62"/>
      <c r="F518" s="62"/>
      <c r="G518" s="102">
        <f>Мероприятия!$R$233</f>
        <v>5784590.8000000017</v>
      </c>
      <c r="H518" s="102">
        <f>Мероприятия!$S$233</f>
        <v>998726.07045999996</v>
      </c>
      <c r="I518" s="102">
        <f>Мероприятия!$T$233</f>
        <v>993036.58594999998</v>
      </c>
      <c r="J518" s="102">
        <v>1697498.558</v>
      </c>
      <c r="K518" s="102">
        <f>Мероприятия!$V$233</f>
        <v>2826338.8582800012</v>
      </c>
      <c r="L518" s="102">
        <f>Мероприятия!$W$233</f>
        <v>4460964.7</v>
      </c>
      <c r="M518" s="499">
        <f>Мероприятия!$X$233</f>
        <v>7299797.9000000004</v>
      </c>
      <c r="N518" s="1032"/>
      <c r="O518" s="1032"/>
    </row>
    <row r="519" spans="1:15" ht="19.5" customHeight="1">
      <c r="A519" s="1157"/>
      <c r="B519" s="62" t="s">
        <v>443</v>
      </c>
      <c r="C519" s="62"/>
      <c r="D519" s="62"/>
      <c r="E519" s="62"/>
      <c r="F519" s="62"/>
      <c r="G519" s="102"/>
      <c r="H519" s="102"/>
      <c r="I519" s="102"/>
      <c r="J519" s="102"/>
      <c r="K519" s="102"/>
      <c r="L519" s="102"/>
      <c r="M519" s="499"/>
      <c r="N519" s="1031"/>
      <c r="O519" s="1031"/>
    </row>
    <row r="520" spans="1:15" ht="23.25" customHeight="1">
      <c r="A520" s="1085" t="s">
        <v>1009</v>
      </c>
      <c r="B520" s="62" t="s">
        <v>89</v>
      </c>
      <c r="C520" s="62"/>
      <c r="D520" s="62"/>
      <c r="E520" s="62"/>
      <c r="F520" s="62"/>
      <c r="G520" s="102">
        <f>G525</f>
        <v>17.048000000000002</v>
      </c>
      <c r="H520" s="102"/>
      <c r="I520" s="102"/>
      <c r="J520" s="102"/>
      <c r="K520" s="102">
        <f>K525</f>
        <v>17.048000000000002</v>
      </c>
      <c r="L520" s="102">
        <f>L525</f>
        <v>7</v>
      </c>
      <c r="M520" s="499">
        <f>M525</f>
        <v>5</v>
      </c>
      <c r="N520" s="1030" t="s">
        <v>26</v>
      </c>
      <c r="O520" s="1030" t="s">
        <v>1012</v>
      </c>
    </row>
    <row r="521" spans="1:15" ht="23.25" customHeight="1">
      <c r="A521" s="1085"/>
      <c r="B521" s="781" t="s">
        <v>24</v>
      </c>
      <c r="C521" s="781"/>
      <c r="D521" s="781"/>
      <c r="E521" s="781"/>
      <c r="F521" s="781"/>
      <c r="G521" s="102">
        <f>G522/G520</f>
        <v>35169.362975129043</v>
      </c>
      <c r="H521" s="102" t="s">
        <v>496</v>
      </c>
      <c r="I521" s="102" t="s">
        <v>496</v>
      </c>
      <c r="J521" s="102" t="s">
        <v>496</v>
      </c>
      <c r="K521" s="102" t="s">
        <v>496</v>
      </c>
      <c r="L521" s="102">
        <f>L522/L520</f>
        <v>29742.857142857141</v>
      </c>
      <c r="M521" s="499">
        <f>M522/M520</f>
        <v>119800</v>
      </c>
      <c r="N521" s="1032"/>
      <c r="O521" s="1032"/>
    </row>
    <row r="522" spans="1:15" ht="22.5" customHeight="1">
      <c r="A522" s="1085"/>
      <c r="B522" s="62" t="s">
        <v>237</v>
      </c>
      <c r="C522" s="62"/>
      <c r="D522" s="62"/>
      <c r="E522" s="62"/>
      <c r="F522" s="62"/>
      <c r="G522" s="102">
        <f>G523</f>
        <v>599567.30000000005</v>
      </c>
      <c r="H522" s="102">
        <f t="shared" ref="H522:K522" si="155">H523</f>
        <v>4513.3</v>
      </c>
      <c r="I522" s="102">
        <f t="shared" si="155"/>
        <v>0</v>
      </c>
      <c r="J522" s="102">
        <f t="shared" si="155"/>
        <v>0</v>
      </c>
      <c r="K522" s="102">
        <f t="shared" si="155"/>
        <v>595054</v>
      </c>
      <c r="L522" s="102">
        <f>L523+L870</f>
        <v>208200</v>
      </c>
      <c r="M522" s="102">
        <f>M523+M870</f>
        <v>599000</v>
      </c>
      <c r="N522" s="1032"/>
      <c r="O522" s="1032"/>
    </row>
    <row r="523" spans="1:15" ht="23.25" customHeight="1">
      <c r="A523" s="1085"/>
      <c r="B523" s="62" t="s">
        <v>10</v>
      </c>
      <c r="C523" s="62"/>
      <c r="D523" s="62"/>
      <c r="E523" s="62"/>
      <c r="F523" s="62"/>
      <c r="G523" s="102">
        <f t="shared" ref="G523:M523" si="156">G528+G870</f>
        <v>599567.30000000005</v>
      </c>
      <c r="H523" s="102">
        <f t="shared" si="156"/>
        <v>4513.3</v>
      </c>
      <c r="I523" s="102">
        <f t="shared" si="156"/>
        <v>0</v>
      </c>
      <c r="J523" s="102">
        <f t="shared" si="156"/>
        <v>0</v>
      </c>
      <c r="K523" s="102">
        <f t="shared" si="156"/>
        <v>595054</v>
      </c>
      <c r="L523" s="102">
        <f t="shared" si="156"/>
        <v>208200</v>
      </c>
      <c r="M523" s="102">
        <f t="shared" si="156"/>
        <v>599000</v>
      </c>
      <c r="N523" s="1032"/>
      <c r="O523" s="1032"/>
    </row>
    <row r="524" spans="1:15" ht="27.75" customHeight="1">
      <c r="A524" s="1085"/>
      <c r="B524" s="62" t="s">
        <v>443</v>
      </c>
      <c r="C524" s="62"/>
      <c r="D524" s="62"/>
      <c r="E524" s="62"/>
      <c r="F524" s="62"/>
      <c r="G524" s="102">
        <f>G529</f>
        <v>0</v>
      </c>
      <c r="H524" s="102"/>
      <c r="I524" s="102"/>
      <c r="J524" s="102"/>
      <c r="K524" s="102">
        <f>K529</f>
        <v>0</v>
      </c>
      <c r="L524" s="102"/>
      <c r="M524" s="499"/>
      <c r="N524" s="1032"/>
      <c r="O524" s="1032"/>
    </row>
    <row r="525" spans="1:15" ht="24.95" customHeight="1">
      <c r="A525" s="985" t="s">
        <v>1006</v>
      </c>
      <c r="B525" s="62" t="s">
        <v>744</v>
      </c>
      <c r="C525" s="62"/>
      <c r="D525" s="62"/>
      <c r="E525" s="62"/>
      <c r="F525" s="62"/>
      <c r="G525" s="499">
        <f>G568+G574+G586+G616+G632+G656+G668+G684+G696+G712+G722+G775+G797+G813+G825+G837+G845+G540+G745</f>
        <v>17.048000000000002</v>
      </c>
      <c r="H525" s="499">
        <f t="shared" ref="H525:M525" si="157">H568+H574+H586+H616+H632+H656+H668+H684+H696+H712+H722+H775+H797+H813+H825+H837+H845+H540+H745</f>
        <v>0</v>
      </c>
      <c r="I525" s="499">
        <f t="shared" si="157"/>
        <v>0</v>
      </c>
      <c r="J525" s="499">
        <f t="shared" si="157"/>
        <v>0</v>
      </c>
      <c r="K525" s="499">
        <f t="shared" si="157"/>
        <v>17.048000000000002</v>
      </c>
      <c r="L525" s="102">
        <f>L568+L574+L586+L616+L632+L656+L668+L684+L696+L712+L722+L775+L797+L813+L825+L837+L845+L540+L745+L602</f>
        <v>7</v>
      </c>
      <c r="M525" s="499">
        <f t="shared" si="157"/>
        <v>5</v>
      </c>
      <c r="N525" s="1032"/>
      <c r="O525" s="1032"/>
    </row>
    <row r="526" spans="1:15" ht="24.95" customHeight="1">
      <c r="A526" s="986"/>
      <c r="B526" s="62" t="s">
        <v>24</v>
      </c>
      <c r="C526" s="62"/>
      <c r="D526" s="62"/>
      <c r="E526" s="62"/>
      <c r="F526" s="62"/>
      <c r="G526" s="102">
        <f>G527/G525</f>
        <v>34904.62224307836</v>
      </c>
      <c r="H526" s="102" t="s">
        <v>496</v>
      </c>
      <c r="I526" s="102" t="s">
        <v>496</v>
      </c>
      <c r="J526" s="102" t="s">
        <v>496</v>
      </c>
      <c r="K526" s="102" t="s">
        <v>496</v>
      </c>
      <c r="L526" s="102">
        <f>L527/L525</f>
        <v>29742.857142857141</v>
      </c>
      <c r="M526" s="499">
        <f>M527/M525</f>
        <v>119800</v>
      </c>
      <c r="N526" s="1032"/>
      <c r="O526" s="1032"/>
    </row>
    <row r="527" spans="1:15" ht="24.95" customHeight="1">
      <c r="A527" s="986"/>
      <c r="B527" s="62" t="s">
        <v>25</v>
      </c>
      <c r="C527" s="62">
        <v>176</v>
      </c>
      <c r="D527" s="62" t="s">
        <v>15</v>
      </c>
      <c r="E527" s="62">
        <v>6100404</v>
      </c>
      <c r="F527" s="62">
        <v>243</v>
      </c>
      <c r="G527" s="102">
        <f>G528+G529</f>
        <v>595054</v>
      </c>
      <c r="H527" s="102">
        <f t="shared" ref="H527:J527" si="158">H528+H529</f>
        <v>0</v>
      </c>
      <c r="I527" s="102">
        <f t="shared" si="158"/>
        <v>0</v>
      </c>
      <c r="J527" s="102">
        <f t="shared" si="158"/>
        <v>0</v>
      </c>
      <c r="K527" s="102">
        <f t="shared" ref="K527:M527" si="159">K528+K529</f>
        <v>595054</v>
      </c>
      <c r="L527" s="102">
        <f t="shared" si="159"/>
        <v>208200</v>
      </c>
      <c r="M527" s="499">
        <f t="shared" si="159"/>
        <v>599000</v>
      </c>
      <c r="N527" s="1032"/>
      <c r="O527" s="1032"/>
    </row>
    <row r="528" spans="1:15" ht="23.45" customHeight="1">
      <c r="A528" s="986"/>
      <c r="B528" s="62" t="s">
        <v>10</v>
      </c>
      <c r="C528" s="62">
        <v>176</v>
      </c>
      <c r="D528" s="62" t="s">
        <v>15</v>
      </c>
      <c r="E528" s="62">
        <v>6100404</v>
      </c>
      <c r="F528" s="62">
        <v>243</v>
      </c>
      <c r="G528" s="102">
        <f>G541+G576+G588+G604+G618+G657+G686+G714+G724+G746+G799+G815+G838+G846+G867</f>
        <v>595054</v>
      </c>
      <c r="H528" s="102">
        <f t="shared" ref="H528:J528" si="160">H541+H576+H588+H604+H618+H657+H686+H714+H724+H746+H799+H815+H838+H846+H867</f>
        <v>0</v>
      </c>
      <c r="I528" s="102">
        <f t="shared" si="160"/>
        <v>0</v>
      </c>
      <c r="J528" s="102">
        <f t="shared" si="160"/>
        <v>0</v>
      </c>
      <c r="K528" s="102">
        <f t="shared" ref="K528" si="161">K541+K576+K588+K604+K618+K657+K686+K714+K724+K746+K799+K815+K838+K846+K867</f>
        <v>595054</v>
      </c>
      <c r="L528" s="102">
        <f>L541+L576+L588+L604+L618+L657+L686+L714+L724+L746+L799+L815+L838+L846+L867</f>
        <v>208200</v>
      </c>
      <c r="M528" s="102">
        <f>M541+M576+M588+M604+M618+M657+M686+M714+M724+M746+M799+M815+M838+M846+M867</f>
        <v>599000</v>
      </c>
      <c r="N528" s="1032"/>
      <c r="O528" s="1032"/>
    </row>
    <row r="529" spans="1:61" s="45" customFormat="1" ht="24.6" customHeight="1">
      <c r="A529" s="986"/>
      <c r="B529" s="62" t="s">
        <v>443</v>
      </c>
      <c r="C529" s="62"/>
      <c r="D529" s="62"/>
      <c r="E529" s="62"/>
      <c r="F529" s="62"/>
      <c r="G529" s="102">
        <f t="shared" ref="G529:M529" si="162">G577+G589+G619+G635+G687+G699+G715+G725+G778+G800+G816+G828</f>
        <v>0</v>
      </c>
      <c r="H529" s="102">
        <f t="shared" si="162"/>
        <v>0</v>
      </c>
      <c r="I529" s="102">
        <f t="shared" si="162"/>
        <v>0</v>
      </c>
      <c r="J529" s="102">
        <f t="shared" si="162"/>
        <v>0</v>
      </c>
      <c r="K529" s="102">
        <f t="shared" si="162"/>
        <v>0</v>
      </c>
      <c r="L529" s="102">
        <f t="shared" si="162"/>
        <v>0</v>
      </c>
      <c r="M529" s="499">
        <f t="shared" si="162"/>
        <v>0</v>
      </c>
      <c r="N529" s="1032"/>
      <c r="O529" s="1032"/>
      <c r="R529" s="1042">
        <v>2019</v>
      </c>
      <c r="S529" s="1043"/>
      <c r="T529" s="1042">
        <v>2020</v>
      </c>
      <c r="U529" s="1043"/>
      <c r="V529" s="1044">
        <v>2021</v>
      </c>
      <c r="W529" s="1044"/>
      <c r="AJ529" s="113"/>
      <c r="AK529" s="113"/>
      <c r="AL529" s="113"/>
      <c r="AM529" s="113"/>
      <c r="AN529" s="113"/>
      <c r="AO529" s="113"/>
      <c r="AP529" s="113"/>
      <c r="AQ529" s="113"/>
      <c r="AR529" s="113"/>
      <c r="AS529" s="113"/>
      <c r="AT529" s="113"/>
      <c r="AU529" s="113"/>
      <c r="AV529" s="113"/>
      <c r="AW529" s="113"/>
      <c r="AX529" s="113"/>
      <c r="AY529" s="113"/>
      <c r="AZ529" s="113"/>
      <c r="BA529" s="113"/>
      <c r="BB529" s="113"/>
      <c r="BC529" s="113"/>
      <c r="BD529" s="113"/>
      <c r="BE529" s="113"/>
      <c r="BF529" s="113"/>
      <c r="BG529" s="113"/>
      <c r="BH529" s="113"/>
      <c r="BI529" s="113"/>
    </row>
    <row r="530" spans="1:61" s="45" customFormat="1" ht="24.6" customHeight="1">
      <c r="A530" s="986"/>
      <c r="B530" s="62" t="s">
        <v>11</v>
      </c>
      <c r="C530" s="62"/>
      <c r="D530" s="62"/>
      <c r="E530" s="62"/>
      <c r="F530" s="62"/>
      <c r="G530" s="102">
        <v>0</v>
      </c>
      <c r="H530" s="102"/>
      <c r="I530" s="102"/>
      <c r="J530" s="102"/>
      <c r="K530" s="102"/>
      <c r="L530" s="102"/>
      <c r="M530" s="499"/>
      <c r="N530" s="1032"/>
      <c r="O530" s="1032"/>
      <c r="R530" s="576" t="s">
        <v>743</v>
      </c>
      <c r="S530" s="576" t="s">
        <v>355</v>
      </c>
      <c r="T530" s="576" t="s">
        <v>743</v>
      </c>
      <c r="U530" s="576" t="s">
        <v>355</v>
      </c>
      <c r="V530" s="576" t="s">
        <v>743</v>
      </c>
      <c r="W530" s="110" t="s">
        <v>355</v>
      </c>
      <c r="AJ530" s="113"/>
      <c r="AK530" s="113"/>
      <c r="AL530" s="113"/>
      <c r="AM530" s="113"/>
      <c r="AN530" s="113"/>
      <c r="AO530" s="113"/>
      <c r="AP530" s="113"/>
      <c r="AQ530" s="113"/>
      <c r="AR530" s="113"/>
      <c r="AS530" s="113"/>
      <c r="AT530" s="113"/>
      <c r="AU530" s="113"/>
      <c r="AV530" s="113"/>
      <c r="AW530" s="113"/>
      <c r="AX530" s="113"/>
      <c r="AY530" s="113"/>
      <c r="AZ530" s="113"/>
      <c r="BA530" s="113"/>
      <c r="BB530" s="113"/>
      <c r="BC530" s="113"/>
      <c r="BD530" s="113"/>
      <c r="BE530" s="113"/>
      <c r="BF530" s="113"/>
      <c r="BG530" s="113"/>
      <c r="BH530" s="113"/>
      <c r="BI530" s="113"/>
    </row>
    <row r="531" spans="1:61" ht="24.6" customHeight="1">
      <c r="A531" s="987"/>
      <c r="B531" s="62" t="s">
        <v>454</v>
      </c>
      <c r="C531" s="62"/>
      <c r="D531" s="62"/>
      <c r="E531" s="62"/>
      <c r="F531" s="62"/>
      <c r="G531" s="102">
        <v>0</v>
      </c>
      <c r="H531" s="102"/>
      <c r="I531" s="102"/>
      <c r="J531" s="102"/>
      <c r="K531" s="102"/>
      <c r="L531" s="102"/>
      <c r="M531" s="499"/>
      <c r="N531" s="1031"/>
      <c r="O531" s="1031"/>
      <c r="R531" s="1045">
        <f>18.3-0.2-0.4-0.4</f>
        <v>17.300000000000004</v>
      </c>
      <c r="S531" s="1046" t="e">
        <f>S574+S580+S592+S622+S638+S662+S674+S690+S702+#REF!+S728+S781+S803+S819+S831+S851</f>
        <v>#REF!</v>
      </c>
      <c r="T531" s="1047">
        <f>12+0.4</f>
        <v>12.4</v>
      </c>
      <c r="U531" s="1046"/>
      <c r="V531" s="1048">
        <v>16</v>
      </c>
      <c r="W531" s="1049"/>
    </row>
    <row r="532" spans="1:61" ht="24.6" hidden="1" customHeight="1">
      <c r="A532" s="1038" t="s">
        <v>96</v>
      </c>
      <c r="B532" s="62" t="s">
        <v>89</v>
      </c>
      <c r="C532" s="62"/>
      <c r="D532" s="62"/>
      <c r="E532" s="62"/>
      <c r="F532" s="62"/>
      <c r="G532" s="102">
        <f t="shared" ref="G532:L533" si="163">G534+G536+G538</f>
        <v>0</v>
      </c>
      <c r="H532" s="102"/>
      <c r="I532" s="102"/>
      <c r="J532" s="102"/>
      <c r="K532" s="102"/>
      <c r="L532" s="102">
        <f t="shared" si="163"/>
        <v>0</v>
      </c>
      <c r="M532" s="499"/>
      <c r="N532" s="62"/>
      <c r="O532" s="62"/>
    </row>
    <row r="533" spans="1:61" ht="24.6" hidden="1" customHeight="1">
      <c r="A533" s="1038"/>
      <c r="B533" s="62" t="s">
        <v>248</v>
      </c>
      <c r="C533" s="62"/>
      <c r="D533" s="62"/>
      <c r="E533" s="62"/>
      <c r="F533" s="62"/>
      <c r="G533" s="102">
        <f t="shared" si="163"/>
        <v>0</v>
      </c>
      <c r="H533" s="102"/>
      <c r="I533" s="102"/>
      <c r="J533" s="102"/>
      <c r="K533" s="102"/>
      <c r="L533" s="102">
        <f t="shared" si="163"/>
        <v>0</v>
      </c>
      <c r="M533" s="499"/>
      <c r="N533" s="62"/>
      <c r="O533" s="62"/>
    </row>
    <row r="534" spans="1:61" ht="24.6" hidden="1" customHeight="1">
      <c r="A534" s="1065" t="s">
        <v>108</v>
      </c>
      <c r="B534" s="564" t="s">
        <v>89</v>
      </c>
      <c r="C534" s="564">
        <v>176</v>
      </c>
      <c r="D534" s="564" t="s">
        <v>15</v>
      </c>
      <c r="E534" s="564">
        <v>6100404</v>
      </c>
      <c r="F534" s="564">
        <v>243</v>
      </c>
      <c r="G534" s="103">
        <v>0</v>
      </c>
      <c r="H534" s="103"/>
      <c r="I534" s="103"/>
      <c r="J534" s="103"/>
      <c r="K534" s="103"/>
      <c r="L534" s="103"/>
      <c r="M534" s="679"/>
      <c r="N534" s="564"/>
      <c r="O534" s="1037" t="s">
        <v>92</v>
      </c>
    </row>
    <row r="535" spans="1:61" ht="24.6" hidden="1" customHeight="1">
      <c r="A535" s="1065"/>
      <c r="B535" s="564" t="s">
        <v>248</v>
      </c>
      <c r="C535" s="564"/>
      <c r="D535" s="564"/>
      <c r="E535" s="564"/>
      <c r="F535" s="564"/>
      <c r="G535" s="103"/>
      <c r="H535" s="103"/>
      <c r="I535" s="103"/>
      <c r="J535" s="103"/>
      <c r="K535" s="103"/>
      <c r="L535" s="103"/>
      <c r="M535" s="679"/>
      <c r="N535" s="564"/>
      <c r="O535" s="1037"/>
    </row>
    <row r="536" spans="1:61" ht="24.6" hidden="1" customHeight="1">
      <c r="A536" s="565" t="s">
        <v>209</v>
      </c>
      <c r="B536" s="564" t="s">
        <v>89</v>
      </c>
      <c r="C536" s="564">
        <v>176</v>
      </c>
      <c r="D536" s="564" t="s">
        <v>15</v>
      </c>
      <c r="E536" s="564">
        <v>6100404</v>
      </c>
      <c r="F536" s="564">
        <v>243</v>
      </c>
      <c r="G536" s="103"/>
      <c r="H536" s="103"/>
      <c r="I536" s="103"/>
      <c r="J536" s="103"/>
      <c r="K536" s="103"/>
      <c r="L536" s="103"/>
      <c r="M536" s="679"/>
      <c r="N536" s="564"/>
      <c r="O536" s="564" t="s">
        <v>35</v>
      </c>
    </row>
    <row r="537" spans="1:61" s="45" customFormat="1" ht="24.6" hidden="1" customHeight="1">
      <c r="A537" s="565"/>
      <c r="B537" s="564" t="s">
        <v>248</v>
      </c>
      <c r="C537" s="564"/>
      <c r="D537" s="564"/>
      <c r="E537" s="564"/>
      <c r="F537" s="564"/>
      <c r="G537" s="103"/>
      <c r="H537" s="103"/>
      <c r="I537" s="103"/>
      <c r="J537" s="103"/>
      <c r="K537" s="103"/>
      <c r="L537" s="103"/>
      <c r="M537" s="679"/>
      <c r="N537" s="564"/>
      <c r="O537" s="564"/>
      <c r="AJ537" s="113"/>
      <c r="AK537" s="113"/>
      <c r="AL537" s="113"/>
      <c r="AM537" s="113"/>
      <c r="AN537" s="113"/>
      <c r="AO537" s="113"/>
      <c r="AP537" s="113"/>
      <c r="AQ537" s="113"/>
      <c r="AR537" s="113"/>
      <c r="AS537" s="113"/>
      <c r="AT537" s="113"/>
      <c r="AU537" s="113"/>
      <c r="AV537" s="113"/>
      <c r="AW537" s="113"/>
      <c r="AX537" s="113"/>
      <c r="AY537" s="113"/>
      <c r="AZ537" s="113"/>
      <c r="BA537" s="113"/>
      <c r="BB537" s="113"/>
      <c r="BC537" s="113"/>
      <c r="BD537" s="113"/>
      <c r="BE537" s="113"/>
      <c r="BF537" s="113"/>
      <c r="BG537" s="113"/>
      <c r="BH537" s="113"/>
      <c r="BI537" s="113"/>
    </row>
    <row r="538" spans="1:61" s="45" customFormat="1" ht="43.9" hidden="1" customHeight="1">
      <c r="A538" s="1039" t="s">
        <v>109</v>
      </c>
      <c r="B538" s="564" t="s">
        <v>89</v>
      </c>
      <c r="C538" s="564">
        <v>176</v>
      </c>
      <c r="D538" s="564" t="s">
        <v>15</v>
      </c>
      <c r="E538" s="564">
        <v>6100404</v>
      </c>
      <c r="F538" s="564">
        <v>243</v>
      </c>
      <c r="G538" s="103">
        <v>0</v>
      </c>
      <c r="H538" s="103"/>
      <c r="I538" s="103"/>
      <c r="J538" s="103"/>
      <c r="K538" s="103"/>
      <c r="L538" s="103"/>
      <c r="M538" s="679"/>
      <c r="N538" s="564"/>
      <c r="O538" s="1037" t="s">
        <v>31</v>
      </c>
      <c r="AJ538" s="113"/>
      <c r="AK538" s="113"/>
      <c r="AL538" s="113"/>
      <c r="AM538" s="113"/>
      <c r="AN538" s="113"/>
      <c r="AO538" s="113"/>
      <c r="AP538" s="113"/>
      <c r="AQ538" s="113"/>
      <c r="AR538" s="113"/>
      <c r="AS538" s="113"/>
      <c r="AT538" s="113"/>
      <c r="AU538" s="113"/>
      <c r="AV538" s="113"/>
      <c r="AW538" s="113"/>
      <c r="AX538" s="113"/>
      <c r="AY538" s="113"/>
      <c r="AZ538" s="113"/>
      <c r="BA538" s="113"/>
      <c r="BB538" s="113"/>
      <c r="BC538" s="113"/>
      <c r="BD538" s="113"/>
      <c r="BE538" s="113"/>
      <c r="BF538" s="113"/>
      <c r="BG538" s="113"/>
      <c r="BH538" s="113"/>
      <c r="BI538" s="113"/>
    </row>
    <row r="539" spans="1:61" ht="24.6" hidden="1" customHeight="1">
      <c r="A539" s="1039"/>
      <c r="B539" s="564" t="s">
        <v>248</v>
      </c>
      <c r="C539" s="564"/>
      <c r="D539" s="564"/>
      <c r="E539" s="564"/>
      <c r="F539" s="564"/>
      <c r="G539" s="103"/>
      <c r="H539" s="103"/>
      <c r="I539" s="103"/>
      <c r="J539" s="103"/>
      <c r="K539" s="103"/>
      <c r="L539" s="103"/>
      <c r="M539" s="679"/>
      <c r="N539" s="564"/>
      <c r="O539" s="1037"/>
    </row>
    <row r="540" spans="1:61" ht="24" customHeight="1">
      <c r="A540" s="985" t="s">
        <v>116</v>
      </c>
      <c r="B540" s="62" t="s">
        <v>89</v>
      </c>
      <c r="C540" s="62"/>
      <c r="D540" s="62"/>
      <c r="E540" s="62"/>
      <c r="F540" s="62"/>
      <c r="G540" s="102">
        <f>G542+G544</f>
        <v>1</v>
      </c>
      <c r="H540" s="102">
        <f t="shared" ref="H540:K540" si="164">H542+H544</f>
        <v>0</v>
      </c>
      <c r="I540" s="102">
        <f t="shared" si="164"/>
        <v>0</v>
      </c>
      <c r="J540" s="102">
        <f t="shared" si="164"/>
        <v>0</v>
      </c>
      <c r="K540" s="102">
        <f t="shared" si="164"/>
        <v>1</v>
      </c>
      <c r="L540" s="102">
        <f t="shared" ref="L540:M541" si="165">L542+L544</f>
        <v>0</v>
      </c>
      <c r="M540" s="499">
        <f t="shared" si="165"/>
        <v>0</v>
      </c>
      <c r="N540" s="564"/>
      <c r="O540" s="62"/>
    </row>
    <row r="541" spans="1:61" ht="27" customHeight="1">
      <c r="A541" s="987"/>
      <c r="B541" s="62" t="s">
        <v>248</v>
      </c>
      <c r="C541" s="62"/>
      <c r="D541" s="62"/>
      <c r="E541" s="62"/>
      <c r="F541" s="62"/>
      <c r="G541" s="102">
        <f>G543+G545</f>
        <v>16000</v>
      </c>
      <c r="H541" s="102">
        <f t="shared" ref="H541:K541" si="166">H543+H545</f>
        <v>0</v>
      </c>
      <c r="I541" s="102">
        <f t="shared" si="166"/>
        <v>0</v>
      </c>
      <c r="J541" s="102">
        <f t="shared" si="166"/>
        <v>0</v>
      </c>
      <c r="K541" s="102">
        <f t="shared" si="166"/>
        <v>16000</v>
      </c>
      <c r="L541" s="102">
        <f t="shared" si="165"/>
        <v>0</v>
      </c>
      <c r="M541" s="499">
        <f t="shared" si="165"/>
        <v>0</v>
      </c>
      <c r="N541" s="564"/>
      <c r="O541" s="62"/>
    </row>
    <row r="542" spans="1:61" ht="24.6" customHeight="1">
      <c r="A542" s="1028" t="s">
        <v>950</v>
      </c>
      <c r="B542" s="564" t="s">
        <v>89</v>
      </c>
      <c r="C542" s="62"/>
      <c r="D542" s="62"/>
      <c r="E542" s="62"/>
      <c r="F542" s="62"/>
      <c r="G542" s="102">
        <f>K542</f>
        <v>1</v>
      </c>
      <c r="H542" s="102"/>
      <c r="I542" s="102"/>
      <c r="J542" s="102"/>
      <c r="K542" s="102">
        <v>1</v>
      </c>
      <c r="L542" s="102"/>
      <c r="M542" s="679"/>
      <c r="N542" s="564"/>
      <c r="O542" s="1037" t="s">
        <v>226</v>
      </c>
    </row>
    <row r="543" spans="1:61" ht="24.6" customHeight="1">
      <c r="A543" s="1029"/>
      <c r="B543" s="564" t="s">
        <v>248</v>
      </c>
      <c r="C543" s="62"/>
      <c r="D543" s="62"/>
      <c r="E543" s="62"/>
      <c r="F543" s="62"/>
      <c r="G543" s="103">
        <f>K543</f>
        <v>16000</v>
      </c>
      <c r="H543" s="103"/>
      <c r="I543" s="103"/>
      <c r="J543" s="103"/>
      <c r="K543" s="103">
        <v>16000</v>
      </c>
      <c r="L543" s="102"/>
      <c r="M543" s="679"/>
      <c r="N543" s="564"/>
      <c r="O543" s="1037"/>
    </row>
    <row r="544" spans="1:61" ht="24.6" hidden="1" customHeight="1">
      <c r="A544" s="1065" t="s">
        <v>110</v>
      </c>
      <c r="B544" s="564" t="s">
        <v>89</v>
      </c>
      <c r="C544" s="564">
        <v>176</v>
      </c>
      <c r="D544" s="564" t="s">
        <v>15</v>
      </c>
      <c r="E544" s="564">
        <v>6100404</v>
      </c>
      <c r="F544" s="564">
        <v>243</v>
      </c>
      <c r="G544" s="103"/>
      <c r="H544" s="103"/>
      <c r="I544" s="103"/>
      <c r="J544" s="103"/>
      <c r="K544" s="103"/>
      <c r="L544" s="103"/>
      <c r="M544" s="679"/>
      <c r="N544" s="564"/>
      <c r="O544" s="1037" t="s">
        <v>447</v>
      </c>
    </row>
    <row r="545" spans="1:61" ht="22.15" hidden="1" customHeight="1">
      <c r="A545" s="1065"/>
      <c r="B545" s="564" t="s">
        <v>248</v>
      </c>
      <c r="C545" s="564"/>
      <c r="D545" s="564"/>
      <c r="E545" s="564"/>
      <c r="F545" s="564"/>
      <c r="G545" s="103"/>
      <c r="H545" s="103"/>
      <c r="I545" s="103"/>
      <c r="J545" s="103"/>
      <c r="K545" s="103"/>
      <c r="L545" s="103"/>
      <c r="M545" s="679"/>
      <c r="N545" s="564"/>
      <c r="O545" s="1037"/>
    </row>
    <row r="546" spans="1:61" ht="24.6" hidden="1" customHeight="1">
      <c r="A546" s="1039" t="s">
        <v>109</v>
      </c>
      <c r="B546" s="564" t="s">
        <v>89</v>
      </c>
      <c r="C546" s="564">
        <v>176</v>
      </c>
      <c r="D546" s="564" t="s">
        <v>15</v>
      </c>
      <c r="E546" s="564">
        <v>6100404</v>
      </c>
      <c r="F546" s="564">
        <v>243</v>
      </c>
      <c r="G546" s="103"/>
      <c r="H546" s="103"/>
      <c r="I546" s="103"/>
      <c r="J546" s="103"/>
      <c r="K546" s="103"/>
      <c r="L546" s="103"/>
      <c r="M546" s="679"/>
      <c r="N546" s="564"/>
      <c r="O546" s="1037" t="s">
        <v>31</v>
      </c>
    </row>
    <row r="547" spans="1:61" s="45" customFormat="1" ht="24.6" hidden="1" customHeight="1">
      <c r="A547" s="1039"/>
      <c r="B547" s="564" t="s">
        <v>248</v>
      </c>
      <c r="C547" s="564"/>
      <c r="D547" s="564"/>
      <c r="E547" s="564"/>
      <c r="F547" s="564"/>
      <c r="G547" s="103"/>
      <c r="H547" s="103"/>
      <c r="I547" s="103"/>
      <c r="J547" s="103"/>
      <c r="K547" s="103"/>
      <c r="L547" s="103"/>
      <c r="M547" s="679"/>
      <c r="N547" s="564"/>
      <c r="O547" s="1037"/>
      <c r="AJ547" s="113"/>
      <c r="AK547" s="113"/>
      <c r="AL547" s="113"/>
      <c r="AM547" s="113"/>
      <c r="AN547" s="113"/>
      <c r="AO547" s="113"/>
      <c r="AP547" s="113"/>
      <c r="AQ547" s="113"/>
      <c r="AR547" s="113"/>
      <c r="AS547" s="113"/>
      <c r="AT547" s="113"/>
      <c r="AU547" s="113"/>
      <c r="AV547" s="113"/>
      <c r="AW547" s="113"/>
      <c r="AX547" s="113"/>
      <c r="AY547" s="113"/>
      <c r="AZ547" s="113"/>
      <c r="BA547" s="113"/>
      <c r="BB547" s="113"/>
      <c r="BC547" s="113"/>
      <c r="BD547" s="113"/>
      <c r="BE547" s="113"/>
      <c r="BF547" s="113"/>
      <c r="BG547" s="113"/>
      <c r="BH547" s="113"/>
      <c r="BI547" s="113"/>
    </row>
    <row r="548" spans="1:61" s="45" customFormat="1" ht="24.6" hidden="1" customHeight="1">
      <c r="A548" s="1039" t="s">
        <v>151</v>
      </c>
      <c r="B548" s="564" t="s">
        <v>89</v>
      </c>
      <c r="C548" s="564"/>
      <c r="D548" s="564"/>
      <c r="E548" s="564"/>
      <c r="F548" s="564"/>
      <c r="G548" s="103"/>
      <c r="H548" s="103"/>
      <c r="I548" s="103"/>
      <c r="J548" s="103"/>
      <c r="K548" s="103"/>
      <c r="L548" s="103"/>
      <c r="M548" s="679"/>
      <c r="N548" s="564"/>
      <c r="O548" s="1037" t="s">
        <v>35</v>
      </c>
      <c r="AJ548" s="113"/>
      <c r="AK548" s="113"/>
      <c r="AL548" s="113"/>
      <c r="AM548" s="113"/>
      <c r="AN548" s="113"/>
      <c r="AO548" s="113"/>
      <c r="AP548" s="113"/>
      <c r="AQ548" s="113"/>
      <c r="AR548" s="113"/>
      <c r="AS548" s="113"/>
      <c r="AT548" s="113"/>
      <c r="AU548" s="113"/>
      <c r="AV548" s="113"/>
      <c r="AW548" s="113"/>
      <c r="AX548" s="113"/>
      <c r="AY548" s="113"/>
      <c r="AZ548" s="113"/>
      <c r="BA548" s="113"/>
      <c r="BB548" s="113"/>
      <c r="BC548" s="113"/>
      <c r="BD548" s="113"/>
      <c r="BE548" s="113"/>
      <c r="BF548" s="113"/>
      <c r="BG548" s="113"/>
      <c r="BH548" s="113"/>
      <c r="BI548" s="113"/>
    </row>
    <row r="549" spans="1:61" ht="24.6" hidden="1" customHeight="1">
      <c r="A549" s="1039"/>
      <c r="B549" s="564" t="s">
        <v>248</v>
      </c>
      <c r="C549" s="564"/>
      <c r="D549" s="564"/>
      <c r="E549" s="564"/>
      <c r="F549" s="564"/>
      <c r="G549" s="103"/>
      <c r="H549" s="103"/>
      <c r="I549" s="103"/>
      <c r="J549" s="103"/>
      <c r="K549" s="103"/>
      <c r="L549" s="103"/>
      <c r="M549" s="679"/>
      <c r="N549" s="564"/>
      <c r="O549" s="1037"/>
    </row>
    <row r="550" spans="1:61" ht="24.95" hidden="1" customHeight="1">
      <c r="A550" s="1038" t="s">
        <v>97</v>
      </c>
      <c r="B550" s="62" t="s">
        <v>89</v>
      </c>
      <c r="C550" s="62"/>
      <c r="D550" s="62"/>
      <c r="E550" s="62"/>
      <c r="F550" s="62"/>
      <c r="G550" s="102">
        <f t="shared" ref="G550:M551" si="167">G552+G554+G556</f>
        <v>0</v>
      </c>
      <c r="H550" s="102"/>
      <c r="I550" s="102"/>
      <c r="J550" s="102"/>
      <c r="K550" s="102"/>
      <c r="L550" s="102">
        <f t="shared" si="167"/>
        <v>0</v>
      </c>
      <c r="M550" s="499">
        <f t="shared" si="167"/>
        <v>0</v>
      </c>
      <c r="N550" s="564"/>
      <c r="O550" s="62"/>
    </row>
    <row r="551" spans="1:61" ht="24.6" hidden="1" customHeight="1">
      <c r="A551" s="1038"/>
      <c r="B551" s="62" t="s">
        <v>248</v>
      </c>
      <c r="C551" s="62"/>
      <c r="D551" s="62"/>
      <c r="E551" s="62"/>
      <c r="F551" s="62"/>
      <c r="G551" s="102">
        <f t="shared" si="167"/>
        <v>0</v>
      </c>
      <c r="H551" s="102"/>
      <c r="I551" s="102"/>
      <c r="J551" s="102"/>
      <c r="K551" s="102"/>
      <c r="L551" s="102">
        <f t="shared" si="167"/>
        <v>0</v>
      </c>
      <c r="M551" s="499">
        <f t="shared" si="167"/>
        <v>0</v>
      </c>
      <c r="N551" s="564"/>
      <c r="O551" s="62"/>
    </row>
    <row r="552" spans="1:61" ht="25.15" hidden="1" customHeight="1">
      <c r="A552" s="1056" t="s">
        <v>111</v>
      </c>
      <c r="B552" s="564" t="s">
        <v>89</v>
      </c>
      <c r="C552" s="564">
        <v>176</v>
      </c>
      <c r="D552" s="564" t="s">
        <v>15</v>
      </c>
      <c r="E552" s="564">
        <v>6100404</v>
      </c>
      <c r="F552" s="564">
        <v>243</v>
      </c>
      <c r="G552" s="103"/>
      <c r="H552" s="103"/>
      <c r="I552" s="103"/>
      <c r="J552" s="103"/>
      <c r="K552" s="103"/>
      <c r="L552" s="103"/>
      <c r="M552" s="679"/>
      <c r="N552" s="564"/>
      <c r="O552" s="1037" t="s">
        <v>294</v>
      </c>
    </row>
    <row r="553" spans="1:61" ht="23.45" hidden="1" customHeight="1">
      <c r="A553" s="1056"/>
      <c r="B553" s="564" t="s">
        <v>248</v>
      </c>
      <c r="C553" s="564"/>
      <c r="D553" s="564"/>
      <c r="E553" s="564"/>
      <c r="F553" s="564"/>
      <c r="G553" s="103"/>
      <c r="H553" s="103"/>
      <c r="I553" s="103"/>
      <c r="J553" s="103"/>
      <c r="K553" s="103"/>
      <c r="L553" s="103"/>
      <c r="M553" s="679"/>
      <c r="N553" s="564"/>
      <c r="O553" s="1037"/>
    </row>
    <row r="554" spans="1:61" ht="25.15" hidden="1" customHeight="1">
      <c r="A554" s="1039" t="s">
        <v>112</v>
      </c>
      <c r="B554" s="564" t="s">
        <v>89</v>
      </c>
      <c r="C554" s="564">
        <v>176</v>
      </c>
      <c r="D554" s="564" t="s">
        <v>15</v>
      </c>
      <c r="E554" s="564">
        <v>6100404</v>
      </c>
      <c r="F554" s="564">
        <v>243</v>
      </c>
      <c r="G554" s="103"/>
      <c r="H554" s="103"/>
      <c r="I554" s="103"/>
      <c r="J554" s="103"/>
      <c r="K554" s="103"/>
      <c r="L554" s="103"/>
      <c r="M554" s="679"/>
      <c r="N554" s="564"/>
      <c r="O554" s="1037" t="s">
        <v>210</v>
      </c>
    </row>
    <row r="555" spans="1:61" s="45" customFormat="1" ht="24.6" hidden="1" customHeight="1">
      <c r="A555" s="1039"/>
      <c r="B555" s="564" t="s">
        <v>248</v>
      </c>
      <c r="C555" s="564"/>
      <c r="D555" s="564"/>
      <c r="E555" s="564"/>
      <c r="F555" s="564"/>
      <c r="G555" s="103">
        <v>0</v>
      </c>
      <c r="H555" s="103"/>
      <c r="I555" s="103"/>
      <c r="J555" s="103"/>
      <c r="K555" s="103"/>
      <c r="L555" s="103"/>
      <c r="M555" s="679"/>
      <c r="N555" s="564"/>
      <c r="O555" s="1037"/>
      <c r="AJ555" s="113"/>
      <c r="AK555" s="113"/>
      <c r="AL555" s="113"/>
      <c r="AM555" s="113"/>
      <c r="AN555" s="113"/>
      <c r="AO555" s="113"/>
      <c r="AP555" s="113"/>
      <c r="AQ555" s="113"/>
      <c r="AR555" s="113"/>
      <c r="AS555" s="113"/>
      <c r="AT555" s="113"/>
      <c r="AU555" s="113"/>
      <c r="AV555" s="113"/>
      <c r="AW555" s="113"/>
      <c r="AX555" s="113"/>
      <c r="AY555" s="113"/>
      <c r="AZ555" s="113"/>
      <c r="BA555" s="113"/>
      <c r="BB555" s="113"/>
      <c r="BC555" s="113"/>
      <c r="BD555" s="113"/>
      <c r="BE555" s="113"/>
      <c r="BF555" s="113"/>
      <c r="BG555" s="113"/>
      <c r="BH555" s="113"/>
      <c r="BI555" s="113"/>
    </row>
    <row r="556" spans="1:61" s="45" customFormat="1" ht="24.6" hidden="1" customHeight="1">
      <c r="A556" s="563" t="s">
        <v>251</v>
      </c>
      <c r="B556" s="564" t="s">
        <v>89</v>
      </c>
      <c r="C556" s="564"/>
      <c r="D556" s="564"/>
      <c r="E556" s="564"/>
      <c r="F556" s="564"/>
      <c r="G556" s="103"/>
      <c r="H556" s="103"/>
      <c r="I556" s="103"/>
      <c r="J556" s="103"/>
      <c r="K556" s="103"/>
      <c r="L556" s="103"/>
      <c r="M556" s="679"/>
      <c r="N556" s="564"/>
      <c r="O556" s="564"/>
      <c r="AJ556" s="113"/>
      <c r="AK556" s="113"/>
      <c r="AL556" s="113"/>
      <c r="AM556" s="113"/>
      <c r="AN556" s="113"/>
      <c r="AO556" s="113"/>
      <c r="AP556" s="113"/>
      <c r="AQ556" s="113"/>
      <c r="AR556" s="113"/>
      <c r="AS556" s="113"/>
      <c r="AT556" s="113"/>
      <c r="AU556" s="113"/>
      <c r="AV556" s="113"/>
      <c r="AW556" s="113"/>
      <c r="AX556" s="113"/>
      <c r="AY556" s="113"/>
      <c r="AZ556" s="113"/>
      <c r="BA556" s="113"/>
      <c r="BB556" s="113"/>
      <c r="BC556" s="113"/>
      <c r="BD556" s="113"/>
      <c r="BE556" s="113"/>
      <c r="BF556" s="113"/>
      <c r="BG556" s="113"/>
      <c r="BH556" s="113"/>
      <c r="BI556" s="113"/>
    </row>
    <row r="557" spans="1:61" ht="24.6" hidden="1" customHeight="1">
      <c r="A557" s="563"/>
      <c r="B557" s="564" t="s">
        <v>248</v>
      </c>
      <c r="C557" s="564"/>
      <c r="D557" s="564"/>
      <c r="E557" s="564"/>
      <c r="F557" s="564"/>
      <c r="G557" s="103"/>
      <c r="H557" s="103"/>
      <c r="I557" s="103"/>
      <c r="J557" s="103"/>
      <c r="K557" s="103"/>
      <c r="L557" s="103"/>
      <c r="M557" s="679"/>
      <c r="N557" s="564"/>
      <c r="O557" s="564" t="s">
        <v>35</v>
      </c>
    </row>
    <row r="558" spans="1:61" ht="0.6" hidden="1" customHeight="1">
      <c r="A558" s="1038" t="s">
        <v>98</v>
      </c>
      <c r="B558" s="62" t="s">
        <v>89</v>
      </c>
      <c r="C558" s="62"/>
      <c r="D558" s="62"/>
      <c r="E558" s="62"/>
      <c r="F558" s="62"/>
      <c r="G558" s="102">
        <f t="shared" ref="G558:L559" si="168">G560+G562+G564</f>
        <v>0</v>
      </c>
      <c r="H558" s="102"/>
      <c r="I558" s="102"/>
      <c r="J558" s="102"/>
      <c r="K558" s="102"/>
      <c r="L558" s="102">
        <f t="shared" si="168"/>
        <v>0</v>
      </c>
      <c r="M558" s="499"/>
      <c r="N558" s="564"/>
      <c r="O558" s="62"/>
    </row>
    <row r="559" spans="1:61" ht="0.6" hidden="1" customHeight="1">
      <c r="A559" s="1038"/>
      <c r="B559" s="62" t="s">
        <v>248</v>
      </c>
      <c r="C559" s="62"/>
      <c r="D559" s="62"/>
      <c r="E559" s="62"/>
      <c r="F559" s="62"/>
      <c r="G559" s="102">
        <f t="shared" si="168"/>
        <v>0</v>
      </c>
      <c r="H559" s="102"/>
      <c r="I559" s="102"/>
      <c r="J559" s="102"/>
      <c r="K559" s="102"/>
      <c r="L559" s="102">
        <f t="shared" si="168"/>
        <v>0</v>
      </c>
      <c r="M559" s="499"/>
      <c r="N559" s="564"/>
      <c r="O559" s="62"/>
    </row>
    <row r="560" spans="1:61" ht="24.6" hidden="1" customHeight="1">
      <c r="A560" s="1039" t="s">
        <v>113</v>
      </c>
      <c r="B560" s="564" t="s">
        <v>89</v>
      </c>
      <c r="C560" s="564">
        <v>176</v>
      </c>
      <c r="D560" s="564" t="s">
        <v>15</v>
      </c>
      <c r="E560" s="564">
        <v>6100404</v>
      </c>
      <c r="F560" s="564">
        <v>243</v>
      </c>
      <c r="G560" s="103"/>
      <c r="H560" s="103"/>
      <c r="I560" s="103"/>
      <c r="J560" s="103"/>
      <c r="K560" s="103"/>
      <c r="L560" s="103"/>
      <c r="M560" s="679"/>
      <c r="N560" s="564"/>
      <c r="O560" s="1037" t="s">
        <v>35</v>
      </c>
    </row>
    <row r="561" spans="1:61" ht="21.6" hidden="1" customHeight="1">
      <c r="A561" s="1039"/>
      <c r="B561" s="564" t="s">
        <v>248</v>
      </c>
      <c r="C561" s="564"/>
      <c r="D561" s="564"/>
      <c r="E561" s="564"/>
      <c r="F561" s="564"/>
      <c r="G561" s="103"/>
      <c r="H561" s="103"/>
      <c r="I561" s="103"/>
      <c r="J561" s="103"/>
      <c r="K561" s="103"/>
      <c r="L561" s="103"/>
      <c r="M561" s="679"/>
      <c r="N561" s="564"/>
      <c r="O561" s="1037"/>
    </row>
    <row r="562" spans="1:61" ht="24.6" hidden="1" customHeight="1">
      <c r="A562" s="563" t="s">
        <v>115</v>
      </c>
      <c r="B562" s="564" t="s">
        <v>89</v>
      </c>
      <c r="C562" s="564">
        <v>176</v>
      </c>
      <c r="D562" s="564" t="s">
        <v>15</v>
      </c>
      <c r="E562" s="564">
        <v>6100404</v>
      </c>
      <c r="F562" s="564">
        <v>243</v>
      </c>
      <c r="G562" s="103"/>
      <c r="H562" s="103"/>
      <c r="I562" s="103"/>
      <c r="J562" s="103"/>
      <c r="K562" s="103"/>
      <c r="L562" s="103"/>
      <c r="M562" s="679"/>
      <c r="N562" s="564"/>
      <c r="O562" s="564" t="s">
        <v>35</v>
      </c>
    </row>
    <row r="563" spans="1:61" ht="24.6" hidden="1" customHeight="1">
      <c r="A563" s="563"/>
      <c r="B563" s="564" t="s">
        <v>248</v>
      </c>
      <c r="C563" s="564"/>
      <c r="D563" s="564"/>
      <c r="E563" s="564"/>
      <c r="F563" s="564"/>
      <c r="G563" s="103"/>
      <c r="H563" s="103"/>
      <c r="I563" s="103"/>
      <c r="J563" s="103"/>
      <c r="K563" s="103"/>
      <c r="L563" s="103"/>
      <c r="M563" s="679"/>
      <c r="N563" s="564"/>
      <c r="O563" s="564"/>
    </row>
    <row r="564" spans="1:61" ht="24.6" hidden="1" customHeight="1">
      <c r="A564" s="563" t="s">
        <v>114</v>
      </c>
      <c r="B564" s="564" t="s">
        <v>89</v>
      </c>
      <c r="C564" s="564">
        <v>176</v>
      </c>
      <c r="D564" s="564" t="s">
        <v>15</v>
      </c>
      <c r="E564" s="564">
        <v>6100404</v>
      </c>
      <c r="F564" s="564">
        <v>243</v>
      </c>
      <c r="G564" s="103">
        <v>0</v>
      </c>
      <c r="H564" s="103"/>
      <c r="I564" s="103"/>
      <c r="J564" s="103"/>
      <c r="K564" s="103"/>
      <c r="L564" s="103"/>
      <c r="M564" s="679"/>
      <c r="N564" s="564"/>
      <c r="O564" s="1037" t="s">
        <v>230</v>
      </c>
    </row>
    <row r="565" spans="1:61" s="45" customFormat="1" ht="24.6" hidden="1" customHeight="1">
      <c r="A565" s="563"/>
      <c r="B565" s="564" t="s">
        <v>248</v>
      </c>
      <c r="C565" s="564"/>
      <c r="D565" s="564"/>
      <c r="E565" s="564"/>
      <c r="F565" s="564"/>
      <c r="G565" s="103"/>
      <c r="H565" s="103"/>
      <c r="I565" s="103"/>
      <c r="J565" s="103"/>
      <c r="K565" s="103"/>
      <c r="L565" s="103"/>
      <c r="M565" s="679"/>
      <c r="N565" s="564"/>
      <c r="O565" s="1037"/>
      <c r="AJ565" s="113"/>
      <c r="AK565" s="113"/>
      <c r="AL565" s="113"/>
      <c r="AM565" s="113"/>
      <c r="AN565" s="113"/>
      <c r="AO565" s="113"/>
      <c r="AP565" s="113"/>
      <c r="AQ565" s="113"/>
      <c r="AR565" s="113"/>
      <c r="AS565" s="113"/>
      <c r="AT565" s="113"/>
      <c r="AU565" s="113"/>
      <c r="AV565" s="113"/>
      <c r="AW565" s="113"/>
      <c r="AX565" s="113"/>
      <c r="AY565" s="113"/>
      <c r="AZ565" s="113"/>
      <c r="BA565" s="113"/>
      <c r="BB565" s="113"/>
      <c r="BC565" s="113"/>
      <c r="BD565" s="113"/>
      <c r="BE565" s="113"/>
      <c r="BF565" s="113"/>
      <c r="BG565" s="113"/>
      <c r="BH565" s="113"/>
      <c r="BI565" s="113"/>
    </row>
    <row r="566" spans="1:61" s="45" customFormat="1" ht="24.6" hidden="1" customHeight="1">
      <c r="A566" s="565" t="s">
        <v>111</v>
      </c>
      <c r="B566" s="564" t="s">
        <v>89</v>
      </c>
      <c r="C566" s="564">
        <v>176</v>
      </c>
      <c r="D566" s="564" t="s">
        <v>15</v>
      </c>
      <c r="E566" s="564">
        <v>6100404</v>
      </c>
      <c r="F566" s="564">
        <v>243</v>
      </c>
      <c r="G566" s="103"/>
      <c r="H566" s="103"/>
      <c r="I566" s="103"/>
      <c r="J566" s="103"/>
      <c r="K566" s="103"/>
      <c r="L566" s="103"/>
      <c r="M566" s="679"/>
      <c r="N566" s="564"/>
      <c r="O566" s="564" t="s">
        <v>31</v>
      </c>
      <c r="AJ566" s="113"/>
      <c r="AK566" s="113"/>
      <c r="AL566" s="113"/>
      <c r="AM566" s="113"/>
      <c r="AN566" s="113"/>
      <c r="AO566" s="113"/>
      <c r="AP566" s="113"/>
      <c r="AQ566" s="113"/>
      <c r="AR566" s="113"/>
      <c r="AS566" s="113"/>
      <c r="AT566" s="113"/>
      <c r="AU566" s="113"/>
      <c r="AV566" s="113"/>
      <c r="AW566" s="113"/>
      <c r="AX566" s="113"/>
      <c r="AY566" s="113"/>
      <c r="AZ566" s="113"/>
      <c r="BA566" s="113"/>
      <c r="BB566" s="113"/>
      <c r="BC566" s="113"/>
      <c r="BD566" s="113"/>
      <c r="BE566" s="113"/>
      <c r="BF566" s="113"/>
      <c r="BG566" s="113"/>
      <c r="BH566" s="113"/>
      <c r="BI566" s="113"/>
    </row>
    <row r="567" spans="1:61" ht="24.6" hidden="1" customHeight="1">
      <c r="A567" s="565"/>
      <c r="B567" s="564" t="s">
        <v>248</v>
      </c>
      <c r="C567" s="564"/>
      <c r="D567" s="564"/>
      <c r="E567" s="564"/>
      <c r="F567" s="564"/>
      <c r="G567" s="103"/>
      <c r="H567" s="103"/>
      <c r="I567" s="103"/>
      <c r="J567" s="103"/>
      <c r="K567" s="103"/>
      <c r="L567" s="103"/>
      <c r="M567" s="679"/>
      <c r="N567" s="564"/>
      <c r="O567" s="564"/>
    </row>
    <row r="568" spans="1:61" ht="31.9" hidden="1" customHeight="1">
      <c r="A568" s="1084" t="s">
        <v>99</v>
      </c>
      <c r="B568" s="62" t="s">
        <v>744</v>
      </c>
      <c r="C568" s="62"/>
      <c r="D568" s="62"/>
      <c r="E568" s="62"/>
      <c r="F568" s="62"/>
      <c r="G568" s="102">
        <f t="shared" ref="G568:G569" si="169">G570</f>
        <v>0</v>
      </c>
      <c r="H568" s="102"/>
      <c r="I568" s="102"/>
      <c r="J568" s="102"/>
      <c r="K568" s="102"/>
      <c r="L568" s="102">
        <f>L572</f>
        <v>0</v>
      </c>
      <c r="M568" s="499">
        <f t="shared" ref="M568:N569" si="170">M572</f>
        <v>0</v>
      </c>
      <c r="N568" s="102">
        <f t="shared" si="170"/>
        <v>0</v>
      </c>
      <c r="O568" s="62"/>
    </row>
    <row r="569" spans="1:61" ht="26.45" hidden="1" customHeight="1">
      <c r="A569" s="1084"/>
      <c r="B569" s="62" t="s">
        <v>248</v>
      </c>
      <c r="C569" s="62"/>
      <c r="D569" s="62"/>
      <c r="E569" s="62"/>
      <c r="F569" s="62"/>
      <c r="G569" s="102">
        <f t="shared" si="169"/>
        <v>0</v>
      </c>
      <c r="H569" s="102"/>
      <c r="I569" s="102"/>
      <c r="J569" s="102"/>
      <c r="K569" s="102"/>
      <c r="L569" s="102">
        <f>L573</f>
        <v>0</v>
      </c>
      <c r="M569" s="499">
        <f t="shared" si="170"/>
        <v>0</v>
      </c>
      <c r="N569" s="102">
        <f t="shared" si="170"/>
        <v>0</v>
      </c>
      <c r="O569" s="62"/>
    </row>
    <row r="570" spans="1:61" ht="28.15" hidden="1" customHeight="1">
      <c r="A570" s="1039" t="s">
        <v>252</v>
      </c>
      <c r="B570" s="564" t="s">
        <v>89</v>
      </c>
      <c r="C570" s="564">
        <v>176</v>
      </c>
      <c r="D570" s="564" t="s">
        <v>15</v>
      </c>
      <c r="E570" s="564">
        <v>6100404</v>
      </c>
      <c r="F570" s="564">
        <v>243</v>
      </c>
      <c r="G570" s="103"/>
      <c r="H570" s="103"/>
      <c r="I570" s="103"/>
      <c r="J570" s="103"/>
      <c r="K570" s="103"/>
      <c r="L570" s="103"/>
      <c r="M570" s="679"/>
      <c r="N570" s="564"/>
      <c r="O570" s="1037" t="s">
        <v>35</v>
      </c>
    </row>
    <row r="571" spans="1:61" s="45" customFormat="1" ht="28.15" hidden="1" customHeight="1">
      <c r="A571" s="1039"/>
      <c r="B571" s="564" t="s">
        <v>248</v>
      </c>
      <c r="C571" s="564"/>
      <c r="D571" s="564"/>
      <c r="E571" s="564"/>
      <c r="F571" s="564"/>
      <c r="G571" s="103"/>
      <c r="H571" s="103"/>
      <c r="I571" s="103"/>
      <c r="J571" s="103"/>
      <c r="K571" s="103"/>
      <c r="L571" s="103">
        <f>18324.4-18324.4</f>
        <v>0</v>
      </c>
      <c r="M571" s="679"/>
      <c r="N571" s="564"/>
      <c r="O571" s="1037"/>
      <c r="AJ571" s="113"/>
      <c r="AK571" s="113"/>
      <c r="AL571" s="113"/>
      <c r="AM571" s="113"/>
      <c r="AN571" s="113"/>
      <c r="AO571" s="113"/>
      <c r="AP571" s="113"/>
      <c r="AQ571" s="113"/>
      <c r="AR571" s="113"/>
      <c r="AS571" s="113"/>
      <c r="AT571" s="113"/>
      <c r="AU571" s="113"/>
      <c r="AV571" s="113"/>
      <c r="AW571" s="113"/>
      <c r="AX571" s="113"/>
      <c r="AY571" s="113"/>
      <c r="AZ571" s="113"/>
      <c r="BA571" s="113"/>
      <c r="BB571" s="113"/>
      <c r="BC571" s="113"/>
      <c r="BD571" s="113"/>
      <c r="BE571" s="113"/>
      <c r="BF571" s="113"/>
      <c r="BG571" s="113"/>
      <c r="BH571" s="113"/>
      <c r="BI571" s="113"/>
    </row>
    <row r="572" spans="1:61" s="45" customFormat="1" ht="28.15" hidden="1" customHeight="1">
      <c r="A572" s="1039" t="s">
        <v>329</v>
      </c>
      <c r="B572" s="564" t="s">
        <v>89</v>
      </c>
      <c r="C572" s="564">
        <v>176</v>
      </c>
      <c r="D572" s="564" t="s">
        <v>15</v>
      </c>
      <c r="E572" s="564">
        <v>6100404</v>
      </c>
      <c r="F572" s="564">
        <v>243</v>
      </c>
      <c r="G572" s="103">
        <v>0</v>
      </c>
      <c r="H572" s="103"/>
      <c r="I572" s="103"/>
      <c r="J572" s="103"/>
      <c r="K572" s="103"/>
      <c r="L572" s="103"/>
      <c r="M572" s="679"/>
      <c r="N572" s="564"/>
      <c r="O572" s="1037" t="s">
        <v>753</v>
      </c>
      <c r="AJ572" s="113"/>
      <c r="AK572" s="113"/>
      <c r="AL572" s="113"/>
      <c r="AM572" s="113"/>
      <c r="AN572" s="113"/>
      <c r="AO572" s="113"/>
      <c r="AP572" s="113"/>
      <c r="AQ572" s="113"/>
      <c r="AR572" s="113"/>
      <c r="AS572" s="113"/>
      <c r="AT572" s="113"/>
      <c r="AU572" s="113"/>
      <c r="AV572" s="113"/>
      <c r="AW572" s="113"/>
      <c r="AX572" s="113"/>
      <c r="AY572" s="113"/>
      <c r="AZ572" s="113"/>
      <c r="BA572" s="113"/>
      <c r="BB572" s="113"/>
      <c r="BC572" s="113"/>
      <c r="BD572" s="113"/>
      <c r="BE572" s="113"/>
      <c r="BF572" s="113"/>
      <c r="BG572" s="113"/>
      <c r="BH572" s="113"/>
      <c r="BI572" s="113"/>
    </row>
    <row r="573" spans="1:61" ht="24" hidden="1" customHeight="1">
      <c r="A573" s="1039"/>
      <c r="B573" s="564" t="s">
        <v>248</v>
      </c>
      <c r="C573" s="564"/>
      <c r="D573" s="564"/>
      <c r="E573" s="564"/>
      <c r="F573" s="564"/>
      <c r="G573" s="103"/>
      <c r="H573" s="103"/>
      <c r="I573" s="103"/>
      <c r="J573" s="103"/>
      <c r="K573" s="103"/>
      <c r="L573" s="103"/>
      <c r="M573" s="679"/>
      <c r="N573" s="564"/>
      <c r="O573" s="1037"/>
    </row>
    <row r="574" spans="1:61" ht="24.95" customHeight="1">
      <c r="A574" s="1038" t="s">
        <v>117</v>
      </c>
      <c r="B574" s="62" t="s">
        <v>744</v>
      </c>
      <c r="C574" s="62"/>
      <c r="D574" s="62"/>
      <c r="E574" s="62"/>
      <c r="F574" s="62"/>
      <c r="G574" s="102">
        <f>K574</f>
        <v>0</v>
      </c>
      <c r="H574" s="102"/>
      <c r="I574" s="102"/>
      <c r="J574" s="102"/>
      <c r="K574" s="102">
        <f>K578+K580+K582</f>
        <v>0</v>
      </c>
      <c r="L574" s="102">
        <f>L578+L580+L582</f>
        <v>0</v>
      </c>
      <c r="M574" s="499">
        <f>M578+M580+M582</f>
        <v>0</v>
      </c>
      <c r="N574" s="564"/>
      <c r="O574" s="62"/>
    </row>
    <row r="575" spans="1:61" ht="24.95" customHeight="1">
      <c r="A575" s="1038"/>
      <c r="B575" s="62" t="s">
        <v>248</v>
      </c>
      <c r="C575" s="62"/>
      <c r="D575" s="62"/>
      <c r="E575" s="62"/>
      <c r="F575" s="62"/>
      <c r="G575" s="102">
        <f>K575</f>
        <v>13167.4</v>
      </c>
      <c r="H575" s="102"/>
      <c r="I575" s="102"/>
      <c r="J575" s="102"/>
      <c r="K575" s="102">
        <f>K576+K577</f>
        <v>13167.4</v>
      </c>
      <c r="L575" s="102"/>
      <c r="M575" s="499"/>
      <c r="N575" s="564"/>
      <c r="O575" s="62"/>
    </row>
    <row r="576" spans="1:61" ht="22.5" customHeight="1">
      <c r="A576" s="1038"/>
      <c r="B576" s="62" t="s">
        <v>249</v>
      </c>
      <c r="C576" s="62"/>
      <c r="D576" s="62"/>
      <c r="E576" s="62"/>
      <c r="F576" s="62"/>
      <c r="G576" s="102">
        <f t="shared" ref="G576:G582" si="171">K576</f>
        <v>13167.4</v>
      </c>
      <c r="H576" s="102"/>
      <c r="I576" s="102"/>
      <c r="J576" s="102"/>
      <c r="K576" s="102">
        <f>K579+K581+K584</f>
        <v>13167.4</v>
      </c>
      <c r="L576" s="102">
        <f t="shared" ref="L576:M576" si="172">L579+L581+L584</f>
        <v>0</v>
      </c>
      <c r="M576" s="499">
        <f t="shared" si="172"/>
        <v>0</v>
      </c>
      <c r="N576" s="564"/>
      <c r="O576" s="62"/>
    </row>
    <row r="577" spans="1:61" ht="21" customHeight="1">
      <c r="A577" s="1038"/>
      <c r="B577" s="62" t="s">
        <v>502</v>
      </c>
      <c r="C577" s="62"/>
      <c r="D577" s="62"/>
      <c r="E577" s="62"/>
      <c r="F577" s="62"/>
      <c r="G577" s="102">
        <f t="shared" si="171"/>
        <v>0</v>
      </c>
      <c r="H577" s="102">
        <f>H579+H581+H585</f>
        <v>0</v>
      </c>
      <c r="I577" s="102">
        <f>I579+I581+I585</f>
        <v>0</v>
      </c>
      <c r="J577" s="102"/>
      <c r="K577" s="102">
        <f>K585</f>
        <v>0</v>
      </c>
      <c r="L577" s="102">
        <f t="shared" ref="L577:M577" si="173">L585</f>
        <v>0</v>
      </c>
      <c r="M577" s="499">
        <f t="shared" si="173"/>
        <v>0</v>
      </c>
      <c r="N577" s="564"/>
      <c r="O577" s="62"/>
    </row>
    <row r="578" spans="1:61" ht="24.95" hidden="1" customHeight="1">
      <c r="A578" s="1039" t="s">
        <v>329</v>
      </c>
      <c r="B578" s="62" t="s">
        <v>744</v>
      </c>
      <c r="C578" s="564">
        <v>176</v>
      </c>
      <c r="D578" s="564" t="s">
        <v>15</v>
      </c>
      <c r="E578" s="564">
        <v>6100404</v>
      </c>
      <c r="F578" s="564">
        <v>243</v>
      </c>
      <c r="G578" s="102">
        <f t="shared" si="171"/>
        <v>0</v>
      </c>
      <c r="H578" s="103"/>
      <c r="I578" s="103"/>
      <c r="J578" s="103"/>
      <c r="K578" s="103"/>
      <c r="L578" s="103"/>
      <c r="M578" s="679"/>
      <c r="N578" s="564"/>
      <c r="O578" s="1037" t="s">
        <v>752</v>
      </c>
    </row>
    <row r="579" spans="1:61" ht="25.5" hidden="1" customHeight="1">
      <c r="A579" s="1039"/>
      <c r="B579" s="564" t="s">
        <v>248</v>
      </c>
      <c r="C579" s="564"/>
      <c r="D579" s="564"/>
      <c r="E579" s="564"/>
      <c r="F579" s="564"/>
      <c r="G579" s="102">
        <f t="shared" si="171"/>
        <v>0</v>
      </c>
      <c r="H579" s="103"/>
      <c r="I579" s="103"/>
      <c r="J579" s="103"/>
      <c r="K579" s="103"/>
      <c r="L579" s="103"/>
      <c r="M579" s="679"/>
      <c r="N579" s="564"/>
      <c r="O579" s="1037"/>
    </row>
    <row r="580" spans="1:61" ht="27" customHeight="1">
      <c r="A580" s="1028" t="s">
        <v>731</v>
      </c>
      <c r="B580" s="62" t="s">
        <v>744</v>
      </c>
      <c r="C580" s="564">
        <v>176</v>
      </c>
      <c r="D580" s="564" t="s">
        <v>15</v>
      </c>
      <c r="E580" s="564">
        <v>6100404</v>
      </c>
      <c r="F580" s="564">
        <v>243</v>
      </c>
      <c r="G580" s="103">
        <f t="shared" si="171"/>
        <v>0</v>
      </c>
      <c r="H580" s="103"/>
      <c r="I580" s="103"/>
      <c r="J580" s="103"/>
      <c r="K580" s="103"/>
      <c r="L580" s="103"/>
      <c r="M580" s="679"/>
      <c r="N580" s="564"/>
      <c r="O580" s="1037" t="s">
        <v>848</v>
      </c>
    </row>
    <row r="581" spans="1:61" s="45" customFormat="1" ht="27" customHeight="1">
      <c r="A581" s="1029"/>
      <c r="B581" s="564" t="s">
        <v>248</v>
      </c>
      <c r="C581" s="564"/>
      <c r="D581" s="564"/>
      <c r="E581" s="564"/>
      <c r="F581" s="564"/>
      <c r="G581" s="103">
        <f t="shared" si="171"/>
        <v>13167.4</v>
      </c>
      <c r="H581" s="103"/>
      <c r="I581" s="103"/>
      <c r="J581" s="103"/>
      <c r="K581" s="103">
        <v>13167.4</v>
      </c>
      <c r="L581" s="103"/>
      <c r="M581" s="679"/>
      <c r="N581" s="564"/>
      <c r="O581" s="1037"/>
      <c r="AJ581" s="113"/>
      <c r="AK581" s="113"/>
      <c r="AL581" s="113"/>
      <c r="AM581" s="113"/>
      <c r="AN581" s="113"/>
      <c r="AO581" s="113"/>
      <c r="AP581" s="113"/>
      <c r="AQ581" s="113"/>
      <c r="AR581" s="113"/>
      <c r="AS581" s="113"/>
      <c r="AT581" s="113"/>
      <c r="AU581" s="113"/>
      <c r="AV581" s="113"/>
      <c r="AW581" s="113"/>
      <c r="AX581" s="113"/>
      <c r="AY581" s="113"/>
      <c r="AZ581" s="113"/>
      <c r="BA581" s="113"/>
      <c r="BB581" s="113"/>
      <c r="BC581" s="113"/>
      <c r="BD581" s="113"/>
      <c r="BE581" s="113"/>
      <c r="BF581" s="113"/>
      <c r="BG581" s="113"/>
      <c r="BH581" s="113"/>
      <c r="BI581" s="113"/>
    </row>
    <row r="582" spans="1:61" s="45" customFormat="1" ht="23.45" hidden="1" customHeight="1">
      <c r="A582" s="1028" t="s">
        <v>313</v>
      </c>
      <c r="B582" s="62" t="s">
        <v>744</v>
      </c>
      <c r="C582" s="564">
        <v>176</v>
      </c>
      <c r="D582" s="564" t="s">
        <v>15</v>
      </c>
      <c r="E582" s="564">
        <v>6100404</v>
      </c>
      <c r="F582" s="564">
        <v>243</v>
      </c>
      <c r="G582" s="103">
        <f t="shared" si="171"/>
        <v>0</v>
      </c>
      <c r="H582" s="103"/>
      <c r="I582" s="103"/>
      <c r="J582" s="103"/>
      <c r="K582" s="103"/>
      <c r="L582" s="103"/>
      <c r="M582" s="679"/>
      <c r="N582" s="564"/>
      <c r="O582" s="1037" t="s">
        <v>751</v>
      </c>
      <c r="AJ582" s="113"/>
      <c r="AK582" s="113"/>
      <c r="AL582" s="113"/>
      <c r="AM582" s="113"/>
      <c r="AN582" s="113"/>
      <c r="AO582" s="113"/>
      <c r="AP582" s="113"/>
      <c r="AQ582" s="113"/>
      <c r="AR582" s="113"/>
      <c r="AS582" s="113"/>
      <c r="AT582" s="113"/>
      <c r="AU582" s="113"/>
      <c r="AV582" s="113"/>
      <c r="AW582" s="113"/>
      <c r="AX582" s="113"/>
      <c r="AY582" s="113"/>
      <c r="AZ582" s="113"/>
      <c r="BA582" s="113"/>
      <c r="BB582" s="113"/>
      <c r="BC582" s="113"/>
      <c r="BD582" s="113"/>
      <c r="BE582" s="113"/>
      <c r="BF582" s="113"/>
      <c r="BG582" s="113"/>
      <c r="BH582" s="113"/>
      <c r="BI582" s="113"/>
    </row>
    <row r="583" spans="1:61" s="45" customFormat="1" ht="23.45" hidden="1" customHeight="1">
      <c r="A583" s="1036"/>
      <c r="B583" s="564" t="s">
        <v>565</v>
      </c>
      <c r="C583" s="564"/>
      <c r="D583" s="564"/>
      <c r="E583" s="564"/>
      <c r="F583" s="564"/>
      <c r="G583" s="103">
        <f>K583</f>
        <v>0</v>
      </c>
      <c r="H583" s="103"/>
      <c r="I583" s="103"/>
      <c r="J583" s="103"/>
      <c r="K583" s="103">
        <f>K584+K585</f>
        <v>0</v>
      </c>
      <c r="L583" s="103"/>
      <c r="M583" s="679"/>
      <c r="N583" s="564"/>
      <c r="O583" s="1037"/>
      <c r="AJ583" s="113"/>
      <c r="AK583" s="113"/>
      <c r="AL583" s="113"/>
      <c r="AM583" s="113"/>
      <c r="AN583" s="113"/>
      <c r="AO583" s="113"/>
      <c r="AP583" s="113"/>
      <c r="AQ583" s="113"/>
      <c r="AR583" s="113"/>
      <c r="AS583" s="113"/>
      <c r="AT583" s="113"/>
      <c r="AU583" s="113"/>
      <c r="AV583" s="113"/>
      <c r="AW583" s="113"/>
      <c r="AX583" s="113"/>
      <c r="AY583" s="113"/>
      <c r="AZ583" s="113"/>
      <c r="BA583" s="113"/>
      <c r="BB583" s="113"/>
      <c r="BC583" s="113"/>
      <c r="BD583" s="113"/>
      <c r="BE583" s="113"/>
      <c r="BF583" s="113"/>
      <c r="BG583" s="113"/>
      <c r="BH583" s="113"/>
      <c r="BI583" s="113"/>
    </row>
    <row r="584" spans="1:61" s="45" customFormat="1" ht="23.45" hidden="1" customHeight="1">
      <c r="A584" s="1036"/>
      <c r="B584" s="564" t="s">
        <v>249</v>
      </c>
      <c r="C584" s="564"/>
      <c r="D584" s="564"/>
      <c r="E584" s="564"/>
      <c r="F584" s="564"/>
      <c r="G584" s="103">
        <f t="shared" ref="G584:G585" si="174">K584</f>
        <v>0</v>
      </c>
      <c r="H584" s="103"/>
      <c r="I584" s="103"/>
      <c r="J584" s="103"/>
      <c r="K584" s="103"/>
      <c r="L584" s="103"/>
      <c r="M584" s="679"/>
      <c r="N584" s="564"/>
      <c r="O584" s="1037"/>
      <c r="AJ584" s="113"/>
      <c r="AK584" s="113"/>
      <c r="AL584" s="113"/>
      <c r="AM584" s="113"/>
      <c r="AN584" s="113"/>
      <c r="AO584" s="113"/>
      <c r="AP584" s="113"/>
      <c r="AQ584" s="113"/>
      <c r="AR584" s="113"/>
      <c r="AS584" s="113"/>
      <c r="AT584" s="113"/>
      <c r="AU584" s="113"/>
      <c r="AV584" s="113"/>
      <c r="AW584" s="113"/>
      <c r="AX584" s="113"/>
      <c r="AY584" s="113"/>
      <c r="AZ584" s="113"/>
      <c r="BA584" s="113"/>
      <c r="BB584" s="113"/>
      <c r="BC584" s="113"/>
      <c r="BD584" s="113"/>
      <c r="BE584" s="113"/>
      <c r="BF584" s="113"/>
      <c r="BG584" s="113"/>
      <c r="BH584" s="113"/>
      <c r="BI584" s="113"/>
    </row>
    <row r="585" spans="1:61" ht="23.45" hidden="1" customHeight="1">
      <c r="A585" s="1029"/>
      <c r="B585" s="564" t="s">
        <v>502</v>
      </c>
      <c r="C585" s="564"/>
      <c r="D585" s="564"/>
      <c r="E585" s="564"/>
      <c r="F585" s="564"/>
      <c r="G585" s="103">
        <f t="shared" si="174"/>
        <v>0</v>
      </c>
      <c r="H585" s="103"/>
      <c r="I585" s="103"/>
      <c r="J585" s="103"/>
      <c r="K585" s="103"/>
      <c r="L585" s="103"/>
      <c r="M585" s="679"/>
      <c r="N585" s="564"/>
      <c r="O585" s="1037"/>
    </row>
    <row r="586" spans="1:61" ht="24.95" customHeight="1">
      <c r="A586" s="1038" t="s">
        <v>100</v>
      </c>
      <c r="B586" s="62" t="s">
        <v>744</v>
      </c>
      <c r="C586" s="62"/>
      <c r="D586" s="62"/>
      <c r="E586" s="62"/>
      <c r="F586" s="62"/>
      <c r="G586" s="102">
        <f>G590+G592+G594</f>
        <v>2</v>
      </c>
      <c r="H586" s="102">
        <f t="shared" ref="H586:K586" si="175">H590+H592+H594</f>
        <v>0</v>
      </c>
      <c r="I586" s="102">
        <f t="shared" si="175"/>
        <v>0</v>
      </c>
      <c r="J586" s="102">
        <f t="shared" si="175"/>
        <v>0</v>
      </c>
      <c r="K586" s="102">
        <f t="shared" si="175"/>
        <v>2</v>
      </c>
      <c r="L586" s="102">
        <f t="shared" ref="L586:M586" si="176">L590+L592+L594</f>
        <v>0</v>
      </c>
      <c r="M586" s="499">
        <f t="shared" si="176"/>
        <v>1</v>
      </c>
      <c r="N586" s="564"/>
      <c r="O586" s="62"/>
    </row>
    <row r="587" spans="1:61" ht="24.95" customHeight="1">
      <c r="A587" s="1038"/>
      <c r="B587" s="62" t="s">
        <v>446</v>
      </c>
      <c r="C587" s="62"/>
      <c r="D587" s="62"/>
      <c r="E587" s="62"/>
      <c r="F587" s="62"/>
      <c r="G587" s="102">
        <f>K587</f>
        <v>197178.4</v>
      </c>
      <c r="H587" s="102"/>
      <c r="I587" s="102"/>
      <c r="J587" s="102"/>
      <c r="K587" s="102">
        <f>K588+K589</f>
        <v>197178.4</v>
      </c>
      <c r="L587" s="102">
        <f t="shared" ref="L587:M587" si="177">L588+L589</f>
        <v>0</v>
      </c>
      <c r="M587" s="102">
        <f t="shared" si="177"/>
        <v>200000</v>
      </c>
      <c r="N587" s="564"/>
      <c r="O587" s="62"/>
    </row>
    <row r="588" spans="1:61" ht="24.95" customHeight="1">
      <c r="A588" s="1038"/>
      <c r="B588" s="62" t="s">
        <v>249</v>
      </c>
      <c r="C588" s="62"/>
      <c r="D588" s="62"/>
      <c r="E588" s="62"/>
      <c r="F588" s="62"/>
      <c r="G588" s="102">
        <f>G591+G593+G596</f>
        <v>197178.4</v>
      </c>
      <c r="H588" s="102">
        <f t="shared" ref="H588:M588" si="178">H591+H593+H596</f>
        <v>0</v>
      </c>
      <c r="I588" s="102">
        <f t="shared" si="178"/>
        <v>0</v>
      </c>
      <c r="J588" s="102">
        <f t="shared" si="178"/>
        <v>0</v>
      </c>
      <c r="K588" s="102">
        <f t="shared" si="178"/>
        <v>197178.4</v>
      </c>
      <c r="L588" s="102">
        <f t="shared" si="178"/>
        <v>0</v>
      </c>
      <c r="M588" s="102">
        <f t="shared" si="178"/>
        <v>200000</v>
      </c>
      <c r="N588" s="564"/>
      <c r="O588" s="62"/>
    </row>
    <row r="589" spans="1:61" ht="29.25" customHeight="1">
      <c r="A589" s="1038"/>
      <c r="B589" s="62" t="s">
        <v>502</v>
      </c>
      <c r="C589" s="62"/>
      <c r="D589" s="62"/>
      <c r="E589" s="62"/>
      <c r="F589" s="62"/>
      <c r="G589" s="102">
        <f t="shared" ref="G589" si="179">K589</f>
        <v>0</v>
      </c>
      <c r="H589" s="102">
        <f t="shared" ref="H589:J589" si="180">H591+H597+H601</f>
        <v>0</v>
      </c>
      <c r="I589" s="102">
        <f t="shared" si="180"/>
        <v>0</v>
      </c>
      <c r="J589" s="102">
        <f t="shared" si="180"/>
        <v>0</v>
      </c>
      <c r="K589" s="102">
        <f>K597+K601</f>
        <v>0</v>
      </c>
      <c r="L589" s="102">
        <f>L597+L601</f>
        <v>0</v>
      </c>
      <c r="M589" s="499">
        <f>M591+M597</f>
        <v>0</v>
      </c>
      <c r="N589" s="564"/>
      <c r="O589" s="62"/>
      <c r="V589" s="44">
        <v>121.8</v>
      </c>
    </row>
    <row r="590" spans="1:61" ht="29.25" customHeight="1">
      <c r="A590" s="1039" t="s">
        <v>951</v>
      </c>
      <c r="B590" s="564" t="s">
        <v>89</v>
      </c>
      <c r="C590" s="564">
        <v>176</v>
      </c>
      <c r="D590" s="564" t="s">
        <v>15</v>
      </c>
      <c r="E590" s="564">
        <v>6100404</v>
      </c>
      <c r="F590" s="564">
        <v>243</v>
      </c>
      <c r="G590" s="103">
        <f>K590</f>
        <v>1</v>
      </c>
      <c r="H590" s="103"/>
      <c r="I590" s="103"/>
      <c r="J590" s="103"/>
      <c r="K590" s="103">
        <v>1</v>
      </c>
      <c r="L590" s="103"/>
      <c r="M590" s="679"/>
      <c r="N590" s="564"/>
      <c r="O590" s="1037" t="s">
        <v>226</v>
      </c>
    </row>
    <row r="591" spans="1:61" ht="29.25" customHeight="1">
      <c r="A591" s="1039"/>
      <c r="B591" s="564" t="s">
        <v>248</v>
      </c>
      <c r="C591" s="564"/>
      <c r="D591" s="564"/>
      <c r="E591" s="564"/>
      <c r="F591" s="564"/>
      <c r="G591" s="103">
        <f>K591</f>
        <v>16000</v>
      </c>
      <c r="H591" s="103"/>
      <c r="I591" s="103"/>
      <c r="J591" s="103"/>
      <c r="K591" s="103">
        <v>16000</v>
      </c>
      <c r="L591" s="103">
        <f>15882.9-15882.9</f>
        <v>0</v>
      </c>
      <c r="M591" s="679"/>
      <c r="N591" s="564"/>
      <c r="O591" s="1037"/>
    </row>
    <row r="592" spans="1:61" ht="29.25" customHeight="1">
      <c r="A592" s="1028" t="s">
        <v>947</v>
      </c>
      <c r="B592" s="564" t="s">
        <v>744</v>
      </c>
      <c r="C592" s="564"/>
      <c r="D592" s="564"/>
      <c r="E592" s="564"/>
      <c r="F592" s="564"/>
      <c r="G592" s="103">
        <f t="shared" ref="G592:G596" si="181">K592</f>
        <v>1</v>
      </c>
      <c r="H592" s="103"/>
      <c r="I592" s="103"/>
      <c r="J592" s="103"/>
      <c r="K592" s="103">
        <v>1</v>
      </c>
      <c r="L592" s="103"/>
      <c r="M592" s="679">
        <v>1</v>
      </c>
      <c r="N592" s="564"/>
      <c r="O592" s="1037" t="s">
        <v>958</v>
      </c>
    </row>
    <row r="593" spans="1:61" ht="29.25" customHeight="1">
      <c r="A593" s="1029"/>
      <c r="B593" s="564" t="s">
        <v>248</v>
      </c>
      <c r="C593" s="564"/>
      <c r="D593" s="564"/>
      <c r="E593" s="564"/>
      <c r="F593" s="564"/>
      <c r="G593" s="103">
        <f t="shared" si="181"/>
        <v>159400</v>
      </c>
      <c r="H593" s="103"/>
      <c r="I593" s="103"/>
      <c r="J593" s="103"/>
      <c r="K593" s="103">
        <v>159400</v>
      </c>
      <c r="L593" s="103"/>
      <c r="M593" s="679">
        <v>200000</v>
      </c>
      <c r="N593" s="564"/>
      <c r="O593" s="1037"/>
    </row>
    <row r="594" spans="1:61" ht="29.25" customHeight="1">
      <c r="A594" s="1039" t="s">
        <v>566</v>
      </c>
      <c r="B594" s="564" t="s">
        <v>744</v>
      </c>
      <c r="C594" s="564">
        <v>176</v>
      </c>
      <c r="D594" s="564" t="s">
        <v>15</v>
      </c>
      <c r="E594" s="564">
        <v>6100404</v>
      </c>
      <c r="F594" s="564">
        <v>243</v>
      </c>
      <c r="G594" s="103">
        <f t="shared" si="181"/>
        <v>0</v>
      </c>
      <c r="H594" s="103"/>
      <c r="I594" s="103"/>
      <c r="J594" s="103"/>
      <c r="K594" s="103"/>
      <c r="L594" s="103"/>
      <c r="M594" s="679"/>
      <c r="N594" s="564"/>
      <c r="O594" s="1037" t="s">
        <v>848</v>
      </c>
    </row>
    <row r="595" spans="1:61" ht="29.25" hidden="1" customHeight="1">
      <c r="A595" s="1039"/>
      <c r="B595" s="564" t="s">
        <v>446</v>
      </c>
      <c r="C595" s="564"/>
      <c r="D595" s="564"/>
      <c r="E595" s="564"/>
      <c r="F595" s="564"/>
      <c r="G595" s="103">
        <f t="shared" si="181"/>
        <v>21778.400000000001</v>
      </c>
      <c r="H595" s="103"/>
      <c r="I595" s="103"/>
      <c r="J595" s="103"/>
      <c r="K595" s="103">
        <f>K596+K597</f>
        <v>21778.400000000001</v>
      </c>
      <c r="L595" s="103">
        <f>L596+L597</f>
        <v>0</v>
      </c>
      <c r="M595" s="679"/>
      <c r="N595" s="564"/>
      <c r="O595" s="1037"/>
    </row>
    <row r="596" spans="1:61" ht="24.6" customHeight="1">
      <c r="A596" s="1039"/>
      <c r="B596" s="564" t="s">
        <v>248</v>
      </c>
      <c r="C596" s="564"/>
      <c r="D596" s="564"/>
      <c r="E596" s="564"/>
      <c r="F596" s="564"/>
      <c r="G596" s="103">
        <f t="shared" si="181"/>
        <v>21778.400000000001</v>
      </c>
      <c r="H596" s="103"/>
      <c r="I596" s="103"/>
      <c r="J596" s="103"/>
      <c r="K596" s="103">
        <v>21778.400000000001</v>
      </c>
      <c r="L596" s="103"/>
      <c r="M596" s="679"/>
      <c r="N596" s="564"/>
      <c r="O596" s="1037"/>
    </row>
    <row r="597" spans="1:61" s="45" customFormat="1" ht="21.75" customHeight="1">
      <c r="A597" s="1039"/>
      <c r="B597" s="564" t="s">
        <v>502</v>
      </c>
      <c r="C597" s="564"/>
      <c r="D597" s="564"/>
      <c r="E597" s="564"/>
      <c r="F597" s="564"/>
      <c r="G597" s="103">
        <f t="shared" ref="G597" si="182">K597</f>
        <v>0</v>
      </c>
      <c r="H597" s="103"/>
      <c r="I597" s="103"/>
      <c r="J597" s="103"/>
      <c r="K597" s="103"/>
      <c r="L597" s="103"/>
      <c r="M597" s="679"/>
      <c r="N597" s="564"/>
      <c r="O597" s="1037"/>
      <c r="AJ597" s="113"/>
      <c r="AK597" s="113"/>
      <c r="AL597" s="113"/>
      <c r="AM597" s="113"/>
      <c r="AN597" s="113"/>
      <c r="AO597" s="113"/>
      <c r="AP597" s="113"/>
      <c r="AQ597" s="113"/>
      <c r="AR597" s="113"/>
      <c r="AS597" s="113"/>
      <c r="AT597" s="113"/>
      <c r="AU597" s="113"/>
      <c r="AV597" s="113"/>
      <c r="AW597" s="113"/>
      <c r="AX597" s="113"/>
      <c r="AY597" s="113"/>
      <c r="AZ597" s="113"/>
      <c r="BA597" s="113"/>
      <c r="BB597" s="113"/>
      <c r="BC597" s="113"/>
      <c r="BD597" s="113"/>
      <c r="BE597" s="113"/>
      <c r="BF597" s="113"/>
      <c r="BG597" s="113"/>
      <c r="BH597" s="113"/>
      <c r="BI597" s="113"/>
    </row>
    <row r="598" spans="1:61" s="45" customFormat="1" ht="24.6" hidden="1" customHeight="1">
      <c r="A598" s="1028" t="s">
        <v>484</v>
      </c>
      <c r="B598" s="564" t="s">
        <v>744</v>
      </c>
      <c r="C598" s="564">
        <v>176</v>
      </c>
      <c r="D598" s="564" t="s">
        <v>15</v>
      </c>
      <c r="E598" s="564">
        <v>6100404</v>
      </c>
      <c r="F598" s="564">
        <v>243</v>
      </c>
      <c r="G598" s="103">
        <f>K598</f>
        <v>0</v>
      </c>
      <c r="H598" s="103"/>
      <c r="I598" s="103"/>
      <c r="J598" s="103"/>
      <c r="K598" s="103"/>
      <c r="L598" s="103"/>
      <c r="M598" s="679"/>
      <c r="N598" s="564"/>
      <c r="O598" s="1037" t="s">
        <v>750</v>
      </c>
      <c r="AJ598" s="113"/>
      <c r="AK598" s="113"/>
      <c r="AL598" s="113"/>
      <c r="AM598" s="113"/>
      <c r="AN598" s="113"/>
      <c r="AO598" s="113"/>
      <c r="AP598" s="113"/>
      <c r="AQ598" s="113"/>
      <c r="AR598" s="113"/>
      <c r="AS598" s="113"/>
      <c r="AT598" s="113"/>
      <c r="AU598" s="113"/>
      <c r="AV598" s="113"/>
      <c r="AW598" s="113"/>
      <c r="AX598" s="113"/>
      <c r="AY598" s="113"/>
      <c r="AZ598" s="113"/>
      <c r="BA598" s="113"/>
      <c r="BB598" s="113"/>
      <c r="BC598" s="113"/>
      <c r="BD598" s="113"/>
      <c r="BE598" s="113"/>
      <c r="BF598" s="113"/>
      <c r="BG598" s="113"/>
      <c r="BH598" s="113"/>
      <c r="BI598" s="113"/>
    </row>
    <row r="599" spans="1:61" s="45" customFormat="1" ht="24.6" hidden="1" customHeight="1">
      <c r="A599" s="1036"/>
      <c r="B599" s="564" t="s">
        <v>446</v>
      </c>
      <c r="C599" s="564"/>
      <c r="D599" s="564"/>
      <c r="E599" s="564"/>
      <c r="F599" s="564"/>
      <c r="G599" s="103">
        <f t="shared" ref="G599:G601" si="183">K599</f>
        <v>0</v>
      </c>
      <c r="H599" s="103"/>
      <c r="I599" s="103"/>
      <c r="J599" s="103"/>
      <c r="K599" s="103">
        <f>K600+K601</f>
        <v>0</v>
      </c>
      <c r="L599" s="103"/>
      <c r="M599" s="679"/>
      <c r="N599" s="564"/>
      <c r="O599" s="1037"/>
      <c r="AJ599" s="113"/>
      <c r="AK599" s="113"/>
      <c r="AL599" s="113"/>
      <c r="AM599" s="113"/>
      <c r="AN599" s="113"/>
      <c r="AO599" s="113"/>
      <c r="AP599" s="113"/>
      <c r="AQ599" s="113"/>
      <c r="AR599" s="113"/>
      <c r="AS599" s="113"/>
      <c r="AT599" s="113"/>
      <c r="AU599" s="113"/>
      <c r="AV599" s="113"/>
      <c r="AW599" s="113"/>
      <c r="AX599" s="113"/>
      <c r="AY599" s="113"/>
      <c r="AZ599" s="113"/>
      <c r="BA599" s="113"/>
      <c r="BB599" s="113"/>
      <c r="BC599" s="113"/>
      <c r="BD599" s="113"/>
      <c r="BE599" s="113"/>
      <c r="BF599" s="113"/>
      <c r="BG599" s="113"/>
      <c r="BH599" s="113"/>
      <c r="BI599" s="113"/>
    </row>
    <row r="600" spans="1:61" s="45" customFormat="1" ht="24.6" hidden="1" customHeight="1">
      <c r="A600" s="1036"/>
      <c r="B600" s="564" t="s">
        <v>249</v>
      </c>
      <c r="C600" s="564"/>
      <c r="D600" s="564"/>
      <c r="E600" s="564"/>
      <c r="F600" s="564"/>
      <c r="G600" s="103">
        <f t="shared" si="183"/>
        <v>0</v>
      </c>
      <c r="H600" s="103"/>
      <c r="I600" s="103"/>
      <c r="J600" s="103"/>
      <c r="K600" s="103"/>
      <c r="L600" s="103"/>
      <c r="M600" s="679"/>
      <c r="N600" s="564"/>
      <c r="O600" s="1037"/>
      <c r="AJ600" s="113"/>
      <c r="AK600" s="113"/>
      <c r="AL600" s="113"/>
      <c r="AM600" s="113"/>
      <c r="AN600" s="113"/>
      <c r="AO600" s="113"/>
      <c r="AP600" s="113"/>
      <c r="AQ600" s="113"/>
      <c r="AR600" s="113"/>
      <c r="AS600" s="113"/>
      <c r="AT600" s="113"/>
      <c r="AU600" s="113"/>
      <c r="AV600" s="113"/>
      <c r="AW600" s="113"/>
      <c r="AX600" s="113"/>
      <c r="AY600" s="113"/>
      <c r="AZ600" s="113"/>
      <c r="BA600" s="113"/>
      <c r="BB600" s="113"/>
      <c r="BC600" s="113"/>
      <c r="BD600" s="113"/>
      <c r="BE600" s="113"/>
      <c r="BF600" s="113"/>
      <c r="BG600" s="113"/>
      <c r="BH600" s="113"/>
      <c r="BI600" s="113"/>
    </row>
    <row r="601" spans="1:61" s="45" customFormat="1" ht="24.6" hidden="1" customHeight="1">
      <c r="A601" s="1029"/>
      <c r="B601" s="564" t="s">
        <v>502</v>
      </c>
      <c r="C601" s="564"/>
      <c r="D601" s="564"/>
      <c r="E601" s="564"/>
      <c r="F601" s="564"/>
      <c r="G601" s="103">
        <f t="shared" si="183"/>
        <v>0</v>
      </c>
      <c r="H601" s="103"/>
      <c r="I601" s="103"/>
      <c r="J601" s="103"/>
      <c r="K601" s="103"/>
      <c r="L601" s="103"/>
      <c r="M601" s="679"/>
      <c r="N601" s="564"/>
      <c r="O601" s="1037"/>
      <c r="AJ601" s="113"/>
      <c r="AK601" s="113"/>
      <c r="AL601" s="113"/>
      <c r="AM601" s="113"/>
      <c r="AN601" s="113"/>
      <c r="AO601" s="113"/>
      <c r="AP601" s="113"/>
      <c r="AQ601" s="113"/>
      <c r="AR601" s="113"/>
      <c r="AS601" s="113"/>
      <c r="AT601" s="113"/>
      <c r="AU601" s="113"/>
      <c r="AV601" s="113"/>
      <c r="AW601" s="113"/>
      <c r="AX601" s="113"/>
      <c r="AY601" s="113"/>
      <c r="AZ601" s="113"/>
      <c r="BA601" s="113"/>
      <c r="BB601" s="113"/>
      <c r="BC601" s="113"/>
      <c r="BD601" s="113"/>
      <c r="BE601" s="113"/>
      <c r="BF601" s="113"/>
      <c r="BG601" s="113"/>
      <c r="BH601" s="113"/>
      <c r="BI601" s="113"/>
    </row>
    <row r="602" spans="1:61" s="45" customFormat="1" ht="22.15" customHeight="1">
      <c r="A602" s="1083" t="s">
        <v>119</v>
      </c>
      <c r="B602" s="62" t="s">
        <v>89</v>
      </c>
      <c r="C602" s="62"/>
      <c r="D602" s="62"/>
      <c r="E602" s="62"/>
      <c r="F602" s="62"/>
      <c r="G602" s="102">
        <f>G606</f>
        <v>0</v>
      </c>
      <c r="H602" s="102">
        <f t="shared" ref="H602:K602" si="184">H606+H614+H612</f>
        <v>0</v>
      </c>
      <c r="I602" s="102">
        <f t="shared" si="184"/>
        <v>0</v>
      </c>
      <c r="J602" s="102">
        <f t="shared" si="184"/>
        <v>0</v>
      </c>
      <c r="K602" s="102">
        <f t="shared" si="184"/>
        <v>0</v>
      </c>
      <c r="L602" s="102">
        <f t="shared" ref="L602" si="185">L606+L614</f>
        <v>1</v>
      </c>
      <c r="M602" s="499"/>
      <c r="N602" s="564"/>
      <c r="O602" s="62"/>
      <c r="AJ602" s="113"/>
      <c r="AK602" s="113"/>
      <c r="AL602" s="113"/>
      <c r="AM602" s="113"/>
      <c r="AN602" s="113"/>
      <c r="AO602" s="113"/>
      <c r="AP602" s="113"/>
      <c r="AQ602" s="113"/>
      <c r="AR602" s="113"/>
      <c r="AS602" s="113"/>
      <c r="AT602" s="113"/>
      <c r="AU602" s="113"/>
      <c r="AV602" s="113"/>
      <c r="AW602" s="113"/>
      <c r="AX602" s="113"/>
      <c r="AY602" s="113"/>
      <c r="AZ602" s="113"/>
      <c r="BA602" s="113"/>
      <c r="BB602" s="113"/>
      <c r="BC602" s="113"/>
      <c r="BD602" s="113"/>
      <c r="BE602" s="113"/>
      <c r="BF602" s="113"/>
      <c r="BG602" s="113"/>
      <c r="BH602" s="113"/>
      <c r="BI602" s="113"/>
    </row>
    <row r="603" spans="1:61" ht="24.6" customHeight="1">
      <c r="A603" s="1083"/>
      <c r="B603" s="62" t="s">
        <v>248</v>
      </c>
      <c r="C603" s="62"/>
      <c r="D603" s="62"/>
      <c r="E603" s="62"/>
      <c r="F603" s="62"/>
      <c r="G603" s="102">
        <f t="shared" ref="G603:L603" si="186">G604+G605</f>
        <v>40000</v>
      </c>
      <c r="H603" s="102">
        <f t="shared" si="186"/>
        <v>0</v>
      </c>
      <c r="I603" s="102">
        <f t="shared" si="186"/>
        <v>0</v>
      </c>
      <c r="J603" s="102">
        <f t="shared" si="186"/>
        <v>0</v>
      </c>
      <c r="K603" s="102">
        <f t="shared" si="186"/>
        <v>40000</v>
      </c>
      <c r="L603" s="102">
        <f t="shared" si="186"/>
        <v>41200</v>
      </c>
      <c r="M603" s="499"/>
      <c r="N603" s="564"/>
      <c r="O603" s="62"/>
    </row>
    <row r="604" spans="1:61" ht="24.6" customHeight="1">
      <c r="A604" s="1083"/>
      <c r="B604" s="62" t="s">
        <v>249</v>
      </c>
      <c r="C604" s="62"/>
      <c r="D604" s="62"/>
      <c r="E604" s="62"/>
      <c r="F604" s="62"/>
      <c r="G604" s="102">
        <f>G608+G615+G613</f>
        <v>40000</v>
      </c>
      <c r="H604" s="102">
        <f t="shared" ref="H604:K604" si="187">H608+H615+H613</f>
        <v>0</v>
      </c>
      <c r="I604" s="102">
        <f t="shared" si="187"/>
        <v>0</v>
      </c>
      <c r="J604" s="102">
        <f t="shared" si="187"/>
        <v>0</v>
      </c>
      <c r="K604" s="102">
        <f t="shared" si="187"/>
        <v>40000</v>
      </c>
      <c r="L604" s="102">
        <f t="shared" ref="L604" si="188">L608+L615</f>
        <v>41200</v>
      </c>
      <c r="M604" s="499"/>
      <c r="N604" s="564"/>
      <c r="O604" s="62"/>
    </row>
    <row r="605" spans="1:61" ht="24" customHeight="1">
      <c r="A605" s="1083"/>
      <c r="B605" s="62" t="s">
        <v>250</v>
      </c>
      <c r="C605" s="62"/>
      <c r="D605" s="62"/>
      <c r="E605" s="62"/>
      <c r="F605" s="62"/>
      <c r="G605" s="102">
        <f t="shared" ref="G605:L605" si="189">G609</f>
        <v>0</v>
      </c>
      <c r="H605" s="102"/>
      <c r="I605" s="102"/>
      <c r="J605" s="102"/>
      <c r="K605" s="102"/>
      <c r="L605" s="102">
        <f t="shared" si="189"/>
        <v>0</v>
      </c>
      <c r="M605" s="499"/>
      <c r="N605" s="564"/>
      <c r="O605" s="62"/>
    </row>
    <row r="606" spans="1:61" ht="24.6" customHeight="1">
      <c r="A606" s="1039" t="s">
        <v>998</v>
      </c>
      <c r="B606" s="564" t="s">
        <v>89</v>
      </c>
      <c r="C606" s="564">
        <v>176</v>
      </c>
      <c r="D606" s="564" t="s">
        <v>15</v>
      </c>
      <c r="E606" s="564">
        <v>6100404</v>
      </c>
      <c r="F606" s="564">
        <v>243</v>
      </c>
      <c r="G606" s="103">
        <f>K606</f>
        <v>0</v>
      </c>
      <c r="H606" s="103"/>
      <c r="I606" s="103"/>
      <c r="J606" s="103"/>
      <c r="K606" s="103"/>
      <c r="L606" s="103">
        <v>1</v>
      </c>
      <c r="M606" s="679"/>
      <c r="N606" s="564"/>
      <c r="O606" s="1037" t="s">
        <v>1010</v>
      </c>
    </row>
    <row r="607" spans="1:61" ht="24.6" customHeight="1">
      <c r="A607" s="1039"/>
      <c r="B607" s="564" t="s">
        <v>237</v>
      </c>
      <c r="C607" s="564"/>
      <c r="D607" s="564"/>
      <c r="E607" s="564"/>
      <c r="F607" s="564"/>
      <c r="G607" s="103">
        <f>G608</f>
        <v>40000</v>
      </c>
      <c r="H607" s="103"/>
      <c r="I607" s="103"/>
      <c r="J607" s="103"/>
      <c r="K607" s="103">
        <v>40000</v>
      </c>
      <c r="L607" s="103">
        <f t="shared" ref="L607" si="190">L608+L609</f>
        <v>41200</v>
      </c>
      <c r="M607" s="679"/>
      <c r="N607" s="564"/>
      <c r="O607" s="1037"/>
    </row>
    <row r="608" spans="1:61" ht="24.6" customHeight="1">
      <c r="A608" s="1039"/>
      <c r="B608" s="564" t="s">
        <v>249</v>
      </c>
      <c r="C608" s="564"/>
      <c r="D608" s="564"/>
      <c r="E608" s="564"/>
      <c r="F608" s="564"/>
      <c r="G608" s="103">
        <f>K608</f>
        <v>40000</v>
      </c>
      <c r="H608" s="103"/>
      <c r="I608" s="103"/>
      <c r="J608" s="103"/>
      <c r="K608" s="103">
        <v>40000</v>
      </c>
      <c r="L608" s="103">
        <v>41200</v>
      </c>
      <c r="M608" s="679"/>
      <c r="N608" s="564"/>
      <c r="O608" s="1037"/>
    </row>
    <row r="609" spans="1:61" ht="24" customHeight="1">
      <c r="A609" s="1039"/>
      <c r="B609" s="564" t="s">
        <v>250</v>
      </c>
      <c r="C609" s="564"/>
      <c r="D609" s="564"/>
      <c r="E609" s="564"/>
      <c r="F609" s="564"/>
      <c r="G609" s="103"/>
      <c r="H609" s="103"/>
      <c r="I609" s="103"/>
      <c r="J609" s="103"/>
      <c r="K609" s="103"/>
      <c r="L609" s="103"/>
      <c r="M609" s="679"/>
      <c r="N609" s="564"/>
      <c r="O609" s="1037"/>
    </row>
    <row r="610" spans="1:61" ht="24.6" hidden="1" customHeight="1">
      <c r="A610" s="1081" t="s">
        <v>120</v>
      </c>
      <c r="B610" s="564" t="s">
        <v>89</v>
      </c>
      <c r="C610" s="564">
        <v>176</v>
      </c>
      <c r="D610" s="564" t="s">
        <v>15</v>
      </c>
      <c r="E610" s="564">
        <v>6100404</v>
      </c>
      <c r="F610" s="564">
        <v>243</v>
      </c>
      <c r="G610" s="103"/>
      <c r="H610" s="103"/>
      <c r="I610" s="103"/>
      <c r="J610" s="103"/>
      <c r="K610" s="103"/>
      <c r="L610" s="103"/>
      <c r="M610" s="679"/>
      <c r="N610" s="564"/>
      <c r="O610" s="1037" t="s">
        <v>37</v>
      </c>
    </row>
    <row r="611" spans="1:61" ht="24.6" hidden="1" customHeight="1">
      <c r="A611" s="1081"/>
      <c r="B611" s="564" t="s">
        <v>248</v>
      </c>
      <c r="C611" s="564"/>
      <c r="D611" s="564"/>
      <c r="E611" s="564"/>
      <c r="F611" s="564"/>
      <c r="G611" s="103"/>
      <c r="H611" s="103"/>
      <c r="I611" s="103"/>
      <c r="J611" s="103"/>
      <c r="K611" s="103"/>
      <c r="L611" s="103"/>
      <c r="M611" s="679"/>
      <c r="N611" s="564"/>
      <c r="O611" s="1037"/>
    </row>
    <row r="612" spans="1:61" ht="23.45" hidden="1" customHeight="1">
      <c r="A612" s="1081" t="s">
        <v>322</v>
      </c>
      <c r="B612" s="564" t="s">
        <v>89</v>
      </c>
      <c r="C612" s="564">
        <v>176</v>
      </c>
      <c r="D612" s="564" t="s">
        <v>15</v>
      </c>
      <c r="E612" s="564">
        <v>6100404</v>
      </c>
      <c r="F612" s="564">
        <v>243</v>
      </c>
      <c r="G612" s="103">
        <f>J612</f>
        <v>0</v>
      </c>
      <c r="H612" s="103"/>
      <c r="I612" s="103"/>
      <c r="J612" s="103"/>
      <c r="K612" s="103"/>
      <c r="L612" s="103"/>
      <c r="M612" s="679"/>
      <c r="N612" s="564"/>
      <c r="O612" s="1037" t="s">
        <v>282</v>
      </c>
    </row>
    <row r="613" spans="1:61" s="45" customFormat="1" ht="24.6" hidden="1" customHeight="1">
      <c r="A613" s="1081"/>
      <c r="B613" s="564" t="s">
        <v>248</v>
      </c>
      <c r="C613" s="564"/>
      <c r="D613" s="564"/>
      <c r="E613" s="564"/>
      <c r="F613" s="564"/>
      <c r="G613" s="103">
        <f>J613</f>
        <v>0</v>
      </c>
      <c r="H613" s="103"/>
      <c r="I613" s="103"/>
      <c r="J613" s="103"/>
      <c r="K613" s="103"/>
      <c r="L613" s="103"/>
      <c r="M613" s="679"/>
      <c r="N613" s="564"/>
      <c r="O613" s="1037"/>
      <c r="AJ613" s="113"/>
      <c r="AK613" s="113"/>
      <c r="AL613" s="113"/>
      <c r="AM613" s="113"/>
      <c r="AN613" s="113"/>
      <c r="AO613" s="113"/>
      <c r="AP613" s="113"/>
      <c r="AQ613" s="113"/>
      <c r="AR613" s="113"/>
      <c r="AS613" s="113"/>
      <c r="AT613" s="113"/>
      <c r="AU613" s="113"/>
      <c r="AV613" s="113"/>
      <c r="AW613" s="113"/>
      <c r="AX613" s="113"/>
      <c r="AY613" s="113"/>
      <c r="AZ613" s="113"/>
      <c r="BA613" s="113"/>
      <c r="BB613" s="113"/>
      <c r="BC613" s="113"/>
      <c r="BD613" s="113"/>
      <c r="BE613" s="113"/>
      <c r="BF613" s="113"/>
      <c r="BG613" s="113"/>
      <c r="BH613" s="113"/>
      <c r="BI613" s="113"/>
    </row>
    <row r="614" spans="1:61" s="45" customFormat="1" ht="24.6" hidden="1" customHeight="1">
      <c r="A614" s="1081" t="s">
        <v>111</v>
      </c>
      <c r="B614" s="564" t="s">
        <v>89</v>
      </c>
      <c r="C614" s="564">
        <v>176</v>
      </c>
      <c r="D614" s="564" t="s">
        <v>15</v>
      </c>
      <c r="E614" s="564">
        <v>6100404</v>
      </c>
      <c r="F614" s="564">
        <v>243</v>
      </c>
      <c r="G614" s="103"/>
      <c r="H614" s="103"/>
      <c r="I614" s="103"/>
      <c r="J614" s="103"/>
      <c r="K614" s="103"/>
      <c r="L614" s="103"/>
      <c r="M614" s="679"/>
      <c r="N614" s="564"/>
      <c r="O614" s="1037" t="s">
        <v>111</v>
      </c>
      <c r="AJ614" s="113"/>
      <c r="AK614" s="113"/>
      <c r="AL614" s="113"/>
      <c r="AM614" s="113"/>
      <c r="AN614" s="113"/>
      <c r="AO614" s="113"/>
      <c r="AP614" s="113"/>
      <c r="AQ614" s="113"/>
      <c r="AR614" s="113"/>
      <c r="AS614" s="113"/>
      <c r="AT614" s="113"/>
      <c r="AU614" s="113"/>
      <c r="AV614" s="113"/>
      <c r="AW614" s="113"/>
      <c r="AX614" s="113"/>
      <c r="AY614" s="113"/>
      <c r="AZ614" s="113"/>
      <c r="BA614" s="113"/>
      <c r="BB614" s="113"/>
      <c r="BC614" s="113"/>
      <c r="BD614" s="113"/>
      <c r="BE614" s="113"/>
      <c r="BF614" s="113"/>
      <c r="BG614" s="113"/>
      <c r="BH614" s="113"/>
      <c r="BI614" s="113"/>
    </row>
    <row r="615" spans="1:61" ht="24.6" hidden="1" customHeight="1">
      <c r="A615" s="1081"/>
      <c r="B615" s="564" t="s">
        <v>248</v>
      </c>
      <c r="C615" s="564"/>
      <c r="D615" s="564"/>
      <c r="E615" s="564"/>
      <c r="F615" s="564"/>
      <c r="G615" s="103"/>
      <c r="H615" s="103"/>
      <c r="I615" s="103"/>
      <c r="J615" s="103"/>
      <c r="K615" s="103"/>
      <c r="L615" s="103"/>
      <c r="M615" s="679"/>
      <c r="N615" s="564"/>
      <c r="O615" s="1037"/>
    </row>
    <row r="616" spans="1:61" ht="24.6" customHeight="1">
      <c r="A616" s="1038" t="s">
        <v>124</v>
      </c>
      <c r="B616" s="62" t="s">
        <v>744</v>
      </c>
      <c r="C616" s="62"/>
      <c r="D616" s="62"/>
      <c r="E616" s="62"/>
      <c r="F616" s="62"/>
      <c r="G616" s="102">
        <f>G622+G626</f>
        <v>2</v>
      </c>
      <c r="H616" s="102">
        <f t="shared" ref="H616:K616" si="191">H622+H626</f>
        <v>0</v>
      </c>
      <c r="I616" s="102">
        <f t="shared" si="191"/>
        <v>0</v>
      </c>
      <c r="J616" s="102">
        <f t="shared" si="191"/>
        <v>0</v>
      </c>
      <c r="K616" s="102">
        <f t="shared" si="191"/>
        <v>2</v>
      </c>
      <c r="L616" s="102">
        <f t="shared" ref="L616:M616" si="192">L620+L622</f>
        <v>0</v>
      </c>
      <c r="M616" s="499">
        <f t="shared" si="192"/>
        <v>0</v>
      </c>
      <c r="N616" s="564"/>
      <c r="O616" s="62"/>
    </row>
    <row r="617" spans="1:61" ht="21" customHeight="1">
      <c r="A617" s="1038"/>
      <c r="B617" s="62" t="s">
        <v>446</v>
      </c>
      <c r="C617" s="62"/>
      <c r="D617" s="62"/>
      <c r="E617" s="62"/>
      <c r="F617" s="62"/>
      <c r="G617" s="102">
        <f>G618</f>
        <v>26000</v>
      </c>
      <c r="H617" s="102">
        <f t="shared" ref="H617:K617" si="193">H618</f>
        <v>0</v>
      </c>
      <c r="I617" s="102">
        <f t="shared" si="193"/>
        <v>0</v>
      </c>
      <c r="J617" s="102">
        <f t="shared" si="193"/>
        <v>0</v>
      </c>
      <c r="K617" s="102">
        <f t="shared" si="193"/>
        <v>26000</v>
      </c>
      <c r="L617" s="102"/>
      <c r="M617" s="499"/>
      <c r="N617" s="564"/>
      <c r="O617" s="62"/>
    </row>
    <row r="618" spans="1:61" ht="20.25" customHeight="1">
      <c r="A618" s="1038"/>
      <c r="B618" s="62" t="s">
        <v>249</v>
      </c>
      <c r="C618" s="62"/>
      <c r="D618" s="62"/>
      <c r="E618" s="62"/>
      <c r="F618" s="62"/>
      <c r="G618" s="102">
        <f t="shared" ref="G618:G619" si="194">K618</f>
        <v>26000</v>
      </c>
      <c r="H618" s="102"/>
      <c r="I618" s="102"/>
      <c r="J618" s="102">
        <f>J624</f>
        <v>0</v>
      </c>
      <c r="K618" s="102">
        <f>K624+K627</f>
        <v>26000</v>
      </c>
      <c r="L618" s="102"/>
      <c r="M618" s="499"/>
      <c r="N618" s="564"/>
      <c r="O618" s="62"/>
    </row>
    <row r="619" spans="1:61" ht="24.6" customHeight="1">
      <c r="A619" s="1038"/>
      <c r="B619" s="62" t="s">
        <v>502</v>
      </c>
      <c r="C619" s="62"/>
      <c r="D619" s="62"/>
      <c r="E619" s="62"/>
      <c r="F619" s="62"/>
      <c r="G619" s="102">
        <f t="shared" si="194"/>
        <v>0</v>
      </c>
      <c r="H619" s="102">
        <f t="shared" ref="H619:M619" si="195">H621+H629+H625</f>
        <v>0</v>
      </c>
      <c r="I619" s="102">
        <f t="shared" si="195"/>
        <v>0</v>
      </c>
      <c r="J619" s="102">
        <f>J625</f>
        <v>0</v>
      </c>
      <c r="K619" s="102">
        <f t="shared" si="195"/>
        <v>0</v>
      </c>
      <c r="L619" s="102">
        <f t="shared" si="195"/>
        <v>0</v>
      </c>
      <c r="M619" s="499">
        <f t="shared" si="195"/>
        <v>0</v>
      </c>
      <c r="N619" s="564"/>
      <c r="O619" s="62"/>
    </row>
    <row r="620" spans="1:61" ht="22.9" hidden="1" customHeight="1">
      <c r="A620" s="1039" t="s">
        <v>111</v>
      </c>
      <c r="B620" s="564" t="s">
        <v>89</v>
      </c>
      <c r="C620" s="564">
        <v>176</v>
      </c>
      <c r="D620" s="564" t="s">
        <v>15</v>
      </c>
      <c r="E620" s="564">
        <v>6100404</v>
      </c>
      <c r="F620" s="564">
        <v>243</v>
      </c>
      <c r="G620" s="103"/>
      <c r="H620" s="103"/>
      <c r="I620" s="103"/>
      <c r="J620" s="103"/>
      <c r="K620" s="103"/>
      <c r="L620" s="103"/>
      <c r="M620" s="679"/>
      <c r="N620" s="564"/>
      <c r="O620" s="1037" t="s">
        <v>111</v>
      </c>
    </row>
    <row r="621" spans="1:61" ht="24.6" hidden="1" customHeight="1">
      <c r="A621" s="1039"/>
      <c r="B621" s="564" t="s">
        <v>248</v>
      </c>
      <c r="C621" s="564"/>
      <c r="D621" s="564"/>
      <c r="E621" s="564"/>
      <c r="F621" s="564"/>
      <c r="G621" s="103">
        <f>J621</f>
        <v>0</v>
      </c>
      <c r="H621" s="103"/>
      <c r="I621" s="103"/>
      <c r="J621" s="103"/>
      <c r="K621" s="103"/>
      <c r="L621" s="103"/>
      <c r="M621" s="679"/>
      <c r="N621" s="564"/>
      <c r="O621" s="1037"/>
    </row>
    <row r="622" spans="1:61" ht="20.25" customHeight="1">
      <c r="A622" s="1028" t="s">
        <v>945</v>
      </c>
      <c r="B622" s="564" t="s">
        <v>744</v>
      </c>
      <c r="C622" s="564">
        <v>176</v>
      </c>
      <c r="D622" s="564" t="s">
        <v>15</v>
      </c>
      <c r="E622" s="564">
        <v>6100404</v>
      </c>
      <c r="F622" s="564">
        <v>243</v>
      </c>
      <c r="G622" s="103">
        <f>K622</f>
        <v>1</v>
      </c>
      <c r="H622" s="103"/>
      <c r="I622" s="103"/>
      <c r="J622" s="103"/>
      <c r="K622" s="103">
        <v>1</v>
      </c>
      <c r="L622" s="298"/>
      <c r="M622" s="695"/>
      <c r="N622" s="564"/>
      <c r="O622" s="1037" t="s">
        <v>952</v>
      </c>
    </row>
    <row r="623" spans="1:61" ht="21" customHeight="1">
      <c r="A623" s="1036"/>
      <c r="B623" s="564" t="s">
        <v>446</v>
      </c>
      <c r="C623" s="564"/>
      <c r="D623" s="564"/>
      <c r="E623" s="564"/>
      <c r="F623" s="564"/>
      <c r="G623" s="103">
        <f t="shared" ref="G623:G627" si="196">K623</f>
        <v>10000</v>
      </c>
      <c r="H623" s="103"/>
      <c r="I623" s="103"/>
      <c r="J623" s="103">
        <f>J624+J625</f>
        <v>0</v>
      </c>
      <c r="K623" s="103">
        <f>K624</f>
        <v>10000</v>
      </c>
      <c r="L623" s="298"/>
      <c r="M623" s="695"/>
      <c r="N623" s="564"/>
      <c r="O623" s="1037"/>
    </row>
    <row r="624" spans="1:61" ht="23.25" customHeight="1">
      <c r="A624" s="1036"/>
      <c r="B624" s="564" t="s">
        <v>249</v>
      </c>
      <c r="C624" s="564"/>
      <c r="D624" s="564"/>
      <c r="E624" s="564"/>
      <c r="F624" s="564"/>
      <c r="G624" s="103">
        <f t="shared" si="196"/>
        <v>10000</v>
      </c>
      <c r="H624" s="103"/>
      <c r="I624" s="103"/>
      <c r="J624" s="103"/>
      <c r="K624" s="103">
        <v>10000</v>
      </c>
      <c r="L624" s="298"/>
      <c r="M624" s="695"/>
      <c r="N624" s="564"/>
      <c r="O624" s="1037"/>
    </row>
    <row r="625" spans="1:61" ht="23.45" hidden="1" customHeight="1">
      <c r="A625" s="1029"/>
      <c r="B625" s="564" t="s">
        <v>502</v>
      </c>
      <c r="C625" s="564"/>
      <c r="D625" s="564"/>
      <c r="E625" s="564"/>
      <c r="F625" s="564"/>
      <c r="G625" s="103">
        <f t="shared" si="196"/>
        <v>0</v>
      </c>
      <c r="H625" s="103"/>
      <c r="I625" s="103"/>
      <c r="J625" s="103"/>
      <c r="K625" s="103"/>
      <c r="L625" s="103"/>
      <c r="M625" s="679"/>
      <c r="N625" s="564"/>
      <c r="O625" s="1037"/>
    </row>
    <row r="626" spans="1:61" ht="24.6" customHeight="1">
      <c r="A626" s="1028" t="s">
        <v>182</v>
      </c>
      <c r="B626" s="564" t="s">
        <v>89</v>
      </c>
      <c r="C626" s="564">
        <v>176</v>
      </c>
      <c r="D626" s="564" t="s">
        <v>15</v>
      </c>
      <c r="E626" s="564">
        <v>6100404</v>
      </c>
      <c r="F626" s="564">
        <v>243</v>
      </c>
      <c r="G626" s="103">
        <f t="shared" si="196"/>
        <v>1</v>
      </c>
      <c r="H626" s="103"/>
      <c r="I626" s="103"/>
      <c r="J626" s="103"/>
      <c r="K626" s="103">
        <v>1</v>
      </c>
      <c r="L626" s="103"/>
      <c r="M626" s="679"/>
      <c r="N626" s="564"/>
      <c r="O626" s="1030" t="s">
        <v>226</v>
      </c>
    </row>
    <row r="627" spans="1:61" ht="25.5" customHeight="1">
      <c r="A627" s="1029"/>
      <c r="B627" s="564" t="s">
        <v>248</v>
      </c>
      <c r="C627" s="564"/>
      <c r="D627" s="564"/>
      <c r="E627" s="564"/>
      <c r="F627" s="564"/>
      <c r="G627" s="103">
        <f t="shared" si="196"/>
        <v>16000</v>
      </c>
      <c r="H627" s="103"/>
      <c r="I627" s="103"/>
      <c r="J627" s="103"/>
      <c r="K627" s="103">
        <v>16000</v>
      </c>
      <c r="L627" s="103"/>
      <c r="M627" s="679"/>
      <c r="N627" s="564"/>
      <c r="O627" s="1031"/>
    </row>
    <row r="628" spans="1:61" ht="33.75" hidden="1" customHeight="1">
      <c r="A628" s="1028" t="s">
        <v>185</v>
      </c>
      <c r="B628" s="564" t="s">
        <v>89</v>
      </c>
      <c r="C628" s="564">
        <v>176</v>
      </c>
      <c r="D628" s="564" t="s">
        <v>15</v>
      </c>
      <c r="E628" s="564">
        <v>6100404</v>
      </c>
      <c r="F628" s="564">
        <v>243</v>
      </c>
      <c r="G628" s="103">
        <v>0</v>
      </c>
      <c r="H628" s="103"/>
      <c r="I628" s="103"/>
      <c r="J628" s="103"/>
      <c r="K628" s="103"/>
      <c r="L628" s="103"/>
      <c r="M628" s="679"/>
      <c r="N628" s="564"/>
      <c r="O628" s="1037" t="s">
        <v>231</v>
      </c>
    </row>
    <row r="629" spans="1:61" s="45" customFormat="1" ht="24.6" hidden="1" customHeight="1">
      <c r="A629" s="1029"/>
      <c r="B629" s="564" t="s">
        <v>248</v>
      </c>
      <c r="C629" s="564"/>
      <c r="D629" s="564"/>
      <c r="E629" s="564"/>
      <c r="F629" s="564"/>
      <c r="G629" s="103"/>
      <c r="H629" s="103"/>
      <c r="I629" s="103"/>
      <c r="J629" s="103"/>
      <c r="K629" s="103"/>
      <c r="L629" s="103"/>
      <c r="M629" s="679"/>
      <c r="N629" s="564"/>
      <c r="O629" s="1037"/>
      <c r="AJ629" s="113"/>
      <c r="AK629" s="113"/>
      <c r="AL629" s="113"/>
      <c r="AM629" s="113"/>
      <c r="AN629" s="113"/>
      <c r="AO629" s="113"/>
      <c r="AP629" s="113"/>
      <c r="AQ629" s="113"/>
      <c r="AR629" s="113"/>
      <c r="AS629" s="113"/>
      <c r="AT629" s="113"/>
      <c r="AU629" s="113"/>
      <c r="AV629" s="113"/>
      <c r="AW629" s="113"/>
      <c r="AX629" s="113"/>
      <c r="AY629" s="113"/>
      <c r="AZ629" s="113"/>
      <c r="BA629" s="113"/>
      <c r="BB629" s="113"/>
      <c r="BC629" s="113"/>
      <c r="BD629" s="113"/>
      <c r="BE629" s="113"/>
      <c r="BF629" s="113"/>
      <c r="BG629" s="113"/>
      <c r="BH629" s="113"/>
      <c r="BI629" s="113"/>
    </row>
    <row r="630" spans="1:61" s="45" customFormat="1" ht="24.6" hidden="1" customHeight="1">
      <c r="A630" s="1028" t="s">
        <v>183</v>
      </c>
      <c r="B630" s="564" t="s">
        <v>89</v>
      </c>
      <c r="C630" s="564">
        <v>176</v>
      </c>
      <c r="D630" s="564" t="s">
        <v>15</v>
      </c>
      <c r="E630" s="564">
        <v>6100404</v>
      </c>
      <c r="F630" s="564">
        <v>243</v>
      </c>
      <c r="G630" s="103">
        <v>0</v>
      </c>
      <c r="H630" s="103"/>
      <c r="I630" s="103"/>
      <c r="J630" s="103"/>
      <c r="K630" s="103"/>
      <c r="L630" s="103"/>
      <c r="M630" s="679"/>
      <c r="N630" s="564"/>
      <c r="O630" s="564" t="s">
        <v>31</v>
      </c>
      <c r="AJ630" s="113"/>
      <c r="AK630" s="113"/>
      <c r="AL630" s="113"/>
      <c r="AM630" s="113"/>
      <c r="AN630" s="113"/>
      <c r="AO630" s="113"/>
      <c r="AP630" s="113"/>
      <c r="AQ630" s="113"/>
      <c r="AR630" s="113"/>
      <c r="AS630" s="113"/>
      <c r="AT630" s="113"/>
      <c r="AU630" s="113"/>
      <c r="AV630" s="113"/>
      <c r="AW630" s="113"/>
      <c r="AX630" s="113"/>
      <c r="AY630" s="113"/>
      <c r="AZ630" s="113"/>
      <c r="BA630" s="113"/>
      <c r="BB630" s="113"/>
      <c r="BC630" s="113"/>
      <c r="BD630" s="113"/>
      <c r="BE630" s="113"/>
      <c r="BF630" s="113"/>
      <c r="BG630" s="113"/>
      <c r="BH630" s="113"/>
      <c r="BI630" s="113"/>
    </row>
    <row r="631" spans="1:61" ht="24.6" hidden="1" customHeight="1">
      <c r="A631" s="1029"/>
      <c r="B631" s="564" t="s">
        <v>248</v>
      </c>
      <c r="C631" s="564"/>
      <c r="D631" s="564"/>
      <c r="E631" s="564"/>
      <c r="F631" s="564"/>
      <c r="G631" s="103"/>
      <c r="H631" s="103"/>
      <c r="I631" s="103"/>
      <c r="J631" s="103"/>
      <c r="K631" s="103"/>
      <c r="L631" s="103"/>
      <c r="M631" s="679"/>
      <c r="N631" s="564"/>
      <c r="O631" s="564"/>
      <c r="V631" s="44">
        <v>34.700000000000003</v>
      </c>
    </row>
    <row r="632" spans="1:61" ht="24.95" hidden="1" customHeight="1">
      <c r="A632" s="1038" t="s">
        <v>122</v>
      </c>
      <c r="B632" s="62" t="s">
        <v>744</v>
      </c>
      <c r="C632" s="62"/>
      <c r="D632" s="62"/>
      <c r="E632" s="62"/>
      <c r="F632" s="62"/>
      <c r="G632" s="137">
        <f>G636+G644+G648</f>
        <v>4.8000000000000001E-2</v>
      </c>
      <c r="H632" s="137">
        <f t="shared" ref="H632:K632" si="197">H636+H644+H648</f>
        <v>0</v>
      </c>
      <c r="I632" s="137">
        <f t="shared" si="197"/>
        <v>0</v>
      </c>
      <c r="J632" s="137">
        <f t="shared" si="197"/>
        <v>0</v>
      </c>
      <c r="K632" s="137">
        <f t="shared" si="197"/>
        <v>4.8000000000000001E-2</v>
      </c>
      <c r="L632" s="137">
        <f t="shared" ref="L632:M632" si="198">L636+L638+L642+L644+L648</f>
        <v>0</v>
      </c>
      <c r="M632" s="696">
        <f t="shared" si="198"/>
        <v>0</v>
      </c>
      <c r="N632" s="564"/>
      <c r="O632" s="62"/>
    </row>
    <row r="633" spans="1:61" ht="24.95" hidden="1" customHeight="1">
      <c r="A633" s="1038"/>
      <c r="B633" s="62" t="s">
        <v>446</v>
      </c>
      <c r="C633" s="62"/>
      <c r="D633" s="62"/>
      <c r="E633" s="62"/>
      <c r="F633" s="62"/>
      <c r="G633" s="102">
        <f>K633</f>
        <v>0</v>
      </c>
      <c r="H633" s="102"/>
      <c r="I633" s="102"/>
      <c r="J633" s="102"/>
      <c r="K633" s="102">
        <f>K634+K635</f>
        <v>0</v>
      </c>
      <c r="L633" s="137"/>
      <c r="M633" s="696"/>
      <c r="N633" s="564"/>
      <c r="O633" s="62"/>
    </row>
    <row r="634" spans="1:61" ht="24.95" hidden="1" customHeight="1">
      <c r="A634" s="1038"/>
      <c r="B634" s="62" t="s">
        <v>249</v>
      </c>
      <c r="C634" s="62"/>
      <c r="D634" s="62"/>
      <c r="E634" s="62"/>
      <c r="F634" s="62"/>
      <c r="G634" s="102">
        <f>K634</f>
        <v>0</v>
      </c>
      <c r="H634" s="102"/>
      <c r="I634" s="102"/>
      <c r="J634" s="102"/>
      <c r="K634" s="102">
        <f>K646</f>
        <v>0</v>
      </c>
      <c r="L634" s="137"/>
      <c r="M634" s="696"/>
      <c r="N634" s="564"/>
      <c r="O634" s="62"/>
    </row>
    <row r="635" spans="1:61" ht="21.75" hidden="1" customHeight="1">
      <c r="A635" s="1038"/>
      <c r="B635" s="62" t="s">
        <v>502</v>
      </c>
      <c r="C635" s="62"/>
      <c r="D635" s="62"/>
      <c r="E635" s="62"/>
      <c r="F635" s="62"/>
      <c r="G635" s="102">
        <f>G637+G639+G643+G647+G649</f>
        <v>0</v>
      </c>
      <c r="H635" s="102">
        <f t="shared" ref="H635:J635" si="199">H637+H639+H643+H647+H649</f>
        <v>0</v>
      </c>
      <c r="I635" s="102">
        <f t="shared" si="199"/>
        <v>0</v>
      </c>
      <c r="J635" s="102">
        <f t="shared" si="199"/>
        <v>0</v>
      </c>
      <c r="K635" s="102">
        <f>K647</f>
        <v>0</v>
      </c>
      <c r="L635" s="102">
        <f t="shared" ref="L635:M635" si="200">L637+L639+L643+L647+L649</f>
        <v>0</v>
      </c>
      <c r="M635" s="499">
        <f t="shared" si="200"/>
        <v>0</v>
      </c>
      <c r="N635" s="564"/>
      <c r="O635" s="62"/>
      <c r="V635" s="44">
        <v>37</v>
      </c>
    </row>
    <row r="636" spans="1:61" ht="23.45" hidden="1" customHeight="1">
      <c r="A636" s="1039" t="s">
        <v>121</v>
      </c>
      <c r="B636" s="564" t="s">
        <v>89</v>
      </c>
      <c r="C636" s="564">
        <v>176</v>
      </c>
      <c r="D636" s="564" t="s">
        <v>15</v>
      </c>
      <c r="E636" s="564">
        <v>6100404</v>
      </c>
      <c r="F636" s="564">
        <v>243</v>
      </c>
      <c r="G636" s="103">
        <v>4.8000000000000001E-2</v>
      </c>
      <c r="H636" s="103"/>
      <c r="I636" s="103"/>
      <c r="J636" s="103"/>
      <c r="K636" s="103">
        <v>4.8000000000000001E-2</v>
      </c>
      <c r="L636" s="103"/>
      <c r="M636" s="679"/>
      <c r="N636" s="564"/>
      <c r="O636" s="1037" t="s">
        <v>452</v>
      </c>
    </row>
    <row r="637" spans="1:61" ht="24.6" hidden="1" customHeight="1">
      <c r="A637" s="1039"/>
      <c r="B637" s="564" t="s">
        <v>248</v>
      </c>
      <c r="C637" s="564"/>
      <c r="D637" s="564"/>
      <c r="E637" s="564"/>
      <c r="F637" s="564"/>
      <c r="G637" s="103"/>
      <c r="H637" s="103"/>
      <c r="I637" s="103"/>
      <c r="J637" s="103"/>
      <c r="K637" s="103"/>
      <c r="L637" s="103"/>
      <c r="M637" s="679"/>
      <c r="N637" s="564"/>
      <c r="O637" s="1037"/>
    </row>
    <row r="638" spans="1:61" ht="24.6" hidden="1" customHeight="1">
      <c r="A638" s="1039" t="s">
        <v>177</v>
      </c>
      <c r="B638" s="564" t="s">
        <v>89</v>
      </c>
      <c r="C638" s="564">
        <v>176</v>
      </c>
      <c r="D638" s="564" t="s">
        <v>15</v>
      </c>
      <c r="E638" s="564">
        <v>6100404</v>
      </c>
      <c r="F638" s="564">
        <v>243</v>
      </c>
      <c r="G638" s="103"/>
      <c r="H638" s="103"/>
      <c r="I638" s="103"/>
      <c r="J638" s="103"/>
      <c r="K638" s="103"/>
      <c r="L638" s="103"/>
      <c r="M638" s="679"/>
      <c r="N638" s="564"/>
      <c r="O638" s="1037" t="s">
        <v>512</v>
      </c>
    </row>
    <row r="639" spans="1:61" ht="24" hidden="1" customHeight="1">
      <c r="A639" s="1039"/>
      <c r="B639" s="564" t="s">
        <v>248</v>
      </c>
      <c r="C639" s="564"/>
      <c r="D639" s="564"/>
      <c r="E639" s="564"/>
      <c r="F639" s="564"/>
      <c r="G639" s="103">
        <f>H639+I639+J639</f>
        <v>0</v>
      </c>
      <c r="H639" s="103"/>
      <c r="I639" s="103"/>
      <c r="J639" s="103"/>
      <c r="K639" s="103"/>
      <c r="L639" s="103"/>
      <c r="M639" s="679"/>
      <c r="N639" s="564"/>
      <c r="O639" s="1037"/>
    </row>
    <row r="640" spans="1:61" ht="0.6" hidden="1" customHeight="1">
      <c r="A640" s="563" t="s">
        <v>178</v>
      </c>
      <c r="B640" s="564" t="s">
        <v>89</v>
      </c>
      <c r="C640" s="564">
        <v>176</v>
      </c>
      <c r="D640" s="564" t="s">
        <v>15</v>
      </c>
      <c r="E640" s="564">
        <v>6100404</v>
      </c>
      <c r="F640" s="564">
        <v>243</v>
      </c>
      <c r="G640" s="103"/>
      <c r="H640" s="103"/>
      <c r="I640" s="103"/>
      <c r="J640" s="103"/>
      <c r="K640" s="103"/>
      <c r="L640" s="103"/>
      <c r="M640" s="679"/>
      <c r="N640" s="564"/>
      <c r="O640" s="564" t="s">
        <v>225</v>
      </c>
    </row>
    <row r="641" spans="1:61" ht="24.6" hidden="1" customHeight="1">
      <c r="A641" s="1028" t="s">
        <v>179</v>
      </c>
      <c r="B641" s="564" t="s">
        <v>248</v>
      </c>
      <c r="C641" s="564"/>
      <c r="D641" s="564"/>
      <c r="E641" s="564"/>
      <c r="F641" s="564"/>
      <c r="G641" s="103"/>
      <c r="H641" s="103"/>
      <c r="I641" s="103"/>
      <c r="J641" s="103"/>
      <c r="K641" s="103"/>
      <c r="L641" s="103"/>
      <c r="M641" s="679"/>
      <c r="N641" s="564"/>
      <c r="O641" s="564"/>
    </row>
    <row r="642" spans="1:61" ht="24.95" hidden="1" customHeight="1">
      <c r="A642" s="1036"/>
      <c r="B642" s="564" t="s">
        <v>89</v>
      </c>
      <c r="C642" s="564">
        <v>176</v>
      </c>
      <c r="D642" s="564" t="s">
        <v>15</v>
      </c>
      <c r="E642" s="564">
        <v>6100404</v>
      </c>
      <c r="F642" s="564">
        <v>243</v>
      </c>
      <c r="G642" s="103"/>
      <c r="H642" s="103"/>
      <c r="I642" s="103"/>
      <c r="J642" s="103"/>
      <c r="K642" s="103"/>
      <c r="L642" s="103"/>
      <c r="M642" s="679"/>
      <c r="N642" s="564"/>
      <c r="O642" s="1037" t="s">
        <v>513</v>
      </c>
    </row>
    <row r="643" spans="1:61" s="45" customFormat="1" ht="24.6" hidden="1" customHeight="1">
      <c r="A643" s="1029"/>
      <c r="B643" s="564" t="s">
        <v>248</v>
      </c>
      <c r="C643" s="564"/>
      <c r="D643" s="564"/>
      <c r="E643" s="564"/>
      <c r="F643" s="564"/>
      <c r="G643" s="103">
        <f>J643+K643</f>
        <v>0</v>
      </c>
      <c r="H643" s="103"/>
      <c r="I643" s="103"/>
      <c r="J643" s="103"/>
      <c r="K643" s="103"/>
      <c r="L643" s="103"/>
      <c r="M643" s="679"/>
      <c r="N643" s="564"/>
      <c r="O643" s="1037"/>
      <c r="AJ643" s="113"/>
      <c r="AK643" s="113"/>
      <c r="AL643" s="113"/>
      <c r="AM643" s="113"/>
      <c r="AN643" s="113"/>
      <c r="AO643" s="113"/>
      <c r="AP643" s="113"/>
      <c r="AQ643" s="113"/>
      <c r="AR643" s="113"/>
      <c r="AS643" s="113"/>
      <c r="AT643" s="113"/>
      <c r="AU643" s="113"/>
      <c r="AV643" s="113"/>
      <c r="AW643" s="113"/>
      <c r="AX643" s="113"/>
      <c r="AY643" s="113"/>
      <c r="AZ643" s="113"/>
      <c r="BA643" s="113"/>
      <c r="BB643" s="113"/>
      <c r="BC643" s="113"/>
      <c r="BD643" s="113"/>
      <c r="BE643" s="113"/>
      <c r="BF643" s="113"/>
      <c r="BG643" s="113"/>
      <c r="BH643" s="113"/>
      <c r="BI643" s="113"/>
    </row>
    <row r="644" spans="1:61" s="45" customFormat="1" ht="24.6" hidden="1" customHeight="1">
      <c r="A644" s="1028" t="s">
        <v>314</v>
      </c>
      <c r="B644" s="564" t="s">
        <v>744</v>
      </c>
      <c r="C644" s="564"/>
      <c r="D644" s="564"/>
      <c r="E644" s="564"/>
      <c r="F644" s="564"/>
      <c r="G644" s="103">
        <f>K644</f>
        <v>0</v>
      </c>
      <c r="H644" s="103"/>
      <c r="I644" s="103"/>
      <c r="J644" s="103"/>
      <c r="K644" s="103"/>
      <c r="L644" s="103"/>
      <c r="M644" s="679"/>
      <c r="N644" s="564"/>
      <c r="O644" s="1037" t="s">
        <v>749</v>
      </c>
      <c r="AJ644" s="113"/>
      <c r="AK644" s="113"/>
      <c r="AL644" s="113"/>
      <c r="AM644" s="113"/>
      <c r="AN644" s="113"/>
      <c r="AO644" s="113"/>
      <c r="AP644" s="113"/>
      <c r="AQ644" s="113"/>
      <c r="AR644" s="113"/>
      <c r="AS644" s="113"/>
      <c r="AT644" s="113"/>
      <c r="AU644" s="113"/>
      <c r="AV644" s="113"/>
      <c r="AW644" s="113"/>
      <c r="AX644" s="113"/>
      <c r="AY644" s="113"/>
      <c r="AZ644" s="113"/>
      <c r="BA644" s="113"/>
      <c r="BB644" s="113"/>
      <c r="BC644" s="113"/>
      <c r="BD644" s="113"/>
      <c r="BE644" s="113"/>
      <c r="BF644" s="113"/>
      <c r="BG644" s="113"/>
      <c r="BH644" s="113"/>
      <c r="BI644" s="113"/>
    </row>
    <row r="645" spans="1:61" s="45" customFormat="1" ht="24.6" hidden="1" customHeight="1">
      <c r="A645" s="1036"/>
      <c r="B645" s="564" t="s">
        <v>446</v>
      </c>
      <c r="C645" s="564"/>
      <c r="D645" s="564"/>
      <c r="E645" s="564"/>
      <c r="F645" s="564"/>
      <c r="G645" s="103">
        <f>K645</f>
        <v>0</v>
      </c>
      <c r="H645" s="103"/>
      <c r="I645" s="103"/>
      <c r="J645" s="103"/>
      <c r="K645" s="103">
        <f>K646+K647</f>
        <v>0</v>
      </c>
      <c r="L645" s="103"/>
      <c r="M645" s="679"/>
      <c r="N645" s="564"/>
      <c r="O645" s="1037"/>
      <c r="AJ645" s="113"/>
      <c r="AK645" s="113"/>
      <c r="AL645" s="113"/>
      <c r="AM645" s="113"/>
      <c r="AN645" s="113"/>
      <c r="AO645" s="113"/>
      <c r="AP645" s="113"/>
      <c r="AQ645" s="113"/>
      <c r="AR645" s="113"/>
      <c r="AS645" s="113"/>
      <c r="AT645" s="113"/>
      <c r="AU645" s="113"/>
      <c r="AV645" s="113"/>
      <c r="AW645" s="113"/>
      <c r="AX645" s="113"/>
      <c r="AY645" s="113"/>
      <c r="AZ645" s="113"/>
      <c r="BA645" s="113"/>
      <c r="BB645" s="113"/>
      <c r="BC645" s="113"/>
      <c r="BD645" s="113"/>
      <c r="BE645" s="113"/>
      <c r="BF645" s="113"/>
      <c r="BG645" s="113"/>
      <c r="BH645" s="113"/>
      <c r="BI645" s="113"/>
    </row>
    <row r="646" spans="1:61" s="45" customFormat="1" ht="24.6" hidden="1" customHeight="1">
      <c r="A646" s="1036"/>
      <c r="B646" s="564" t="s">
        <v>249</v>
      </c>
      <c r="C646" s="564"/>
      <c r="D646" s="564"/>
      <c r="E646" s="564"/>
      <c r="F646" s="564"/>
      <c r="G646" s="103">
        <f t="shared" ref="G646:G647" si="201">K646</f>
        <v>0</v>
      </c>
      <c r="H646" s="103"/>
      <c r="I646" s="103"/>
      <c r="J646" s="103"/>
      <c r="K646" s="103"/>
      <c r="L646" s="103"/>
      <c r="M646" s="679"/>
      <c r="N646" s="564"/>
      <c r="O646" s="1037"/>
      <c r="AJ646" s="113"/>
      <c r="AK646" s="113"/>
      <c r="AL646" s="113"/>
      <c r="AM646" s="113"/>
      <c r="AN646" s="113"/>
      <c r="AO646" s="113"/>
      <c r="AP646" s="113"/>
      <c r="AQ646" s="113"/>
      <c r="AR646" s="113"/>
      <c r="AS646" s="113"/>
      <c r="AT646" s="113"/>
      <c r="AU646" s="113"/>
      <c r="AV646" s="113"/>
      <c r="AW646" s="113"/>
      <c r="AX646" s="113"/>
      <c r="AY646" s="113"/>
      <c r="AZ646" s="113"/>
      <c r="BA646" s="113"/>
      <c r="BB646" s="113"/>
      <c r="BC646" s="113"/>
      <c r="BD646" s="113"/>
      <c r="BE646" s="113"/>
      <c r="BF646" s="113"/>
      <c r="BG646" s="113"/>
      <c r="BH646" s="113"/>
      <c r="BI646" s="113"/>
    </row>
    <row r="647" spans="1:61" s="45" customFormat="1" ht="24.6" hidden="1" customHeight="1">
      <c r="A647" s="1029"/>
      <c r="B647" s="564" t="s">
        <v>502</v>
      </c>
      <c r="C647" s="564"/>
      <c r="D647" s="564"/>
      <c r="E647" s="564"/>
      <c r="F647" s="564"/>
      <c r="G647" s="103">
        <f t="shared" si="201"/>
        <v>0</v>
      </c>
      <c r="H647" s="103"/>
      <c r="I647" s="103"/>
      <c r="J647" s="103"/>
      <c r="K647" s="103"/>
      <c r="L647" s="103"/>
      <c r="M647" s="679"/>
      <c r="N647" s="564"/>
      <c r="O647" s="1037"/>
      <c r="AJ647" s="113"/>
      <c r="AK647" s="113"/>
      <c r="AL647" s="113"/>
      <c r="AM647" s="113"/>
      <c r="AN647" s="113"/>
      <c r="AO647" s="113"/>
      <c r="AP647" s="113"/>
      <c r="AQ647" s="113"/>
      <c r="AR647" s="113"/>
      <c r="AS647" s="113"/>
      <c r="AT647" s="113"/>
      <c r="AU647" s="113"/>
      <c r="AV647" s="113"/>
      <c r="AW647" s="113"/>
      <c r="AX647" s="113"/>
      <c r="AY647" s="113"/>
      <c r="AZ647" s="113"/>
      <c r="BA647" s="113"/>
      <c r="BB647" s="113"/>
      <c r="BC647" s="113"/>
      <c r="BD647" s="113"/>
      <c r="BE647" s="113"/>
      <c r="BF647" s="113"/>
      <c r="BG647" s="113"/>
      <c r="BH647" s="113"/>
      <c r="BI647" s="113"/>
    </row>
    <row r="648" spans="1:61" s="45" customFormat="1" ht="24.95" hidden="1" customHeight="1">
      <c r="A648" s="1039" t="s">
        <v>111</v>
      </c>
      <c r="B648" s="564" t="s">
        <v>89</v>
      </c>
      <c r="C648" s="564">
        <v>176</v>
      </c>
      <c r="D648" s="564" t="s">
        <v>15</v>
      </c>
      <c r="E648" s="564">
        <v>6100404</v>
      </c>
      <c r="F648" s="564">
        <v>243</v>
      </c>
      <c r="G648" s="103">
        <v>0</v>
      </c>
      <c r="H648" s="103"/>
      <c r="I648" s="103"/>
      <c r="J648" s="103"/>
      <c r="K648" s="103"/>
      <c r="L648" s="103"/>
      <c r="M648" s="679"/>
      <c r="N648" s="564"/>
      <c r="O648" s="1037" t="s">
        <v>315</v>
      </c>
      <c r="AJ648" s="113"/>
      <c r="AK648" s="113"/>
      <c r="AL648" s="113"/>
      <c r="AM648" s="113"/>
      <c r="AN648" s="113"/>
      <c r="AO648" s="113"/>
      <c r="AP648" s="113"/>
      <c r="AQ648" s="113"/>
      <c r="AR648" s="113"/>
      <c r="AS648" s="113"/>
      <c r="AT648" s="113"/>
      <c r="AU648" s="113"/>
      <c r="AV648" s="113"/>
      <c r="AW648" s="113"/>
      <c r="AX648" s="113"/>
      <c r="AY648" s="113"/>
      <c r="AZ648" s="113"/>
      <c r="BA648" s="113"/>
      <c r="BB648" s="113"/>
      <c r="BC648" s="113"/>
      <c r="BD648" s="113"/>
      <c r="BE648" s="113"/>
      <c r="BF648" s="113"/>
      <c r="BG648" s="113"/>
      <c r="BH648" s="113"/>
      <c r="BI648" s="113"/>
    </row>
    <row r="649" spans="1:61" ht="24.95" hidden="1" customHeight="1">
      <c r="A649" s="1039"/>
      <c r="B649" s="564" t="s">
        <v>248</v>
      </c>
      <c r="C649" s="564"/>
      <c r="D649" s="564"/>
      <c r="E649" s="564"/>
      <c r="F649" s="564"/>
      <c r="G649" s="103">
        <f>J649</f>
        <v>0</v>
      </c>
      <c r="H649" s="103"/>
      <c r="I649" s="103"/>
      <c r="J649" s="103"/>
      <c r="K649" s="103"/>
      <c r="L649" s="103"/>
      <c r="M649" s="679"/>
      <c r="N649" s="564"/>
      <c r="O649" s="1037"/>
    </row>
    <row r="650" spans="1:61" ht="24.95" hidden="1" customHeight="1">
      <c r="A650" s="1038" t="s">
        <v>101</v>
      </c>
      <c r="B650" s="62" t="s">
        <v>89</v>
      </c>
      <c r="C650" s="62"/>
      <c r="D650" s="62"/>
      <c r="E650" s="62"/>
      <c r="F650" s="62"/>
      <c r="G650" s="102">
        <f>G652</f>
        <v>0</v>
      </c>
      <c r="H650" s="102">
        <f t="shared" ref="H650:J650" si="202">H652</f>
        <v>0</v>
      </c>
      <c r="I650" s="102">
        <f t="shared" si="202"/>
        <v>0</v>
      </c>
      <c r="J650" s="102">
        <f t="shared" si="202"/>
        <v>0</v>
      </c>
      <c r="K650" s="102"/>
      <c r="L650" s="102">
        <f t="shared" ref="K650:M651" si="203">L654</f>
        <v>0</v>
      </c>
      <c r="M650" s="499">
        <f t="shared" si="203"/>
        <v>0</v>
      </c>
      <c r="N650" s="564"/>
      <c r="O650" s="62"/>
    </row>
    <row r="651" spans="1:61" ht="24.95" hidden="1" customHeight="1">
      <c r="A651" s="1038"/>
      <c r="B651" s="62" t="s">
        <v>248</v>
      </c>
      <c r="C651" s="62"/>
      <c r="D651" s="62"/>
      <c r="E651" s="62"/>
      <c r="F651" s="62"/>
      <c r="G651" s="102"/>
      <c r="H651" s="102">
        <f t="shared" ref="H651:I651" si="204">H653+H655</f>
        <v>0</v>
      </c>
      <c r="I651" s="102">
        <f t="shared" si="204"/>
        <v>0</v>
      </c>
      <c r="J651" s="102"/>
      <c r="K651" s="102">
        <f t="shared" si="203"/>
        <v>0</v>
      </c>
      <c r="L651" s="102">
        <f t="shared" si="203"/>
        <v>0</v>
      </c>
      <c r="M651" s="499">
        <f t="shared" si="203"/>
        <v>0</v>
      </c>
      <c r="N651" s="564"/>
      <c r="O651" s="62"/>
    </row>
    <row r="652" spans="1:61" ht="24.95" hidden="1" customHeight="1">
      <c r="A652" s="1028" t="s">
        <v>485</v>
      </c>
      <c r="B652" s="564" t="s">
        <v>89</v>
      </c>
      <c r="C652" s="62"/>
      <c r="D652" s="62"/>
      <c r="E652" s="62"/>
      <c r="F652" s="62"/>
      <c r="G652" s="103">
        <f>J652</f>
        <v>0</v>
      </c>
      <c r="H652" s="103"/>
      <c r="I652" s="103"/>
      <c r="J652" s="103"/>
      <c r="K652" s="102"/>
      <c r="L652" s="102"/>
      <c r="M652" s="499"/>
      <c r="N652" s="564"/>
      <c r="O652" s="1037" t="s">
        <v>517</v>
      </c>
    </row>
    <row r="653" spans="1:61" ht="24.95" hidden="1" customHeight="1">
      <c r="A653" s="987"/>
      <c r="B653" s="564" t="s">
        <v>248</v>
      </c>
      <c r="C653" s="62"/>
      <c r="D653" s="62"/>
      <c r="E653" s="62"/>
      <c r="F653" s="62"/>
      <c r="G653" s="103">
        <f>J653</f>
        <v>0</v>
      </c>
      <c r="H653" s="103"/>
      <c r="I653" s="103"/>
      <c r="J653" s="103"/>
      <c r="K653" s="102"/>
      <c r="L653" s="102"/>
      <c r="M653" s="499"/>
      <c r="N653" s="564"/>
      <c r="O653" s="1037"/>
    </row>
    <row r="654" spans="1:61" ht="24.95" hidden="1" customHeight="1">
      <c r="A654" s="1028" t="s">
        <v>109</v>
      </c>
      <c r="B654" s="564" t="s">
        <v>89</v>
      </c>
      <c r="C654" s="564">
        <v>176</v>
      </c>
      <c r="D654" s="564" t="s">
        <v>15</v>
      </c>
      <c r="E654" s="564">
        <v>6100404</v>
      </c>
      <c r="F654" s="564">
        <v>243</v>
      </c>
      <c r="G654" s="103"/>
      <c r="H654" s="103"/>
      <c r="I654" s="103"/>
      <c r="J654" s="103"/>
      <c r="K654" s="103"/>
      <c r="L654" s="103"/>
      <c r="M654" s="679"/>
      <c r="N654" s="564"/>
      <c r="O654" s="1037" t="s">
        <v>315</v>
      </c>
    </row>
    <row r="655" spans="1:61" ht="24.95" hidden="1" customHeight="1">
      <c r="A655" s="1029"/>
      <c r="B655" s="564" t="s">
        <v>248</v>
      </c>
      <c r="C655" s="564"/>
      <c r="D655" s="564"/>
      <c r="E655" s="564"/>
      <c r="F655" s="564"/>
      <c r="G655" s="103">
        <f>J655</f>
        <v>0</v>
      </c>
      <c r="H655" s="103"/>
      <c r="I655" s="103"/>
      <c r="J655" s="103"/>
      <c r="K655" s="103"/>
      <c r="L655" s="103"/>
      <c r="M655" s="679"/>
      <c r="N655" s="564"/>
      <c r="O655" s="1037"/>
    </row>
    <row r="656" spans="1:61" ht="24.95" customHeight="1">
      <c r="A656" s="1038" t="s">
        <v>155</v>
      </c>
      <c r="B656" s="62" t="s">
        <v>744</v>
      </c>
      <c r="C656" s="564"/>
      <c r="D656" s="564"/>
      <c r="E656" s="564"/>
      <c r="F656" s="564"/>
      <c r="G656" s="102">
        <f>K656</f>
        <v>1</v>
      </c>
      <c r="H656" s="102">
        <f t="shared" ref="H656:K657" si="205">H658+H660</f>
        <v>0</v>
      </c>
      <c r="I656" s="102">
        <f t="shared" si="205"/>
        <v>0</v>
      </c>
      <c r="J656" s="102"/>
      <c r="K656" s="102">
        <v>1</v>
      </c>
      <c r="L656" s="102">
        <f t="shared" ref="L656:M657" si="206">L658+L660</f>
        <v>0</v>
      </c>
      <c r="M656" s="499">
        <f t="shared" si="206"/>
        <v>0</v>
      </c>
      <c r="N656" s="564"/>
      <c r="O656" s="564"/>
    </row>
    <row r="657" spans="1:61" s="45" customFormat="1" ht="24.95" customHeight="1">
      <c r="A657" s="1038"/>
      <c r="B657" s="62" t="s">
        <v>248</v>
      </c>
      <c r="C657" s="564"/>
      <c r="D657" s="564"/>
      <c r="E657" s="564"/>
      <c r="F657" s="564"/>
      <c r="G657" s="102">
        <f t="shared" ref="G657:G659" si="207">K657</f>
        <v>11420.7</v>
      </c>
      <c r="H657" s="102">
        <f t="shared" si="205"/>
        <v>0</v>
      </c>
      <c r="I657" s="102">
        <f t="shared" si="205"/>
        <v>0</v>
      </c>
      <c r="J657" s="102">
        <f t="shared" si="205"/>
        <v>0</v>
      </c>
      <c r="K657" s="102">
        <f t="shared" si="205"/>
        <v>11420.7</v>
      </c>
      <c r="L657" s="102">
        <f t="shared" si="206"/>
        <v>0</v>
      </c>
      <c r="M657" s="499">
        <f t="shared" si="206"/>
        <v>0</v>
      </c>
      <c r="N657" s="564"/>
      <c r="O657" s="564"/>
      <c r="AJ657" s="113"/>
      <c r="AK657" s="113"/>
      <c r="AL657" s="113"/>
      <c r="AM657" s="113"/>
      <c r="AN657" s="113"/>
      <c r="AO657" s="113"/>
      <c r="AP657" s="113"/>
      <c r="AQ657" s="113"/>
      <c r="AR657" s="113"/>
      <c r="AS657" s="113"/>
      <c r="AT657" s="113"/>
      <c r="AU657" s="113"/>
      <c r="AV657" s="113"/>
      <c r="AW657" s="113"/>
      <c r="AX657" s="113"/>
      <c r="AY657" s="113"/>
      <c r="AZ657" s="113"/>
      <c r="BA657" s="113"/>
      <c r="BB657" s="113"/>
      <c r="BC657" s="113"/>
      <c r="BD657" s="113"/>
      <c r="BE657" s="113"/>
      <c r="BF657" s="113"/>
      <c r="BG657" s="113"/>
      <c r="BH657" s="113"/>
      <c r="BI657" s="113"/>
    </row>
    <row r="658" spans="1:61" s="45" customFormat="1" ht="24.95" customHeight="1">
      <c r="A658" s="1028" t="s">
        <v>109</v>
      </c>
      <c r="B658" s="564" t="s">
        <v>744</v>
      </c>
      <c r="C658" s="564"/>
      <c r="D658" s="564"/>
      <c r="E658" s="564"/>
      <c r="F658" s="564"/>
      <c r="G658" s="103">
        <f t="shared" si="207"/>
        <v>1</v>
      </c>
      <c r="H658" s="103"/>
      <c r="I658" s="103"/>
      <c r="J658" s="103"/>
      <c r="K658" s="103">
        <v>1</v>
      </c>
      <c r="L658" s="102"/>
      <c r="M658" s="679">
        <v>0</v>
      </c>
      <c r="N658" s="564"/>
      <c r="O658" s="1037" t="s">
        <v>754</v>
      </c>
      <c r="AJ658" s="113"/>
      <c r="AK658" s="113"/>
      <c r="AL658" s="113"/>
      <c r="AM658" s="113"/>
      <c r="AN658" s="113"/>
      <c r="AO658" s="113"/>
      <c r="AP658" s="113"/>
      <c r="AQ658" s="113"/>
      <c r="AR658" s="113"/>
      <c r="AS658" s="113"/>
      <c r="AT658" s="113"/>
      <c r="AU658" s="113"/>
      <c r="AV658" s="113"/>
      <c r="AW658" s="113"/>
      <c r="AX658" s="113"/>
      <c r="AY658" s="113"/>
      <c r="AZ658" s="113"/>
      <c r="BA658" s="113"/>
      <c r="BB658" s="113"/>
      <c r="BC658" s="113"/>
      <c r="BD658" s="113"/>
      <c r="BE658" s="113"/>
      <c r="BF658" s="113"/>
      <c r="BG658" s="113"/>
      <c r="BH658" s="113"/>
      <c r="BI658" s="113"/>
    </row>
    <row r="659" spans="1:61" s="45" customFormat="1" ht="24.95" customHeight="1">
      <c r="A659" s="1029"/>
      <c r="B659" s="564" t="s">
        <v>248</v>
      </c>
      <c r="C659" s="564"/>
      <c r="D659" s="564"/>
      <c r="E659" s="564"/>
      <c r="F659" s="564"/>
      <c r="G659" s="103">
        <f t="shared" si="207"/>
        <v>11420.7</v>
      </c>
      <c r="H659" s="103"/>
      <c r="I659" s="103"/>
      <c r="J659" s="103"/>
      <c r="K659" s="103">
        <v>11420.7</v>
      </c>
      <c r="L659" s="103"/>
      <c r="M659" s="679"/>
      <c r="N659" s="564"/>
      <c r="O659" s="1037"/>
      <c r="AJ659" s="113"/>
      <c r="AK659" s="113"/>
      <c r="AL659" s="113"/>
      <c r="AM659" s="113"/>
      <c r="AN659" s="113"/>
      <c r="AO659" s="113"/>
      <c r="AP659" s="113"/>
      <c r="AQ659" s="113"/>
      <c r="AR659" s="113"/>
      <c r="AS659" s="113"/>
      <c r="AT659" s="113"/>
      <c r="AU659" s="113"/>
      <c r="AV659" s="113"/>
      <c r="AW659" s="113"/>
      <c r="AX659" s="113"/>
      <c r="AY659" s="113"/>
      <c r="AZ659" s="113"/>
      <c r="BA659" s="113"/>
      <c r="BB659" s="113"/>
      <c r="BC659" s="113"/>
      <c r="BD659" s="113"/>
      <c r="BE659" s="113"/>
      <c r="BF659" s="113"/>
      <c r="BG659" s="113"/>
      <c r="BH659" s="113"/>
      <c r="BI659" s="113"/>
    </row>
    <row r="660" spans="1:61" s="45" customFormat="1" ht="24.95" hidden="1" customHeight="1">
      <c r="A660" s="1039" t="s">
        <v>254</v>
      </c>
      <c r="B660" s="564" t="s">
        <v>89</v>
      </c>
      <c r="C660" s="564"/>
      <c r="D660" s="564"/>
      <c r="E660" s="564"/>
      <c r="F660" s="564"/>
      <c r="G660" s="103"/>
      <c r="H660" s="103"/>
      <c r="I660" s="103"/>
      <c r="J660" s="103"/>
      <c r="K660" s="103"/>
      <c r="L660" s="103"/>
      <c r="M660" s="679"/>
      <c r="N660" s="564"/>
      <c r="O660" s="1037" t="s">
        <v>455</v>
      </c>
      <c r="AJ660" s="113"/>
      <c r="AK660" s="113"/>
      <c r="AL660" s="113"/>
      <c r="AM660" s="113"/>
      <c r="AN660" s="113"/>
      <c r="AO660" s="113"/>
      <c r="AP660" s="113"/>
      <c r="AQ660" s="113"/>
      <c r="AR660" s="113"/>
      <c r="AS660" s="113"/>
      <c r="AT660" s="113"/>
      <c r="AU660" s="113"/>
      <c r="AV660" s="113"/>
      <c r="AW660" s="113"/>
      <c r="AX660" s="113"/>
      <c r="AY660" s="113"/>
      <c r="AZ660" s="113"/>
      <c r="BA660" s="113"/>
      <c r="BB660" s="113"/>
      <c r="BC660" s="113"/>
      <c r="BD660" s="113"/>
      <c r="BE660" s="113"/>
      <c r="BF660" s="113"/>
      <c r="BG660" s="113"/>
      <c r="BH660" s="113"/>
      <c r="BI660" s="113"/>
    </row>
    <row r="661" spans="1:61" ht="24.95" hidden="1" customHeight="1">
      <c r="A661" s="1039"/>
      <c r="B661" s="564" t="s">
        <v>248</v>
      </c>
      <c r="C661" s="564"/>
      <c r="D661" s="564"/>
      <c r="E661" s="564"/>
      <c r="F661" s="564"/>
      <c r="G661" s="103">
        <f>H661+I661+J661+K661</f>
        <v>0</v>
      </c>
      <c r="H661" s="103"/>
      <c r="I661" s="103"/>
      <c r="J661" s="103"/>
      <c r="K661" s="103"/>
      <c r="L661" s="103"/>
      <c r="M661" s="679"/>
      <c r="N661" s="564"/>
      <c r="O661" s="1037"/>
    </row>
    <row r="662" spans="1:61" ht="24.95" hidden="1" customHeight="1">
      <c r="A662" s="1038" t="s">
        <v>125</v>
      </c>
      <c r="B662" s="62" t="s">
        <v>89</v>
      </c>
      <c r="C662" s="62"/>
      <c r="D662" s="62"/>
      <c r="E662" s="62"/>
      <c r="F662" s="62"/>
      <c r="G662" s="102">
        <f t="shared" ref="G662:L663" si="208">G666</f>
        <v>0</v>
      </c>
      <c r="H662" s="102"/>
      <c r="I662" s="102"/>
      <c r="J662" s="102"/>
      <c r="K662" s="102"/>
      <c r="L662" s="102">
        <f t="shared" si="208"/>
        <v>0</v>
      </c>
      <c r="M662" s="499">
        <f>M664</f>
        <v>0</v>
      </c>
      <c r="N662" s="564"/>
      <c r="O662" s="62"/>
    </row>
    <row r="663" spans="1:61" s="45" customFormat="1" ht="24.95" hidden="1" customHeight="1">
      <c r="A663" s="1038"/>
      <c r="B663" s="62" t="s">
        <v>248</v>
      </c>
      <c r="C663" s="62"/>
      <c r="D663" s="62"/>
      <c r="E663" s="62"/>
      <c r="F663" s="62"/>
      <c r="G663" s="102">
        <f t="shared" si="208"/>
        <v>0</v>
      </c>
      <c r="H663" s="102">
        <f t="shared" si="208"/>
        <v>0</v>
      </c>
      <c r="I663" s="102">
        <f t="shared" si="208"/>
        <v>0</v>
      </c>
      <c r="J663" s="102">
        <f t="shared" si="208"/>
        <v>0</v>
      </c>
      <c r="K663" s="102">
        <f t="shared" si="208"/>
        <v>0</v>
      </c>
      <c r="L663" s="102">
        <f t="shared" si="208"/>
        <v>0</v>
      </c>
      <c r="M663" s="499">
        <f>M665</f>
        <v>0</v>
      </c>
      <c r="N663" s="564"/>
      <c r="O663" s="62"/>
      <c r="AJ663" s="113"/>
      <c r="AK663" s="113"/>
      <c r="AL663" s="113"/>
      <c r="AM663" s="113"/>
      <c r="AN663" s="113"/>
      <c r="AO663" s="113"/>
      <c r="AP663" s="113"/>
      <c r="AQ663" s="113"/>
      <c r="AR663" s="113"/>
      <c r="AS663" s="113"/>
      <c r="AT663" s="113"/>
      <c r="AU663" s="113"/>
      <c r="AV663" s="113"/>
      <c r="AW663" s="113"/>
      <c r="AX663" s="113"/>
      <c r="AY663" s="113"/>
      <c r="AZ663" s="113"/>
      <c r="BA663" s="113"/>
      <c r="BB663" s="113"/>
      <c r="BC663" s="113"/>
      <c r="BD663" s="113"/>
      <c r="BE663" s="113"/>
      <c r="BF663" s="113"/>
      <c r="BG663" s="113"/>
      <c r="BH663" s="113"/>
      <c r="BI663" s="113"/>
    </row>
    <row r="664" spans="1:61" s="45" customFormat="1" ht="24.6" hidden="1" customHeight="1">
      <c r="A664" s="1028" t="s">
        <v>342</v>
      </c>
      <c r="B664" s="564" t="s">
        <v>89</v>
      </c>
      <c r="C664" s="62"/>
      <c r="D664" s="62"/>
      <c r="E664" s="62"/>
      <c r="F664" s="62"/>
      <c r="G664" s="102"/>
      <c r="H664" s="102"/>
      <c r="I664" s="102"/>
      <c r="J664" s="102"/>
      <c r="K664" s="102"/>
      <c r="L664" s="102"/>
      <c r="M664" s="679"/>
      <c r="N664" s="564"/>
      <c r="O664" s="1037" t="s">
        <v>296</v>
      </c>
      <c r="AJ664" s="113"/>
      <c r="AK664" s="113"/>
      <c r="AL664" s="113"/>
      <c r="AM664" s="113"/>
      <c r="AN664" s="113"/>
      <c r="AO664" s="113"/>
      <c r="AP664" s="113"/>
      <c r="AQ664" s="113"/>
      <c r="AR664" s="113"/>
      <c r="AS664" s="113"/>
      <c r="AT664" s="113"/>
      <c r="AU664" s="113"/>
      <c r="AV664" s="113"/>
      <c r="AW664" s="113"/>
      <c r="AX664" s="113"/>
      <c r="AY664" s="113"/>
      <c r="AZ664" s="113"/>
      <c r="BA664" s="113"/>
      <c r="BB664" s="113"/>
      <c r="BC664" s="113"/>
      <c r="BD664" s="113"/>
      <c r="BE664" s="113"/>
      <c r="BF664" s="113"/>
      <c r="BG664" s="113"/>
      <c r="BH664" s="113"/>
      <c r="BI664" s="113"/>
    </row>
    <row r="665" spans="1:61" s="45" customFormat="1" ht="24.6" hidden="1" customHeight="1">
      <c r="A665" s="1029"/>
      <c r="B665" s="564" t="s">
        <v>248</v>
      </c>
      <c r="C665" s="62"/>
      <c r="D665" s="62"/>
      <c r="E665" s="62"/>
      <c r="F665" s="62"/>
      <c r="G665" s="102"/>
      <c r="H665" s="102"/>
      <c r="I665" s="102"/>
      <c r="J665" s="102"/>
      <c r="K665" s="102"/>
      <c r="L665" s="102"/>
      <c r="M665" s="679"/>
      <c r="N665" s="564"/>
      <c r="O665" s="1037"/>
      <c r="AJ665" s="113"/>
      <c r="AK665" s="113"/>
      <c r="AL665" s="113"/>
      <c r="AM665" s="113"/>
      <c r="AN665" s="113"/>
      <c r="AO665" s="113"/>
      <c r="AP665" s="113"/>
      <c r="AQ665" s="113"/>
      <c r="AR665" s="113"/>
      <c r="AS665" s="113"/>
      <c r="AT665" s="113"/>
      <c r="AU665" s="113"/>
      <c r="AV665" s="113"/>
      <c r="AW665" s="113"/>
      <c r="AX665" s="113"/>
      <c r="AY665" s="113"/>
      <c r="AZ665" s="113"/>
      <c r="BA665" s="113"/>
      <c r="BB665" s="113"/>
      <c r="BC665" s="113"/>
      <c r="BD665" s="113"/>
      <c r="BE665" s="113"/>
      <c r="BF665" s="113"/>
      <c r="BG665" s="113"/>
      <c r="BH665" s="113"/>
      <c r="BI665" s="113"/>
    </row>
    <row r="666" spans="1:61" s="45" customFormat="1" ht="23.45" hidden="1" customHeight="1">
      <c r="A666" s="1039" t="s">
        <v>109</v>
      </c>
      <c r="B666" s="564" t="s">
        <v>89</v>
      </c>
      <c r="C666" s="564">
        <v>176</v>
      </c>
      <c r="D666" s="564" t="s">
        <v>15</v>
      </c>
      <c r="E666" s="564">
        <v>6100404</v>
      </c>
      <c r="F666" s="564">
        <v>243</v>
      </c>
      <c r="G666" s="103"/>
      <c r="H666" s="103"/>
      <c r="I666" s="103"/>
      <c r="J666" s="103"/>
      <c r="K666" s="103"/>
      <c r="L666" s="103"/>
      <c r="M666" s="679"/>
      <c r="N666" s="564"/>
      <c r="O666" s="1037" t="s">
        <v>294</v>
      </c>
      <c r="AJ666" s="113"/>
      <c r="AK666" s="113"/>
      <c r="AL666" s="113"/>
      <c r="AM666" s="113"/>
      <c r="AN666" s="113"/>
      <c r="AO666" s="113"/>
      <c r="AP666" s="113"/>
      <c r="AQ666" s="113"/>
      <c r="AR666" s="113"/>
      <c r="AS666" s="113"/>
      <c r="AT666" s="113"/>
      <c r="AU666" s="113"/>
      <c r="AV666" s="113"/>
      <c r="AW666" s="113"/>
      <c r="AX666" s="113"/>
      <c r="AY666" s="113"/>
      <c r="AZ666" s="113"/>
      <c r="BA666" s="113"/>
      <c r="BB666" s="113"/>
      <c r="BC666" s="113"/>
      <c r="BD666" s="113"/>
      <c r="BE666" s="113"/>
      <c r="BF666" s="113"/>
      <c r="BG666" s="113"/>
      <c r="BH666" s="113"/>
      <c r="BI666" s="113"/>
    </row>
    <row r="667" spans="1:61" ht="24.6" hidden="1" customHeight="1">
      <c r="A667" s="1039"/>
      <c r="B667" s="564" t="s">
        <v>248</v>
      </c>
      <c r="C667" s="564"/>
      <c r="D667" s="564"/>
      <c r="E667" s="564"/>
      <c r="F667" s="564"/>
      <c r="G667" s="103">
        <f>J667+K667</f>
        <v>0</v>
      </c>
      <c r="H667" s="103"/>
      <c r="I667" s="103"/>
      <c r="J667" s="103"/>
      <c r="K667" s="103"/>
      <c r="L667" s="103">
        <v>0</v>
      </c>
      <c r="M667" s="679"/>
      <c r="N667" s="564"/>
      <c r="O667" s="1037"/>
    </row>
    <row r="668" spans="1:61" ht="24.6" hidden="1" customHeight="1">
      <c r="A668" s="1038" t="s">
        <v>127</v>
      </c>
      <c r="B668" s="62" t="s">
        <v>744</v>
      </c>
      <c r="C668" s="62"/>
      <c r="D668" s="62"/>
      <c r="E668" s="62"/>
      <c r="F668" s="62"/>
      <c r="G668" s="102">
        <f t="shared" ref="G668:M669" si="209">G670+G676</f>
        <v>0</v>
      </c>
      <c r="H668" s="102"/>
      <c r="I668" s="102"/>
      <c r="J668" s="102"/>
      <c r="K668" s="102">
        <f>K676</f>
        <v>0</v>
      </c>
      <c r="L668" s="102">
        <f t="shared" si="209"/>
        <v>0</v>
      </c>
      <c r="M668" s="499">
        <f t="shared" si="209"/>
        <v>0</v>
      </c>
      <c r="N668" s="564"/>
      <c r="O668" s="62"/>
    </row>
    <row r="669" spans="1:61" ht="22.15" hidden="1" customHeight="1">
      <c r="A669" s="1038"/>
      <c r="B669" s="62" t="s">
        <v>248</v>
      </c>
      <c r="C669" s="62"/>
      <c r="D669" s="62"/>
      <c r="E669" s="62"/>
      <c r="F669" s="62"/>
      <c r="G669" s="102">
        <f t="shared" si="209"/>
        <v>0</v>
      </c>
      <c r="H669" s="102">
        <f t="shared" si="209"/>
        <v>0</v>
      </c>
      <c r="I669" s="102">
        <f t="shared" si="209"/>
        <v>0</v>
      </c>
      <c r="J669" s="102">
        <f t="shared" si="209"/>
        <v>0</v>
      </c>
      <c r="K669" s="102">
        <f t="shared" si="209"/>
        <v>0</v>
      </c>
      <c r="L669" s="102">
        <f t="shared" si="209"/>
        <v>0</v>
      </c>
      <c r="M669" s="499">
        <f t="shared" si="209"/>
        <v>0</v>
      </c>
      <c r="N669" s="564"/>
      <c r="O669" s="62"/>
    </row>
    <row r="670" spans="1:61" ht="27" hidden="1" customHeight="1">
      <c r="A670" s="1039" t="s">
        <v>126</v>
      </c>
      <c r="B670" s="564" t="s">
        <v>89</v>
      </c>
      <c r="C670" s="564">
        <v>176</v>
      </c>
      <c r="D670" s="564" t="s">
        <v>15</v>
      </c>
      <c r="E670" s="564">
        <v>6100404</v>
      </c>
      <c r="F670" s="564">
        <v>243</v>
      </c>
      <c r="G670" s="103">
        <v>0</v>
      </c>
      <c r="H670" s="103"/>
      <c r="I670" s="103"/>
      <c r="J670" s="103"/>
      <c r="K670" s="103"/>
      <c r="L670" s="103"/>
      <c r="M670" s="679"/>
      <c r="N670" s="564"/>
      <c r="O670" s="1037" t="s">
        <v>38</v>
      </c>
    </row>
    <row r="671" spans="1:61" ht="27.75" hidden="1" customHeight="1">
      <c r="A671" s="1039"/>
      <c r="B671" s="564" t="s">
        <v>248</v>
      </c>
      <c r="C671" s="564"/>
      <c r="D671" s="564"/>
      <c r="E671" s="564"/>
      <c r="F671" s="564"/>
      <c r="G671" s="103"/>
      <c r="H671" s="103"/>
      <c r="I671" s="103"/>
      <c r="J671" s="103"/>
      <c r="K671" s="103"/>
      <c r="L671" s="103"/>
      <c r="M671" s="679"/>
      <c r="N671" s="564"/>
      <c r="O671" s="1037"/>
      <c r="V671" s="44">
        <v>123.1</v>
      </c>
    </row>
    <row r="672" spans="1:61" ht="23.25" hidden="1" customHeight="1">
      <c r="A672" s="563" t="s">
        <v>180</v>
      </c>
      <c r="B672" s="564" t="s">
        <v>89</v>
      </c>
      <c r="C672" s="564">
        <v>176</v>
      </c>
      <c r="D672" s="564" t="s">
        <v>15</v>
      </c>
      <c r="E672" s="564">
        <v>6100404</v>
      </c>
      <c r="F672" s="564">
        <v>243</v>
      </c>
      <c r="G672" s="103">
        <v>0</v>
      </c>
      <c r="H672" s="103"/>
      <c r="I672" s="103"/>
      <c r="J672" s="103"/>
      <c r="K672" s="103"/>
      <c r="L672" s="103"/>
      <c r="M672" s="679"/>
      <c r="N672" s="564"/>
      <c r="O672" s="564"/>
    </row>
    <row r="673" spans="1:61" ht="23.25" hidden="1" customHeight="1">
      <c r="A673" s="563"/>
      <c r="B673" s="564" t="s">
        <v>248</v>
      </c>
      <c r="C673" s="564"/>
      <c r="D673" s="564"/>
      <c r="E673" s="564"/>
      <c r="F673" s="564"/>
      <c r="G673" s="103"/>
      <c r="H673" s="103"/>
      <c r="I673" s="103"/>
      <c r="J673" s="103"/>
      <c r="K673" s="103"/>
      <c r="L673" s="103"/>
      <c r="M673" s="679"/>
      <c r="N673" s="564"/>
      <c r="O673" s="564"/>
    </row>
    <row r="674" spans="1:61" ht="24" hidden="1" customHeight="1">
      <c r="A674" s="563" t="s">
        <v>181</v>
      </c>
      <c r="B674" s="564" t="s">
        <v>89</v>
      </c>
      <c r="C674" s="564">
        <v>176</v>
      </c>
      <c r="D674" s="564" t="s">
        <v>15</v>
      </c>
      <c r="E674" s="564">
        <v>6100404</v>
      </c>
      <c r="F674" s="564">
        <v>243</v>
      </c>
      <c r="G674" s="103"/>
      <c r="H674" s="103"/>
      <c r="I674" s="103"/>
      <c r="J674" s="103"/>
      <c r="K674" s="103"/>
      <c r="L674" s="103"/>
      <c r="M674" s="679"/>
      <c r="N674" s="564"/>
      <c r="O674" s="564" t="s">
        <v>93</v>
      </c>
    </row>
    <row r="675" spans="1:61" s="45" customFormat="1" ht="24.95" hidden="1" customHeight="1">
      <c r="A675" s="563"/>
      <c r="B675" s="564" t="s">
        <v>248</v>
      </c>
      <c r="C675" s="564"/>
      <c r="D675" s="564"/>
      <c r="E675" s="564"/>
      <c r="F675" s="564"/>
      <c r="G675" s="103"/>
      <c r="H675" s="103"/>
      <c r="I675" s="103"/>
      <c r="J675" s="103"/>
      <c r="K675" s="103"/>
      <c r="L675" s="103"/>
      <c r="M675" s="679"/>
      <c r="N675" s="564"/>
      <c r="O675" s="564"/>
      <c r="AJ675" s="113"/>
      <c r="AK675" s="113"/>
      <c r="AL675" s="113"/>
      <c r="AM675" s="113"/>
      <c r="AN675" s="113"/>
      <c r="AO675" s="113"/>
      <c r="AP675" s="113"/>
      <c r="AQ675" s="113"/>
      <c r="AR675" s="113"/>
      <c r="AS675" s="113"/>
      <c r="AT675" s="113"/>
      <c r="AU675" s="113"/>
      <c r="AV675" s="113"/>
      <c r="AW675" s="113"/>
      <c r="AX675" s="113"/>
      <c r="AY675" s="113"/>
      <c r="AZ675" s="113"/>
      <c r="BA675" s="113"/>
      <c r="BB675" s="113"/>
      <c r="BC675" s="113"/>
      <c r="BD675" s="113"/>
      <c r="BE675" s="113"/>
      <c r="BF675" s="113"/>
      <c r="BG675" s="113"/>
      <c r="BH675" s="113"/>
      <c r="BI675" s="113"/>
    </row>
    <row r="676" spans="1:61" s="45" customFormat="1" ht="23.45" hidden="1" customHeight="1">
      <c r="A676" s="1039" t="s">
        <v>109</v>
      </c>
      <c r="B676" s="564" t="s">
        <v>744</v>
      </c>
      <c r="C676" s="564">
        <v>176</v>
      </c>
      <c r="D676" s="564" t="s">
        <v>15</v>
      </c>
      <c r="E676" s="564">
        <v>6100404</v>
      </c>
      <c r="F676" s="564">
        <v>243</v>
      </c>
      <c r="G676" s="103">
        <f>K676</f>
        <v>0</v>
      </c>
      <c r="H676" s="103"/>
      <c r="I676" s="103"/>
      <c r="J676" s="103"/>
      <c r="K676" s="103"/>
      <c r="L676" s="103"/>
      <c r="M676" s="679"/>
      <c r="N676" s="564"/>
      <c r="O676" s="1037" t="s">
        <v>754</v>
      </c>
      <c r="AJ676" s="113"/>
      <c r="AK676" s="113"/>
      <c r="AL676" s="113"/>
      <c r="AM676" s="113"/>
      <c r="AN676" s="113"/>
      <c r="AO676" s="113"/>
      <c r="AP676" s="113"/>
      <c r="AQ676" s="113"/>
      <c r="AR676" s="113"/>
      <c r="AS676" s="113"/>
      <c r="AT676" s="113"/>
      <c r="AU676" s="113"/>
      <c r="AV676" s="113"/>
      <c r="AW676" s="113"/>
      <c r="AX676" s="113"/>
      <c r="AY676" s="113"/>
      <c r="AZ676" s="113"/>
      <c r="BA676" s="113"/>
      <c r="BB676" s="113"/>
      <c r="BC676" s="113"/>
      <c r="BD676" s="113"/>
      <c r="BE676" s="113"/>
      <c r="BF676" s="113"/>
      <c r="BG676" s="113"/>
      <c r="BH676" s="113"/>
      <c r="BI676" s="113"/>
    </row>
    <row r="677" spans="1:61" ht="24.6" hidden="1" customHeight="1">
      <c r="A677" s="1039"/>
      <c r="B677" s="564" t="s">
        <v>248</v>
      </c>
      <c r="C677" s="564"/>
      <c r="D677" s="564"/>
      <c r="E677" s="564"/>
      <c r="F677" s="564"/>
      <c r="G677" s="103">
        <f>K677</f>
        <v>0</v>
      </c>
      <c r="H677" s="103"/>
      <c r="I677" s="103"/>
      <c r="J677" s="103"/>
      <c r="K677" s="103"/>
      <c r="L677" s="103"/>
      <c r="M677" s="679"/>
      <c r="N677" s="564"/>
      <c r="O677" s="1037"/>
    </row>
    <row r="678" spans="1:61" ht="24.6" hidden="1" customHeight="1">
      <c r="A678" s="1038" t="s">
        <v>129</v>
      </c>
      <c r="B678" s="62" t="s">
        <v>89</v>
      </c>
      <c r="C678" s="62"/>
      <c r="D678" s="62"/>
      <c r="E678" s="62"/>
      <c r="F678" s="62"/>
      <c r="G678" s="102">
        <f t="shared" ref="G678:L679" si="210">G680+G682</f>
        <v>0</v>
      </c>
      <c r="H678" s="102">
        <f t="shared" si="210"/>
        <v>0</v>
      </c>
      <c r="I678" s="102">
        <f t="shared" si="210"/>
        <v>0</v>
      </c>
      <c r="J678" s="102">
        <f t="shared" si="210"/>
        <v>0</v>
      </c>
      <c r="K678" s="102">
        <f t="shared" si="210"/>
        <v>0</v>
      </c>
      <c r="L678" s="102">
        <f t="shared" si="210"/>
        <v>0</v>
      </c>
      <c r="M678" s="499"/>
      <c r="N678" s="564"/>
      <c r="O678" s="62"/>
    </row>
    <row r="679" spans="1:61" ht="24.6" hidden="1" customHeight="1">
      <c r="A679" s="1038"/>
      <c r="B679" s="62" t="s">
        <v>248</v>
      </c>
      <c r="C679" s="62"/>
      <c r="D679" s="62"/>
      <c r="E679" s="62"/>
      <c r="F679" s="62"/>
      <c r="G679" s="102">
        <f t="shared" si="210"/>
        <v>0</v>
      </c>
      <c r="H679" s="102">
        <f t="shared" si="210"/>
        <v>0</v>
      </c>
      <c r="I679" s="102">
        <f t="shared" si="210"/>
        <v>0</v>
      </c>
      <c r="J679" s="102">
        <f t="shared" si="210"/>
        <v>0</v>
      </c>
      <c r="K679" s="102">
        <f t="shared" si="210"/>
        <v>0</v>
      </c>
      <c r="L679" s="102">
        <f t="shared" si="210"/>
        <v>0</v>
      </c>
      <c r="M679" s="499"/>
      <c r="N679" s="564"/>
      <c r="O679" s="62"/>
    </row>
    <row r="680" spans="1:61" ht="22.15" hidden="1" customHeight="1">
      <c r="A680" s="1039" t="s">
        <v>128</v>
      </c>
      <c r="B680" s="564" t="s">
        <v>89</v>
      </c>
      <c r="C680" s="564">
        <v>176</v>
      </c>
      <c r="D680" s="564" t="s">
        <v>15</v>
      </c>
      <c r="E680" s="564">
        <v>6100404</v>
      </c>
      <c r="F680" s="564">
        <v>243</v>
      </c>
      <c r="G680" s="103"/>
      <c r="H680" s="103"/>
      <c r="I680" s="103"/>
      <c r="J680" s="103"/>
      <c r="K680" s="103"/>
      <c r="L680" s="103"/>
      <c r="M680" s="679"/>
      <c r="N680" s="564"/>
      <c r="O680" s="1037" t="s">
        <v>330</v>
      </c>
    </row>
    <row r="681" spans="1:61" s="45" customFormat="1" ht="23.45" hidden="1" customHeight="1">
      <c r="A681" s="1039"/>
      <c r="B681" s="564" t="s">
        <v>248</v>
      </c>
      <c r="C681" s="564"/>
      <c r="D681" s="564"/>
      <c r="E681" s="564"/>
      <c r="F681" s="564"/>
      <c r="G681" s="103">
        <f>K681</f>
        <v>0</v>
      </c>
      <c r="H681" s="103"/>
      <c r="I681" s="103"/>
      <c r="J681" s="103"/>
      <c r="K681" s="103"/>
      <c r="L681" s="103"/>
      <c r="M681" s="679"/>
      <c r="N681" s="564"/>
      <c r="O681" s="1037"/>
      <c r="AJ681" s="113"/>
      <c r="AK681" s="113"/>
      <c r="AL681" s="113"/>
      <c r="AM681" s="113"/>
      <c r="AN681" s="113"/>
      <c r="AO681" s="113"/>
      <c r="AP681" s="113"/>
      <c r="AQ681" s="113"/>
      <c r="AR681" s="113"/>
      <c r="AS681" s="113"/>
      <c r="AT681" s="113"/>
      <c r="AU681" s="113"/>
      <c r="AV681" s="113"/>
      <c r="AW681" s="113"/>
      <c r="AX681" s="113"/>
      <c r="AY681" s="113"/>
      <c r="AZ681" s="113"/>
      <c r="BA681" s="113"/>
      <c r="BB681" s="113"/>
      <c r="BC681" s="113"/>
      <c r="BD681" s="113"/>
      <c r="BE681" s="113"/>
      <c r="BF681" s="113"/>
      <c r="BG681" s="113"/>
      <c r="BH681" s="113"/>
      <c r="BI681" s="113"/>
    </row>
    <row r="682" spans="1:61" s="45" customFormat="1" ht="24" hidden="1" customHeight="1">
      <c r="A682" s="1039" t="s">
        <v>109</v>
      </c>
      <c r="B682" s="564" t="s">
        <v>89</v>
      </c>
      <c r="C682" s="564">
        <v>176</v>
      </c>
      <c r="D682" s="564" t="s">
        <v>15</v>
      </c>
      <c r="E682" s="564">
        <v>6100404</v>
      </c>
      <c r="F682" s="564">
        <v>243</v>
      </c>
      <c r="G682" s="103"/>
      <c r="H682" s="103"/>
      <c r="I682" s="103"/>
      <c r="J682" s="103"/>
      <c r="K682" s="103"/>
      <c r="L682" s="103"/>
      <c r="M682" s="679"/>
      <c r="N682" s="564"/>
      <c r="O682" s="1037" t="s">
        <v>294</v>
      </c>
      <c r="AJ682" s="113"/>
      <c r="AK682" s="113"/>
      <c r="AL682" s="113"/>
      <c r="AM682" s="113"/>
      <c r="AN682" s="113"/>
      <c r="AO682" s="113"/>
      <c r="AP682" s="113"/>
      <c r="AQ682" s="113"/>
      <c r="AR682" s="113"/>
      <c r="AS682" s="113"/>
      <c r="AT682" s="113"/>
      <c r="AU682" s="113"/>
      <c r="AV682" s="113"/>
      <c r="AW682" s="113"/>
      <c r="AX682" s="113"/>
      <c r="AY682" s="113"/>
      <c r="AZ682" s="113"/>
      <c r="BA682" s="113"/>
      <c r="BB682" s="113"/>
      <c r="BC682" s="113"/>
      <c r="BD682" s="113"/>
      <c r="BE682" s="113"/>
      <c r="BF682" s="113"/>
      <c r="BG682" s="113"/>
      <c r="BH682" s="113"/>
      <c r="BI682" s="113"/>
    </row>
    <row r="683" spans="1:61" ht="12.75" hidden="1" customHeight="1">
      <c r="A683" s="1039"/>
      <c r="B683" s="564" t="s">
        <v>248</v>
      </c>
      <c r="C683" s="564"/>
      <c r="D683" s="564"/>
      <c r="E683" s="564"/>
      <c r="F683" s="564"/>
      <c r="G683" s="103"/>
      <c r="H683" s="103"/>
      <c r="I683" s="103"/>
      <c r="J683" s="103"/>
      <c r="K683" s="103"/>
      <c r="L683" s="103"/>
      <c r="M683" s="679"/>
      <c r="N683" s="564"/>
      <c r="O683" s="1037"/>
    </row>
    <row r="684" spans="1:61" ht="24.6" customHeight="1">
      <c r="A684" s="1038" t="s">
        <v>102</v>
      </c>
      <c r="B684" s="62" t="s">
        <v>744</v>
      </c>
      <c r="C684" s="62"/>
      <c r="D684" s="62"/>
      <c r="E684" s="62"/>
      <c r="F684" s="62"/>
      <c r="G684" s="102">
        <f>K684</f>
        <v>0</v>
      </c>
      <c r="H684" s="102"/>
      <c r="I684" s="102"/>
      <c r="J684" s="102"/>
      <c r="K684" s="102">
        <f>K690+K694</f>
        <v>0</v>
      </c>
      <c r="L684" s="102">
        <f>L690+L694</f>
        <v>0</v>
      </c>
      <c r="M684" s="499"/>
      <c r="N684" s="564"/>
      <c r="O684" s="62"/>
    </row>
    <row r="685" spans="1:61" ht="24.6" customHeight="1">
      <c r="A685" s="1038"/>
      <c r="B685" s="62" t="s">
        <v>446</v>
      </c>
      <c r="C685" s="62"/>
      <c r="D685" s="62"/>
      <c r="E685" s="62"/>
      <c r="F685" s="62"/>
      <c r="G685" s="102">
        <f>K685</f>
        <v>3418.3</v>
      </c>
      <c r="H685" s="102"/>
      <c r="I685" s="102"/>
      <c r="J685" s="102"/>
      <c r="K685" s="102">
        <f>K686+K687</f>
        <v>3418.3</v>
      </c>
      <c r="L685" s="102">
        <f>L686+L687</f>
        <v>0</v>
      </c>
      <c r="M685" s="499"/>
      <c r="N685" s="564"/>
      <c r="O685" s="62"/>
    </row>
    <row r="686" spans="1:61" ht="24.6" customHeight="1">
      <c r="A686" s="1038"/>
      <c r="B686" s="62" t="s">
        <v>249</v>
      </c>
      <c r="C686" s="62"/>
      <c r="D686" s="62"/>
      <c r="E686" s="62"/>
      <c r="F686" s="62"/>
      <c r="G686" s="102">
        <f t="shared" ref="G686:G695" si="211">K686</f>
        <v>3418.3</v>
      </c>
      <c r="H686" s="102"/>
      <c r="I686" s="102"/>
      <c r="J686" s="102"/>
      <c r="K686" s="102">
        <f>K692+K695</f>
        <v>3418.3</v>
      </c>
      <c r="L686" s="102">
        <f>L692+L695</f>
        <v>0</v>
      </c>
      <c r="M686" s="499"/>
      <c r="N686" s="564"/>
      <c r="O686" s="62"/>
    </row>
    <row r="687" spans="1:61" ht="23.45" customHeight="1">
      <c r="A687" s="1038"/>
      <c r="B687" s="62" t="s">
        <v>502</v>
      </c>
      <c r="C687" s="62"/>
      <c r="D687" s="62"/>
      <c r="E687" s="62"/>
      <c r="F687" s="62"/>
      <c r="G687" s="102">
        <f t="shared" si="211"/>
        <v>0</v>
      </c>
      <c r="H687" s="102">
        <f>H689+H695</f>
        <v>0</v>
      </c>
      <c r="I687" s="102">
        <f>I689+I695</f>
        <v>0</v>
      </c>
      <c r="J687" s="102">
        <f>J689+J695</f>
        <v>0</v>
      </c>
      <c r="K687" s="102">
        <f>K693</f>
        <v>0</v>
      </c>
      <c r="L687" s="102">
        <f>L693</f>
        <v>0</v>
      </c>
      <c r="M687" s="499"/>
      <c r="N687" s="564"/>
      <c r="O687" s="62"/>
    </row>
    <row r="688" spans="1:61" ht="24.6" hidden="1" customHeight="1">
      <c r="A688" s="1039" t="s">
        <v>130</v>
      </c>
      <c r="B688" s="564" t="s">
        <v>89</v>
      </c>
      <c r="C688" s="564">
        <v>176</v>
      </c>
      <c r="D688" s="564" t="s">
        <v>15</v>
      </c>
      <c r="E688" s="564">
        <v>6100404</v>
      </c>
      <c r="F688" s="564">
        <v>243</v>
      </c>
      <c r="G688" s="102">
        <f t="shared" si="211"/>
        <v>0</v>
      </c>
      <c r="H688" s="103"/>
      <c r="I688" s="103"/>
      <c r="J688" s="103"/>
      <c r="K688" s="103"/>
      <c r="L688" s="103"/>
      <c r="M688" s="679"/>
      <c r="N688" s="564"/>
      <c r="O688" s="1037" t="s">
        <v>213</v>
      </c>
    </row>
    <row r="689" spans="1:61" ht="24.6" hidden="1" customHeight="1">
      <c r="A689" s="1039"/>
      <c r="B689" s="564" t="s">
        <v>248</v>
      </c>
      <c r="C689" s="564"/>
      <c r="D689" s="564"/>
      <c r="E689" s="564"/>
      <c r="F689" s="564"/>
      <c r="G689" s="102">
        <f t="shared" si="211"/>
        <v>0</v>
      </c>
      <c r="H689" s="103"/>
      <c r="I689" s="103"/>
      <c r="J689" s="103"/>
      <c r="K689" s="103"/>
      <c r="L689" s="103"/>
      <c r="M689" s="679"/>
      <c r="N689" s="564"/>
      <c r="O689" s="1037"/>
    </row>
    <row r="690" spans="1:61" ht="24.6" customHeight="1">
      <c r="A690" s="1039" t="s">
        <v>875</v>
      </c>
      <c r="B690" s="564" t="s">
        <v>744</v>
      </c>
      <c r="C690" s="564">
        <v>176</v>
      </c>
      <c r="D690" s="564" t="s">
        <v>15</v>
      </c>
      <c r="E690" s="564">
        <v>6100404</v>
      </c>
      <c r="F690" s="564">
        <v>243</v>
      </c>
      <c r="G690" s="103">
        <f t="shared" si="211"/>
        <v>0</v>
      </c>
      <c r="H690" s="103"/>
      <c r="I690" s="103"/>
      <c r="J690" s="103"/>
      <c r="K690" s="103"/>
      <c r="L690" s="103"/>
      <c r="M690" s="679"/>
      <c r="N690" s="564"/>
      <c r="O690" s="1037" t="s">
        <v>848</v>
      </c>
    </row>
    <row r="691" spans="1:61" ht="24.6" customHeight="1">
      <c r="A691" s="1039"/>
      <c r="B691" s="564" t="s">
        <v>446</v>
      </c>
      <c r="C691" s="564"/>
      <c r="D691" s="564"/>
      <c r="E691" s="564"/>
      <c r="F691" s="564"/>
      <c r="G691" s="103">
        <f t="shared" si="211"/>
        <v>3418.3</v>
      </c>
      <c r="H691" s="103"/>
      <c r="I691" s="103"/>
      <c r="J691" s="103"/>
      <c r="K691" s="103">
        <f>K692+K693</f>
        <v>3418.3</v>
      </c>
      <c r="L691" s="103">
        <f>L692+L693</f>
        <v>0</v>
      </c>
      <c r="M691" s="679"/>
      <c r="N691" s="564"/>
      <c r="O691" s="1037"/>
    </row>
    <row r="692" spans="1:61" ht="24.6" customHeight="1">
      <c r="A692" s="1039"/>
      <c r="B692" s="564" t="s">
        <v>249</v>
      </c>
      <c r="C692" s="564"/>
      <c r="D692" s="564"/>
      <c r="E692" s="564"/>
      <c r="F692" s="564"/>
      <c r="G692" s="103">
        <f t="shared" si="211"/>
        <v>3418.3</v>
      </c>
      <c r="H692" s="103"/>
      <c r="I692" s="103"/>
      <c r="J692" s="103"/>
      <c r="K692" s="103">
        <v>3418.3</v>
      </c>
      <c r="L692" s="103"/>
      <c r="M692" s="679"/>
      <c r="N692" s="564"/>
      <c r="O692" s="1037"/>
    </row>
    <row r="693" spans="1:61" s="45" customFormat="1" ht="24.6" customHeight="1">
      <c r="A693" s="1039"/>
      <c r="B693" s="564" t="s">
        <v>502</v>
      </c>
      <c r="C693" s="564"/>
      <c r="D693" s="564"/>
      <c r="E693" s="564"/>
      <c r="F693" s="564"/>
      <c r="G693" s="103">
        <f t="shared" si="211"/>
        <v>0</v>
      </c>
      <c r="H693" s="103"/>
      <c r="I693" s="103"/>
      <c r="J693" s="103"/>
      <c r="K693" s="103"/>
      <c r="L693" s="103"/>
      <c r="M693" s="679"/>
      <c r="N693" s="564"/>
      <c r="O693" s="1037"/>
      <c r="AJ693" s="113"/>
      <c r="AK693" s="113"/>
      <c r="AL693" s="113"/>
      <c r="AM693" s="113"/>
      <c r="AN693" s="113"/>
      <c r="AO693" s="113"/>
      <c r="AP693" s="113"/>
      <c r="AQ693" s="113"/>
      <c r="AR693" s="113"/>
      <c r="AS693" s="113"/>
      <c r="AT693" s="113"/>
      <c r="AU693" s="113"/>
      <c r="AV693" s="113"/>
      <c r="AW693" s="113"/>
      <c r="AX693" s="113"/>
      <c r="AY693" s="113"/>
      <c r="AZ693" s="113"/>
      <c r="BA693" s="113"/>
      <c r="BB693" s="113"/>
      <c r="BC693" s="113"/>
      <c r="BD693" s="113"/>
      <c r="BE693" s="113"/>
      <c r="BF693" s="113"/>
      <c r="BG693" s="113"/>
      <c r="BH693" s="113"/>
      <c r="BI693" s="113"/>
    </row>
    <row r="694" spans="1:61" s="45" customFormat="1" ht="24.95" hidden="1" customHeight="1">
      <c r="A694" s="1039" t="s">
        <v>109</v>
      </c>
      <c r="B694" s="564" t="s">
        <v>744</v>
      </c>
      <c r="C694" s="564">
        <v>176</v>
      </c>
      <c r="D694" s="564" t="s">
        <v>15</v>
      </c>
      <c r="E694" s="564">
        <v>6100404</v>
      </c>
      <c r="F694" s="564">
        <v>243</v>
      </c>
      <c r="G694" s="103">
        <f t="shared" si="211"/>
        <v>0</v>
      </c>
      <c r="H694" s="103"/>
      <c r="I694" s="103"/>
      <c r="J694" s="103"/>
      <c r="K694" s="103"/>
      <c r="L694" s="103"/>
      <c r="M694" s="679"/>
      <c r="N694" s="564"/>
      <c r="O694" s="1037" t="s">
        <v>754</v>
      </c>
      <c r="AJ694" s="113"/>
      <c r="AK694" s="113"/>
      <c r="AL694" s="113"/>
      <c r="AM694" s="113"/>
      <c r="AN694" s="113"/>
      <c r="AO694" s="113"/>
      <c r="AP694" s="113"/>
      <c r="AQ694" s="113"/>
      <c r="AR694" s="113"/>
      <c r="AS694" s="113"/>
      <c r="AT694" s="113"/>
      <c r="AU694" s="113"/>
      <c r="AV694" s="113"/>
      <c r="AW694" s="113"/>
      <c r="AX694" s="113"/>
      <c r="AY694" s="113"/>
      <c r="AZ694" s="113"/>
      <c r="BA694" s="113"/>
      <c r="BB694" s="113"/>
      <c r="BC694" s="113"/>
      <c r="BD694" s="113"/>
      <c r="BE694" s="113"/>
      <c r="BF694" s="113"/>
      <c r="BG694" s="113"/>
      <c r="BH694" s="113"/>
      <c r="BI694" s="113"/>
    </row>
    <row r="695" spans="1:61" s="45" customFormat="1" ht="24.95" hidden="1" customHeight="1">
      <c r="A695" s="1039"/>
      <c r="B695" s="564" t="s">
        <v>248</v>
      </c>
      <c r="C695" s="564"/>
      <c r="D695" s="564"/>
      <c r="E695" s="564"/>
      <c r="F695" s="564"/>
      <c r="G695" s="103">
        <f t="shared" si="211"/>
        <v>0</v>
      </c>
      <c r="H695" s="103"/>
      <c r="I695" s="103"/>
      <c r="J695" s="103"/>
      <c r="K695" s="103"/>
      <c r="L695" s="103"/>
      <c r="M695" s="679"/>
      <c r="N695" s="564"/>
      <c r="O695" s="1037"/>
      <c r="AJ695" s="113"/>
      <c r="AK695" s="113"/>
      <c r="AL695" s="113"/>
      <c r="AM695" s="113"/>
      <c r="AN695" s="113"/>
      <c r="AO695" s="113"/>
      <c r="AP695" s="113"/>
      <c r="AQ695" s="113"/>
      <c r="AR695" s="113"/>
      <c r="AS695" s="113"/>
      <c r="AT695" s="113"/>
      <c r="AU695" s="113"/>
      <c r="AV695" s="113"/>
      <c r="AW695" s="113"/>
      <c r="AX695" s="113"/>
      <c r="AY695" s="113"/>
      <c r="AZ695" s="113"/>
      <c r="BA695" s="113"/>
      <c r="BB695" s="113"/>
      <c r="BC695" s="113"/>
      <c r="BD695" s="113"/>
      <c r="BE695" s="113"/>
      <c r="BF695" s="113"/>
      <c r="BG695" s="113"/>
      <c r="BH695" s="113"/>
      <c r="BI695" s="113"/>
    </row>
    <row r="696" spans="1:61" s="45" customFormat="1" ht="24.95" hidden="1" customHeight="1">
      <c r="A696" s="985" t="s">
        <v>132</v>
      </c>
      <c r="B696" s="62" t="s">
        <v>744</v>
      </c>
      <c r="C696" s="62"/>
      <c r="D696" s="62"/>
      <c r="E696" s="62"/>
      <c r="F696" s="62"/>
      <c r="G696" s="102">
        <f>G700+G704</f>
        <v>0</v>
      </c>
      <c r="H696" s="102">
        <f t="shared" ref="H696:J696" si="212">H700+H704</f>
        <v>0</v>
      </c>
      <c r="I696" s="102">
        <f t="shared" si="212"/>
        <v>0</v>
      </c>
      <c r="J696" s="102">
        <f t="shared" si="212"/>
        <v>0</v>
      </c>
      <c r="K696" s="102">
        <f>K700</f>
        <v>0</v>
      </c>
      <c r="L696" s="102">
        <f t="shared" ref="L696:M696" si="213">L700+L704</f>
        <v>0</v>
      </c>
      <c r="M696" s="499">
        <f t="shared" si="213"/>
        <v>0</v>
      </c>
      <c r="N696" s="564"/>
      <c r="O696" s="62"/>
      <c r="AJ696" s="113"/>
      <c r="AK696" s="113"/>
      <c r="AL696" s="113"/>
      <c r="AM696" s="113"/>
      <c r="AN696" s="113"/>
      <c r="AO696" s="113"/>
      <c r="AP696" s="113"/>
      <c r="AQ696" s="113"/>
      <c r="AR696" s="113"/>
      <c r="AS696" s="113"/>
      <c r="AT696" s="113"/>
      <c r="AU696" s="113"/>
      <c r="AV696" s="113"/>
      <c r="AW696" s="113"/>
      <c r="AX696" s="113"/>
      <c r="AY696" s="113"/>
      <c r="AZ696" s="113"/>
      <c r="BA696" s="113"/>
      <c r="BB696" s="113"/>
      <c r="BC696" s="113"/>
      <c r="BD696" s="113"/>
      <c r="BE696" s="113"/>
      <c r="BF696" s="113"/>
      <c r="BG696" s="113"/>
      <c r="BH696" s="113"/>
      <c r="BI696" s="113"/>
    </row>
    <row r="697" spans="1:61" ht="24.95" hidden="1" customHeight="1">
      <c r="A697" s="986"/>
      <c r="B697" s="62" t="s">
        <v>237</v>
      </c>
      <c r="C697" s="62"/>
      <c r="D697" s="62"/>
      <c r="E697" s="62"/>
      <c r="F697" s="62"/>
      <c r="G697" s="102">
        <f t="shared" ref="G697:M697" si="214">G698+G699</f>
        <v>0</v>
      </c>
      <c r="H697" s="102">
        <f t="shared" si="214"/>
        <v>0</v>
      </c>
      <c r="I697" s="102">
        <f t="shared" si="214"/>
        <v>0</v>
      </c>
      <c r="J697" s="102">
        <f t="shared" si="214"/>
        <v>0</v>
      </c>
      <c r="K697" s="102">
        <f t="shared" si="214"/>
        <v>0</v>
      </c>
      <c r="L697" s="102">
        <f t="shared" si="214"/>
        <v>0</v>
      </c>
      <c r="M697" s="499">
        <f t="shared" si="214"/>
        <v>0</v>
      </c>
      <c r="N697" s="564"/>
      <c r="O697" s="62"/>
    </row>
    <row r="698" spans="1:61" ht="23.45" hidden="1" customHeight="1">
      <c r="A698" s="986"/>
      <c r="B698" s="62" t="s">
        <v>249</v>
      </c>
      <c r="C698" s="62"/>
      <c r="D698" s="62"/>
      <c r="E698" s="62"/>
      <c r="F698" s="62"/>
      <c r="G698" s="102">
        <f>K698</f>
        <v>0</v>
      </c>
      <c r="H698" s="102">
        <f t="shared" ref="H698:J698" si="215">H703+H705</f>
        <v>0</v>
      </c>
      <c r="I698" s="102">
        <f t="shared" si="215"/>
        <v>0</v>
      </c>
      <c r="J698" s="102">
        <f t="shared" si="215"/>
        <v>0</v>
      </c>
      <c r="K698" s="102">
        <f>K702+K705</f>
        <v>0</v>
      </c>
      <c r="L698" s="102">
        <f>L702+L705</f>
        <v>0</v>
      </c>
      <c r="M698" s="499">
        <f t="shared" ref="M698" si="216">M703+M705</f>
        <v>0</v>
      </c>
      <c r="N698" s="564"/>
      <c r="O698" s="62"/>
    </row>
    <row r="699" spans="1:61" ht="24.6" hidden="1" customHeight="1">
      <c r="A699" s="571"/>
      <c r="B699" s="62" t="s">
        <v>502</v>
      </c>
      <c r="C699" s="62"/>
      <c r="D699" s="62"/>
      <c r="E699" s="62"/>
      <c r="F699" s="62"/>
      <c r="G699" s="102">
        <f>K699</f>
        <v>0</v>
      </c>
      <c r="H699" s="102"/>
      <c r="I699" s="102"/>
      <c r="J699" s="102"/>
      <c r="K699" s="102">
        <f>K703</f>
        <v>0</v>
      </c>
      <c r="L699" s="102">
        <f>L703</f>
        <v>0</v>
      </c>
      <c r="M699" s="499"/>
      <c r="N699" s="564"/>
      <c r="O699" s="62"/>
    </row>
    <row r="700" spans="1:61" ht="22.5" hidden="1" customHeight="1">
      <c r="A700" s="1028" t="s">
        <v>316</v>
      </c>
      <c r="B700" s="564" t="s">
        <v>744</v>
      </c>
      <c r="C700" s="62"/>
      <c r="D700" s="62"/>
      <c r="E700" s="62"/>
      <c r="F700" s="62"/>
      <c r="G700" s="103">
        <f>K700</f>
        <v>0</v>
      </c>
      <c r="H700" s="103"/>
      <c r="I700" s="103"/>
      <c r="J700" s="103"/>
      <c r="K700" s="103"/>
      <c r="L700" s="103"/>
      <c r="M700" s="678"/>
      <c r="N700" s="564"/>
      <c r="O700" s="1037" t="s">
        <v>848</v>
      </c>
    </row>
    <row r="701" spans="1:61" ht="28.5" hidden="1" customHeight="1">
      <c r="A701" s="1036"/>
      <c r="B701" s="564" t="s">
        <v>446</v>
      </c>
      <c r="C701" s="62"/>
      <c r="D701" s="62"/>
      <c r="E701" s="62"/>
      <c r="F701" s="62"/>
      <c r="G701" s="103">
        <f t="shared" ref="G701:G703" si="217">K701</f>
        <v>0</v>
      </c>
      <c r="H701" s="103"/>
      <c r="I701" s="103"/>
      <c r="J701" s="103"/>
      <c r="K701" s="103">
        <f>K702+K703</f>
        <v>0</v>
      </c>
      <c r="L701" s="103">
        <f>L702+L703</f>
        <v>0</v>
      </c>
      <c r="M701" s="678"/>
      <c r="N701" s="564"/>
      <c r="O701" s="1037"/>
    </row>
    <row r="702" spans="1:61" ht="28.5" hidden="1" customHeight="1">
      <c r="A702" s="1036"/>
      <c r="B702" s="564" t="s">
        <v>249</v>
      </c>
      <c r="C702" s="62"/>
      <c r="D702" s="62"/>
      <c r="E702" s="62"/>
      <c r="F702" s="62"/>
      <c r="G702" s="103">
        <f t="shared" si="217"/>
        <v>0</v>
      </c>
      <c r="H702" s="103"/>
      <c r="I702" s="103"/>
      <c r="J702" s="103"/>
      <c r="K702" s="103"/>
      <c r="L702" s="103"/>
      <c r="M702" s="678"/>
      <c r="N702" s="564"/>
      <c r="O702" s="1037"/>
    </row>
    <row r="703" spans="1:61" ht="24.6" hidden="1" customHeight="1">
      <c r="A703" s="1029"/>
      <c r="B703" s="564" t="s">
        <v>502</v>
      </c>
      <c r="C703" s="62"/>
      <c r="D703" s="62"/>
      <c r="E703" s="62"/>
      <c r="F703" s="62"/>
      <c r="G703" s="103">
        <f t="shared" si="217"/>
        <v>0</v>
      </c>
      <c r="H703" s="103"/>
      <c r="I703" s="103"/>
      <c r="J703" s="103"/>
      <c r="K703" s="103"/>
      <c r="L703" s="103"/>
      <c r="M703" s="679"/>
      <c r="N703" s="564"/>
      <c r="O703" s="1037"/>
    </row>
    <row r="704" spans="1:61" ht="24.6" hidden="1" customHeight="1">
      <c r="A704" s="1039" t="s">
        <v>131</v>
      </c>
      <c r="B704" s="62" t="s">
        <v>744</v>
      </c>
      <c r="C704" s="564">
        <v>176</v>
      </c>
      <c r="D704" s="564" t="s">
        <v>15</v>
      </c>
      <c r="E704" s="564">
        <v>6100404</v>
      </c>
      <c r="F704" s="564">
        <v>243</v>
      </c>
      <c r="G704" s="103">
        <f>J704</f>
        <v>0</v>
      </c>
      <c r="H704" s="103"/>
      <c r="I704" s="103"/>
      <c r="J704" s="103"/>
      <c r="K704" s="103"/>
      <c r="L704" s="103"/>
      <c r="M704" s="679"/>
      <c r="N704" s="564"/>
      <c r="O704" s="1037" t="s">
        <v>755</v>
      </c>
    </row>
    <row r="705" spans="1:61" ht="23.45" hidden="1" customHeight="1">
      <c r="A705" s="1039"/>
      <c r="B705" s="564" t="s">
        <v>248</v>
      </c>
      <c r="C705" s="564"/>
      <c r="D705" s="564"/>
      <c r="E705" s="564"/>
      <c r="F705" s="564"/>
      <c r="G705" s="103">
        <f>J705+K705</f>
        <v>0</v>
      </c>
      <c r="H705" s="103"/>
      <c r="I705" s="103"/>
      <c r="J705" s="103"/>
      <c r="K705" s="103"/>
      <c r="L705" s="103"/>
      <c r="M705" s="679"/>
      <c r="N705" s="564"/>
      <c r="O705" s="1037"/>
    </row>
    <row r="706" spans="1:61" ht="24.6" hidden="1" customHeight="1">
      <c r="A706" s="1039" t="s">
        <v>175</v>
      </c>
      <c r="B706" s="564" t="s">
        <v>89</v>
      </c>
      <c r="C706" s="564">
        <v>176</v>
      </c>
      <c r="D706" s="564" t="s">
        <v>15</v>
      </c>
      <c r="E706" s="564">
        <v>6100404</v>
      </c>
      <c r="F706" s="564">
        <v>243</v>
      </c>
      <c r="G706" s="103">
        <v>0</v>
      </c>
      <c r="H706" s="103"/>
      <c r="I706" s="103"/>
      <c r="J706" s="103"/>
      <c r="K706" s="103"/>
      <c r="L706" s="103"/>
      <c r="M706" s="679"/>
      <c r="N706" s="564"/>
      <c r="O706" s="1037" t="s">
        <v>213</v>
      </c>
    </row>
    <row r="707" spans="1:61" ht="24" hidden="1" customHeight="1">
      <c r="A707" s="1039"/>
      <c r="B707" s="564" t="s">
        <v>248</v>
      </c>
      <c r="C707" s="564"/>
      <c r="D707" s="564"/>
      <c r="E707" s="564"/>
      <c r="F707" s="564"/>
      <c r="G707" s="103"/>
      <c r="H707" s="103"/>
      <c r="I707" s="103"/>
      <c r="J707" s="103"/>
      <c r="K707" s="103"/>
      <c r="L707" s="103"/>
      <c r="M707" s="679"/>
      <c r="N707" s="564"/>
      <c r="O707" s="1037"/>
    </row>
    <row r="708" spans="1:61" ht="24.6" hidden="1" customHeight="1">
      <c r="A708" s="1039" t="s">
        <v>109</v>
      </c>
      <c r="B708" s="564" t="s">
        <v>89</v>
      </c>
      <c r="C708" s="564"/>
      <c r="D708" s="564"/>
      <c r="E708" s="564"/>
      <c r="F708" s="564"/>
      <c r="G708" s="103"/>
      <c r="H708" s="103"/>
      <c r="I708" s="103"/>
      <c r="J708" s="103"/>
      <c r="K708" s="103"/>
      <c r="L708" s="103"/>
      <c r="M708" s="679"/>
      <c r="N708" s="564"/>
      <c r="O708" s="1037" t="s">
        <v>31</v>
      </c>
    </row>
    <row r="709" spans="1:61" s="45" customFormat="1" ht="24.6" hidden="1" customHeight="1">
      <c r="A709" s="1039"/>
      <c r="B709" s="564" t="s">
        <v>237</v>
      </c>
      <c r="C709" s="564">
        <v>176</v>
      </c>
      <c r="D709" s="564" t="s">
        <v>15</v>
      </c>
      <c r="E709" s="564">
        <v>6100404</v>
      </c>
      <c r="F709" s="564">
        <v>243</v>
      </c>
      <c r="G709" s="103">
        <f t="shared" ref="G709:L709" si="218">G710+G711</f>
        <v>0</v>
      </c>
      <c r="H709" s="103"/>
      <c r="I709" s="103"/>
      <c r="J709" s="103"/>
      <c r="K709" s="103"/>
      <c r="L709" s="103">
        <f t="shared" si="218"/>
        <v>0</v>
      </c>
      <c r="M709" s="679"/>
      <c r="N709" s="564"/>
      <c r="O709" s="1037"/>
      <c r="AJ709" s="113"/>
      <c r="AK709" s="113"/>
      <c r="AL709" s="113"/>
      <c r="AM709" s="113"/>
      <c r="AN709" s="113"/>
      <c r="AO709" s="113"/>
      <c r="AP709" s="113"/>
      <c r="AQ709" s="113"/>
      <c r="AR709" s="113"/>
      <c r="AS709" s="113"/>
      <c r="AT709" s="113"/>
      <c r="AU709" s="113"/>
      <c r="AV709" s="113"/>
      <c r="AW709" s="113"/>
      <c r="AX709" s="113"/>
      <c r="AY709" s="113"/>
      <c r="AZ709" s="113"/>
      <c r="BA709" s="113"/>
      <c r="BB709" s="113"/>
      <c r="BC709" s="113"/>
      <c r="BD709" s="113"/>
      <c r="BE709" s="113"/>
      <c r="BF709" s="113"/>
      <c r="BG709" s="113"/>
      <c r="BH709" s="113"/>
      <c r="BI709" s="113"/>
    </row>
    <row r="710" spans="1:61" s="45" customFormat="1" ht="24.6" hidden="1" customHeight="1">
      <c r="A710" s="1039"/>
      <c r="B710" s="564" t="s">
        <v>249</v>
      </c>
      <c r="C710" s="564"/>
      <c r="D710" s="564"/>
      <c r="E710" s="564"/>
      <c r="F710" s="564"/>
      <c r="G710" s="103"/>
      <c r="H710" s="103"/>
      <c r="I710" s="103"/>
      <c r="J710" s="103"/>
      <c r="K710" s="103"/>
      <c r="L710" s="103"/>
      <c r="M710" s="679"/>
      <c r="N710" s="564"/>
      <c r="O710" s="564"/>
      <c r="AJ710" s="113"/>
      <c r="AK710" s="113"/>
      <c r="AL710" s="113"/>
      <c r="AM710" s="113"/>
      <c r="AN710" s="113"/>
      <c r="AO710" s="113"/>
      <c r="AP710" s="113"/>
      <c r="AQ710" s="113"/>
      <c r="AR710" s="113"/>
      <c r="AS710" s="113"/>
      <c r="AT710" s="113"/>
      <c r="AU710" s="113"/>
      <c r="AV710" s="113"/>
      <c r="AW710" s="113"/>
      <c r="AX710" s="113"/>
      <c r="AY710" s="113"/>
      <c r="AZ710" s="113"/>
      <c r="BA710" s="113"/>
      <c r="BB710" s="113"/>
      <c r="BC710" s="113"/>
      <c r="BD710" s="113"/>
      <c r="BE710" s="113"/>
      <c r="BF710" s="113"/>
      <c r="BG710" s="113"/>
      <c r="BH710" s="113"/>
      <c r="BI710" s="113"/>
    </row>
    <row r="711" spans="1:61" ht="24.6" hidden="1" customHeight="1">
      <c r="A711" s="1039"/>
      <c r="B711" s="564" t="s">
        <v>250</v>
      </c>
      <c r="C711" s="564"/>
      <c r="D711" s="564"/>
      <c r="E711" s="564"/>
      <c r="F711" s="564"/>
      <c r="G711" s="103"/>
      <c r="H711" s="103"/>
      <c r="I711" s="103"/>
      <c r="J711" s="103"/>
      <c r="K711" s="103"/>
      <c r="L711" s="103"/>
      <c r="M711" s="679"/>
      <c r="N711" s="564"/>
      <c r="O711" s="564"/>
    </row>
    <row r="712" spans="1:61" ht="24.95" customHeight="1">
      <c r="A712" s="1038" t="s">
        <v>133</v>
      </c>
      <c r="B712" s="62" t="s">
        <v>744</v>
      </c>
      <c r="C712" s="62"/>
      <c r="D712" s="62"/>
      <c r="E712" s="62"/>
      <c r="F712" s="62"/>
      <c r="G712" s="102">
        <f>G716+G720</f>
        <v>1</v>
      </c>
      <c r="H712" s="102">
        <f t="shared" ref="H712:L712" si="219">H716+H720</f>
        <v>0</v>
      </c>
      <c r="I712" s="102">
        <f t="shared" si="219"/>
        <v>0</v>
      </c>
      <c r="J712" s="102">
        <f t="shared" si="219"/>
        <v>0</v>
      </c>
      <c r="K712" s="102">
        <f t="shared" si="219"/>
        <v>1</v>
      </c>
      <c r="L712" s="102">
        <f t="shared" si="219"/>
        <v>0</v>
      </c>
      <c r="M712" s="499">
        <f>M716+M720</f>
        <v>1</v>
      </c>
      <c r="N712" s="564"/>
      <c r="O712" s="62"/>
    </row>
    <row r="713" spans="1:61" ht="24.95" customHeight="1">
      <c r="A713" s="1038"/>
      <c r="B713" s="62" t="s">
        <v>446</v>
      </c>
      <c r="C713" s="62"/>
      <c r="D713" s="62"/>
      <c r="E713" s="62"/>
      <c r="F713" s="62"/>
      <c r="G713" s="102">
        <f>K713</f>
        <v>5663.8</v>
      </c>
      <c r="H713" s="102"/>
      <c r="I713" s="102"/>
      <c r="J713" s="102"/>
      <c r="K713" s="102">
        <f>K714+K715</f>
        <v>5663.8</v>
      </c>
      <c r="L713" s="102">
        <f>L714+L715</f>
        <v>20000</v>
      </c>
      <c r="M713" s="499">
        <f>M714+M715</f>
        <v>155000</v>
      </c>
      <c r="N713" s="564"/>
      <c r="O713" s="62"/>
    </row>
    <row r="714" spans="1:61" ht="24.95" customHeight="1">
      <c r="A714" s="1038"/>
      <c r="B714" s="62" t="s">
        <v>249</v>
      </c>
      <c r="C714" s="62"/>
      <c r="D714" s="62"/>
      <c r="E714" s="62"/>
      <c r="F714" s="62"/>
      <c r="G714" s="102">
        <f>G717+G719+G721</f>
        <v>5663.8</v>
      </c>
      <c r="H714" s="102">
        <f t="shared" ref="H714:M714" si="220">H717+H719+H721</f>
        <v>0</v>
      </c>
      <c r="I714" s="102">
        <f t="shared" si="220"/>
        <v>0</v>
      </c>
      <c r="J714" s="102">
        <f t="shared" si="220"/>
        <v>0</v>
      </c>
      <c r="K714" s="102">
        <f t="shared" si="220"/>
        <v>5663.8</v>
      </c>
      <c r="L714" s="102">
        <f t="shared" si="220"/>
        <v>20000</v>
      </c>
      <c r="M714" s="102">
        <f t="shared" si="220"/>
        <v>155000</v>
      </c>
      <c r="N714" s="564"/>
      <c r="O714" s="62"/>
    </row>
    <row r="715" spans="1:61" ht="26.45" customHeight="1">
      <c r="A715" s="1038"/>
      <c r="B715" s="62" t="s">
        <v>502</v>
      </c>
      <c r="C715" s="62"/>
      <c r="D715" s="62"/>
      <c r="E715" s="62"/>
      <c r="F715" s="62"/>
      <c r="G715" s="102">
        <f t="shared" ref="G715" si="221">K715</f>
        <v>0</v>
      </c>
      <c r="H715" s="102"/>
      <c r="I715" s="102"/>
      <c r="J715" s="102"/>
      <c r="K715" s="102"/>
      <c r="L715" s="102"/>
      <c r="M715" s="499"/>
      <c r="N715" s="564"/>
      <c r="O715" s="62"/>
    </row>
    <row r="716" spans="1:61" ht="20.25" customHeight="1">
      <c r="A716" s="1052" t="s">
        <v>830</v>
      </c>
      <c r="B716" s="564" t="s">
        <v>744</v>
      </c>
      <c r="C716" s="564">
        <v>176</v>
      </c>
      <c r="D716" s="564" t="s">
        <v>15</v>
      </c>
      <c r="E716" s="564">
        <v>6100404</v>
      </c>
      <c r="F716" s="564">
        <v>243</v>
      </c>
      <c r="G716" s="103">
        <f>K716</f>
        <v>0</v>
      </c>
      <c r="H716" s="103"/>
      <c r="I716" s="103"/>
      <c r="J716" s="103"/>
      <c r="K716" s="103"/>
      <c r="L716" s="103"/>
      <c r="M716" s="679">
        <v>1</v>
      </c>
      <c r="N716" s="564"/>
      <c r="O716" s="1037" t="s">
        <v>953</v>
      </c>
    </row>
    <row r="717" spans="1:61" ht="20.25" customHeight="1">
      <c r="A717" s="1053"/>
      <c r="B717" s="564" t="s">
        <v>446</v>
      </c>
      <c r="C717" s="564"/>
      <c r="D717" s="564"/>
      <c r="E717" s="564"/>
      <c r="F717" s="564"/>
      <c r="G717" s="103">
        <v>0</v>
      </c>
      <c r="H717" s="103"/>
      <c r="I717" s="103"/>
      <c r="J717" s="103"/>
      <c r="K717" s="103"/>
      <c r="L717" s="103"/>
      <c r="M717" s="679">
        <v>155000</v>
      </c>
      <c r="N717" s="564"/>
      <c r="O717" s="1037"/>
    </row>
    <row r="718" spans="1:61" s="45" customFormat="1" ht="22.9" customHeight="1">
      <c r="A718" s="1028" t="s">
        <v>948</v>
      </c>
      <c r="B718" s="757" t="s">
        <v>744</v>
      </c>
      <c r="C718" s="757">
        <v>176</v>
      </c>
      <c r="D718" s="757" t="s">
        <v>15</v>
      </c>
      <c r="E718" s="757">
        <v>6100404</v>
      </c>
      <c r="F718" s="757">
        <v>243</v>
      </c>
      <c r="G718" s="103">
        <f t="shared" ref="G718:G721" si="222">K718</f>
        <v>0</v>
      </c>
      <c r="H718" s="103"/>
      <c r="I718" s="103"/>
      <c r="J718" s="103"/>
      <c r="K718" s="103"/>
      <c r="L718" s="103"/>
      <c r="M718" s="679"/>
      <c r="N718" s="757"/>
      <c r="O718" s="1037" t="s">
        <v>848</v>
      </c>
      <c r="AJ718" s="113"/>
      <c r="AK718" s="113"/>
      <c r="AL718" s="113"/>
      <c r="AM718" s="113"/>
      <c r="AN718" s="113"/>
      <c r="AO718" s="113"/>
      <c r="AP718" s="113"/>
      <c r="AQ718" s="113"/>
      <c r="AR718" s="113"/>
      <c r="AS718" s="113"/>
      <c r="AT718" s="113"/>
      <c r="AU718" s="113"/>
      <c r="AV718" s="113"/>
      <c r="AW718" s="113"/>
      <c r="AX718" s="113"/>
      <c r="AY718" s="113"/>
      <c r="AZ718" s="113"/>
      <c r="BA718" s="113"/>
      <c r="BB718" s="113"/>
      <c r="BC718" s="113"/>
      <c r="BD718" s="113"/>
      <c r="BE718" s="113"/>
      <c r="BF718" s="113"/>
      <c r="BG718" s="113"/>
      <c r="BH718" s="113"/>
      <c r="BI718" s="113"/>
    </row>
    <row r="719" spans="1:61" ht="24.6" customHeight="1">
      <c r="A719" s="1029"/>
      <c r="B719" s="757" t="s">
        <v>248</v>
      </c>
      <c r="C719" s="757"/>
      <c r="D719" s="757"/>
      <c r="E719" s="757"/>
      <c r="F719" s="757"/>
      <c r="G719" s="103">
        <v>0</v>
      </c>
      <c r="H719" s="103"/>
      <c r="I719" s="103"/>
      <c r="J719" s="103"/>
      <c r="K719" s="103"/>
      <c r="L719" s="103">
        <v>20000</v>
      </c>
      <c r="M719" s="679"/>
      <c r="N719" s="757"/>
      <c r="O719" s="1037"/>
    </row>
    <row r="720" spans="1:61" s="45" customFormat="1" ht="22.9" customHeight="1">
      <c r="A720" s="1028" t="s">
        <v>109</v>
      </c>
      <c r="B720" s="564" t="s">
        <v>744</v>
      </c>
      <c r="C720" s="564">
        <v>176</v>
      </c>
      <c r="D720" s="564" t="s">
        <v>15</v>
      </c>
      <c r="E720" s="564">
        <v>6100404</v>
      </c>
      <c r="F720" s="564">
        <v>243</v>
      </c>
      <c r="G720" s="103">
        <f t="shared" si="222"/>
        <v>1</v>
      </c>
      <c r="H720" s="103"/>
      <c r="I720" s="103"/>
      <c r="J720" s="103"/>
      <c r="K720" s="103">
        <v>1</v>
      </c>
      <c r="L720" s="103"/>
      <c r="M720" s="679"/>
      <c r="N720" s="564"/>
      <c r="O720" s="1037" t="s">
        <v>754</v>
      </c>
      <c r="AJ720" s="113"/>
      <c r="AK720" s="113"/>
      <c r="AL720" s="113"/>
      <c r="AM720" s="113"/>
      <c r="AN720" s="113"/>
      <c r="AO720" s="113"/>
      <c r="AP720" s="113"/>
      <c r="AQ720" s="113"/>
      <c r="AR720" s="113"/>
      <c r="AS720" s="113"/>
      <c r="AT720" s="113"/>
      <c r="AU720" s="113"/>
      <c r="AV720" s="113"/>
      <c r="AW720" s="113"/>
      <c r="AX720" s="113"/>
      <c r="AY720" s="113"/>
      <c r="AZ720" s="113"/>
      <c r="BA720" s="113"/>
      <c r="BB720" s="113"/>
      <c r="BC720" s="113"/>
      <c r="BD720" s="113"/>
      <c r="BE720" s="113"/>
      <c r="BF720" s="113"/>
      <c r="BG720" s="113"/>
      <c r="BH720" s="113"/>
      <c r="BI720" s="113"/>
    </row>
    <row r="721" spans="1:15" ht="24.6" customHeight="1">
      <c r="A721" s="1029"/>
      <c r="B721" s="564" t="s">
        <v>248</v>
      </c>
      <c r="C721" s="564"/>
      <c r="D721" s="564"/>
      <c r="E721" s="564"/>
      <c r="F721" s="564"/>
      <c r="G721" s="103">
        <f t="shared" si="222"/>
        <v>5663.8</v>
      </c>
      <c r="H721" s="103"/>
      <c r="I721" s="103"/>
      <c r="J721" s="103"/>
      <c r="K721" s="103">
        <v>5663.8</v>
      </c>
      <c r="L721" s="103"/>
      <c r="M721" s="679"/>
      <c r="N721" s="564"/>
      <c r="O721" s="1037"/>
    </row>
    <row r="722" spans="1:15" ht="24.6" customHeight="1">
      <c r="A722" s="1038" t="s">
        <v>103</v>
      </c>
      <c r="B722" s="62" t="s">
        <v>744</v>
      </c>
      <c r="C722" s="62"/>
      <c r="D722" s="62"/>
      <c r="E722" s="62"/>
      <c r="F722" s="62"/>
      <c r="G722" s="102">
        <f>G726+G728+G730+G735+G739+G743</f>
        <v>0</v>
      </c>
      <c r="H722" s="102">
        <f t="shared" ref="H722:M722" si="223">H726+H728+H730+H735+H739+H743</f>
        <v>0</v>
      </c>
      <c r="I722" s="102">
        <f t="shared" si="223"/>
        <v>0</v>
      </c>
      <c r="J722" s="102">
        <f t="shared" si="223"/>
        <v>0</v>
      </c>
      <c r="K722" s="102">
        <f t="shared" si="223"/>
        <v>0</v>
      </c>
      <c r="L722" s="102">
        <f>L726+L728+L730+L735+L739+L743+L741</f>
        <v>5</v>
      </c>
      <c r="M722" s="102">
        <f t="shared" si="223"/>
        <v>1</v>
      </c>
      <c r="N722" s="564"/>
      <c r="O722" s="62"/>
    </row>
    <row r="723" spans="1:15" ht="24.6" customHeight="1">
      <c r="A723" s="1038"/>
      <c r="B723" s="62" t="s">
        <v>446</v>
      </c>
      <c r="C723" s="62"/>
      <c r="D723" s="62"/>
      <c r="E723" s="62"/>
      <c r="F723" s="62"/>
      <c r="G723" s="102">
        <f>G724+G725</f>
        <v>2270.4</v>
      </c>
      <c r="H723" s="102">
        <f t="shared" ref="H723:M723" si="224">H724+H725</f>
        <v>0</v>
      </c>
      <c r="I723" s="102">
        <f t="shared" si="224"/>
        <v>0</v>
      </c>
      <c r="J723" s="102">
        <f t="shared" si="224"/>
        <v>0</v>
      </c>
      <c r="K723" s="102">
        <f t="shared" si="224"/>
        <v>2270.4</v>
      </c>
      <c r="L723" s="102">
        <f t="shared" si="224"/>
        <v>112000</v>
      </c>
      <c r="M723" s="499">
        <f t="shared" si="224"/>
        <v>15000</v>
      </c>
      <c r="N723" s="564"/>
      <c r="O723" s="62"/>
    </row>
    <row r="724" spans="1:15" ht="30.75" customHeight="1">
      <c r="A724" s="1038"/>
      <c r="B724" s="62" t="s">
        <v>249</v>
      </c>
      <c r="C724" s="62"/>
      <c r="D724" s="62"/>
      <c r="E724" s="62"/>
      <c r="F724" s="62"/>
      <c r="G724" s="102">
        <f>G727+G729+G732+G737+G740+G744</f>
        <v>2270.4</v>
      </c>
      <c r="H724" s="102">
        <f t="shared" ref="H724:M724" si="225">H727+H729+H732+H737+H740+H744</f>
        <v>0</v>
      </c>
      <c r="I724" s="102">
        <f t="shared" si="225"/>
        <v>0</v>
      </c>
      <c r="J724" s="102">
        <f t="shared" si="225"/>
        <v>0</v>
      </c>
      <c r="K724" s="102">
        <f t="shared" si="225"/>
        <v>2270.4</v>
      </c>
      <c r="L724" s="102">
        <f>L727+L729+L732+L737+L740+L744+L742</f>
        <v>112000</v>
      </c>
      <c r="M724" s="102">
        <f t="shared" si="225"/>
        <v>15000</v>
      </c>
      <c r="N724" s="564"/>
      <c r="O724" s="62"/>
    </row>
    <row r="725" spans="1:15" ht="22.5" customHeight="1">
      <c r="A725" s="1038"/>
      <c r="B725" s="62" t="s">
        <v>502</v>
      </c>
      <c r="C725" s="62"/>
      <c r="D725" s="62"/>
      <c r="E725" s="62"/>
      <c r="F725" s="62"/>
      <c r="G725" s="102">
        <f t="shared" ref="G725:L725" si="226">G734+G738</f>
        <v>0</v>
      </c>
      <c r="H725" s="102">
        <f t="shared" si="226"/>
        <v>0</v>
      </c>
      <c r="I725" s="102">
        <f t="shared" si="226"/>
        <v>0</v>
      </c>
      <c r="J725" s="102">
        <f t="shared" si="226"/>
        <v>0</v>
      </c>
      <c r="K725" s="102">
        <f t="shared" si="226"/>
        <v>0</v>
      </c>
      <c r="L725" s="102">
        <f t="shared" si="226"/>
        <v>0</v>
      </c>
      <c r="M725" s="499">
        <f>M733</f>
        <v>0</v>
      </c>
      <c r="N725" s="564"/>
      <c r="O725" s="62"/>
    </row>
    <row r="726" spans="1:15" ht="22.5" customHeight="1">
      <c r="A726" s="1028" t="s">
        <v>94</v>
      </c>
      <c r="B726" s="564" t="s">
        <v>744</v>
      </c>
      <c r="C726" s="564">
        <v>176</v>
      </c>
      <c r="D726" s="564" t="s">
        <v>15</v>
      </c>
      <c r="E726" s="564">
        <v>6100404</v>
      </c>
      <c r="F726" s="564">
        <v>243</v>
      </c>
      <c r="G726" s="103">
        <v>0</v>
      </c>
      <c r="H726" s="103"/>
      <c r="I726" s="103"/>
      <c r="J726" s="103"/>
      <c r="K726" s="103"/>
      <c r="L726" s="103"/>
      <c r="M726" s="679">
        <v>1</v>
      </c>
      <c r="N726" s="564"/>
      <c r="O726" s="1030" t="s">
        <v>226</v>
      </c>
    </row>
    <row r="727" spans="1:15" ht="22.5" customHeight="1">
      <c r="A727" s="1029"/>
      <c r="B727" s="564" t="s">
        <v>248</v>
      </c>
      <c r="C727" s="564"/>
      <c r="D727" s="564"/>
      <c r="E727" s="564"/>
      <c r="F727" s="564"/>
      <c r="G727" s="103">
        <f>K727</f>
        <v>0</v>
      </c>
      <c r="H727" s="103"/>
      <c r="I727" s="103"/>
      <c r="J727" s="103"/>
      <c r="K727" s="103"/>
      <c r="L727" s="103"/>
      <c r="M727" s="679">
        <v>15000</v>
      </c>
      <c r="N727" s="564"/>
      <c r="O727" s="1031"/>
    </row>
    <row r="728" spans="1:15" ht="22.5" customHeight="1">
      <c r="A728" s="1039" t="s">
        <v>954</v>
      </c>
      <c r="B728" s="564" t="s">
        <v>744</v>
      </c>
      <c r="C728" s="564">
        <v>176</v>
      </c>
      <c r="D728" s="564" t="s">
        <v>15</v>
      </c>
      <c r="E728" s="564">
        <v>6100404</v>
      </c>
      <c r="F728" s="564">
        <v>243</v>
      </c>
      <c r="G728" s="103">
        <v>0</v>
      </c>
      <c r="H728" s="103"/>
      <c r="I728" s="103"/>
      <c r="J728" s="103"/>
      <c r="K728" s="103"/>
      <c r="L728" s="103">
        <v>1</v>
      </c>
      <c r="M728" s="679"/>
      <c r="N728" s="564"/>
      <c r="O728" s="1037" t="s">
        <v>226</v>
      </c>
    </row>
    <row r="729" spans="1:15" ht="22.5" customHeight="1">
      <c r="A729" s="1039"/>
      <c r="B729" s="564" t="s">
        <v>248</v>
      </c>
      <c r="C729" s="564"/>
      <c r="D729" s="564"/>
      <c r="E729" s="564"/>
      <c r="F729" s="564"/>
      <c r="G729" s="103"/>
      <c r="H729" s="103"/>
      <c r="I729" s="103"/>
      <c r="J729" s="103"/>
      <c r="K729" s="103"/>
      <c r="L729" s="103">
        <v>13000</v>
      </c>
      <c r="M729" s="679"/>
      <c r="N729" s="564"/>
      <c r="O729" s="1037"/>
    </row>
    <row r="730" spans="1:15" ht="22.5" customHeight="1">
      <c r="A730" s="1028" t="s">
        <v>832</v>
      </c>
      <c r="B730" s="564" t="s">
        <v>744</v>
      </c>
      <c r="C730" s="564">
        <v>176</v>
      </c>
      <c r="D730" s="564" t="s">
        <v>15</v>
      </c>
      <c r="E730" s="564">
        <v>6100404</v>
      </c>
      <c r="F730" s="564">
        <v>243</v>
      </c>
      <c r="G730" s="103"/>
      <c r="H730" s="103"/>
      <c r="I730" s="103"/>
      <c r="J730" s="103"/>
      <c r="K730" s="103"/>
      <c r="L730" s="103">
        <v>1</v>
      </c>
      <c r="M730" s="679"/>
      <c r="N730" s="564"/>
      <c r="O730" s="1037" t="s">
        <v>226</v>
      </c>
    </row>
    <row r="731" spans="1:15" ht="22.9" customHeight="1">
      <c r="A731" s="1036"/>
      <c r="B731" s="564" t="s">
        <v>446</v>
      </c>
      <c r="C731" s="564"/>
      <c r="D731" s="564"/>
      <c r="E731" s="564"/>
      <c r="F731" s="564"/>
      <c r="G731" s="103">
        <f>G732+G734</f>
        <v>0</v>
      </c>
      <c r="H731" s="103">
        <f t="shared" ref="H731:K731" si="227">H732+H734</f>
        <v>0</v>
      </c>
      <c r="I731" s="103">
        <f t="shared" si="227"/>
        <v>0</v>
      </c>
      <c r="J731" s="103">
        <f t="shared" si="227"/>
        <v>0</v>
      </c>
      <c r="K731" s="103">
        <f t="shared" si="227"/>
        <v>0</v>
      </c>
      <c r="L731" s="103">
        <f>L732+L733</f>
        <v>18000</v>
      </c>
      <c r="M731" s="679">
        <f>M732+M733</f>
        <v>0</v>
      </c>
      <c r="N731" s="564"/>
      <c r="O731" s="1037"/>
    </row>
    <row r="732" spans="1:15" ht="22.9" customHeight="1">
      <c r="A732" s="1036"/>
      <c r="B732" s="564" t="s">
        <v>249</v>
      </c>
      <c r="C732" s="564"/>
      <c r="D732" s="564"/>
      <c r="E732" s="564"/>
      <c r="F732" s="564"/>
      <c r="G732" s="103">
        <f>K732</f>
        <v>0</v>
      </c>
      <c r="H732" s="103"/>
      <c r="I732" s="103"/>
      <c r="J732" s="103"/>
      <c r="K732" s="103"/>
      <c r="L732" s="103">
        <v>18000</v>
      </c>
      <c r="M732" s="679"/>
      <c r="N732" s="564"/>
      <c r="O732" s="1037"/>
    </row>
    <row r="733" spans="1:15" ht="15.75" hidden="1" customHeight="1">
      <c r="A733" s="1036"/>
      <c r="B733" s="564" t="s">
        <v>502</v>
      </c>
      <c r="C733" s="564"/>
      <c r="D733" s="564"/>
      <c r="E733" s="564"/>
      <c r="F733" s="564"/>
      <c r="G733" s="103">
        <f>J733+K733</f>
        <v>0</v>
      </c>
      <c r="H733" s="103"/>
      <c r="I733" s="103"/>
      <c r="J733" s="103"/>
      <c r="K733" s="103"/>
      <c r="L733" s="103"/>
      <c r="M733" s="679"/>
      <c r="N733" s="564"/>
      <c r="O733" s="1037"/>
    </row>
    <row r="734" spans="1:15" ht="23.25" hidden="1" customHeight="1">
      <c r="A734" s="1029"/>
      <c r="B734" s="564" t="s">
        <v>502</v>
      </c>
      <c r="C734" s="564"/>
      <c r="D734" s="564"/>
      <c r="E734" s="564"/>
      <c r="F734" s="564"/>
      <c r="G734" s="103">
        <f>K734</f>
        <v>0</v>
      </c>
      <c r="H734" s="103"/>
      <c r="I734" s="103"/>
      <c r="J734" s="103"/>
      <c r="K734" s="103"/>
      <c r="L734" s="103"/>
      <c r="M734" s="679"/>
      <c r="N734" s="564"/>
      <c r="O734" s="1037"/>
    </row>
    <row r="735" spans="1:15" ht="23.45" customHeight="1">
      <c r="A735" s="1028" t="s">
        <v>184</v>
      </c>
      <c r="B735" s="564" t="s">
        <v>89</v>
      </c>
      <c r="C735" s="564">
        <v>176</v>
      </c>
      <c r="D735" s="564" t="s">
        <v>15</v>
      </c>
      <c r="E735" s="564">
        <v>6100404</v>
      </c>
      <c r="F735" s="564">
        <v>243</v>
      </c>
      <c r="G735" s="103"/>
      <c r="H735" s="103"/>
      <c r="I735" s="103"/>
      <c r="J735" s="103"/>
      <c r="K735" s="103"/>
      <c r="L735" s="103"/>
      <c r="M735" s="679"/>
      <c r="N735" s="564"/>
      <c r="O735" s="1037" t="s">
        <v>848</v>
      </c>
    </row>
    <row r="736" spans="1:15" ht="23.45" customHeight="1">
      <c r="A736" s="1036"/>
      <c r="B736" s="564" t="s">
        <v>446</v>
      </c>
      <c r="C736" s="564"/>
      <c r="D736" s="564"/>
      <c r="E736" s="564"/>
      <c r="F736" s="564"/>
      <c r="G736" s="103">
        <f>K736</f>
        <v>2270.4</v>
      </c>
      <c r="H736" s="103"/>
      <c r="I736" s="103"/>
      <c r="J736" s="103">
        <f>J737+J738</f>
        <v>0</v>
      </c>
      <c r="K736" s="103">
        <f>K737+K738</f>
        <v>2270.4</v>
      </c>
      <c r="L736" s="103">
        <f>L737</f>
        <v>0</v>
      </c>
      <c r="M736" s="679"/>
      <c r="N736" s="564"/>
      <c r="O736" s="1037"/>
    </row>
    <row r="737" spans="1:61" ht="21" customHeight="1">
      <c r="A737" s="1036"/>
      <c r="B737" s="564" t="s">
        <v>333</v>
      </c>
      <c r="C737" s="564"/>
      <c r="D737" s="564"/>
      <c r="E737" s="564"/>
      <c r="F737" s="564"/>
      <c r="G737" s="103">
        <f>K737</f>
        <v>2270.4</v>
      </c>
      <c r="H737" s="103"/>
      <c r="I737" s="103"/>
      <c r="J737" s="103"/>
      <c r="K737" s="103">
        <v>2270.4</v>
      </c>
      <c r="L737" s="103"/>
      <c r="N737" s="564"/>
      <c r="O737" s="1037"/>
    </row>
    <row r="738" spans="1:61" s="45" customFormat="1" ht="22.9" hidden="1" customHeight="1">
      <c r="A738" s="1029"/>
      <c r="B738" s="587" t="s">
        <v>502</v>
      </c>
      <c r="C738" s="564"/>
      <c r="D738" s="564"/>
      <c r="E738" s="564"/>
      <c r="F738" s="564"/>
      <c r="G738" s="103">
        <f t="shared" ref="G738" si="228">L738</f>
        <v>0</v>
      </c>
      <c r="H738" s="103"/>
      <c r="I738" s="103"/>
      <c r="J738" s="103"/>
      <c r="K738" s="103"/>
      <c r="L738" s="103"/>
      <c r="M738" s="679"/>
      <c r="N738" s="564"/>
      <c r="O738" s="1037"/>
      <c r="AJ738" s="113"/>
      <c r="AK738" s="113"/>
      <c r="AL738" s="113"/>
      <c r="AM738" s="113"/>
      <c r="AN738" s="113"/>
      <c r="AO738" s="113"/>
      <c r="AP738" s="113"/>
      <c r="AQ738" s="113"/>
      <c r="AR738" s="113"/>
      <c r="AS738" s="113"/>
      <c r="AT738" s="113"/>
      <c r="AU738" s="113"/>
      <c r="AV738" s="113"/>
      <c r="AW738" s="113"/>
      <c r="AX738" s="113"/>
      <c r="AY738" s="113"/>
      <c r="AZ738" s="113"/>
      <c r="BA738" s="113"/>
      <c r="BB738" s="113"/>
      <c r="BC738" s="113"/>
      <c r="BD738" s="113"/>
      <c r="BE738" s="113"/>
      <c r="BF738" s="113"/>
      <c r="BG738" s="113"/>
      <c r="BH738" s="113"/>
      <c r="BI738" s="113"/>
    </row>
    <row r="739" spans="1:61" s="45" customFormat="1" ht="21" customHeight="1">
      <c r="A739" s="1039" t="s">
        <v>833</v>
      </c>
      <c r="B739" s="757" t="s">
        <v>744</v>
      </c>
      <c r="C739" s="757">
        <v>176</v>
      </c>
      <c r="D739" s="757" t="s">
        <v>15</v>
      </c>
      <c r="E739" s="757">
        <v>6100404</v>
      </c>
      <c r="F739" s="757">
        <v>243</v>
      </c>
      <c r="G739" s="103"/>
      <c r="H739" s="103"/>
      <c r="I739" s="103"/>
      <c r="J739" s="103"/>
      <c r="K739" s="103"/>
      <c r="L739" s="103">
        <v>1</v>
      </c>
      <c r="M739" s="679"/>
      <c r="N739" s="757"/>
      <c r="O739" s="1037" t="s">
        <v>226</v>
      </c>
      <c r="AJ739" s="113"/>
      <c r="AK739" s="113"/>
      <c r="AL739" s="113"/>
      <c r="AM739" s="113"/>
      <c r="AN739" s="113"/>
      <c r="AO739" s="113"/>
      <c r="AP739" s="113"/>
      <c r="AQ739" s="113"/>
      <c r="AR739" s="113"/>
      <c r="AS739" s="113"/>
      <c r="AT739" s="113"/>
      <c r="AU739" s="113"/>
      <c r="AV739" s="113"/>
      <c r="AW739" s="113"/>
      <c r="AX739" s="113"/>
      <c r="AY739" s="113"/>
      <c r="AZ739" s="113"/>
      <c r="BA739" s="113"/>
      <c r="BB739" s="113"/>
      <c r="BC739" s="113"/>
      <c r="BD739" s="113"/>
      <c r="BE739" s="113"/>
      <c r="BF739" s="113"/>
      <c r="BG739" s="113"/>
      <c r="BH739" s="113"/>
      <c r="BI739" s="113"/>
    </row>
    <row r="740" spans="1:61" ht="24.6" customHeight="1">
      <c r="A740" s="1039"/>
      <c r="B740" s="757" t="s">
        <v>248</v>
      </c>
      <c r="C740" s="757"/>
      <c r="D740" s="757"/>
      <c r="E740" s="757"/>
      <c r="F740" s="757"/>
      <c r="G740" s="103">
        <f>K740</f>
        <v>0</v>
      </c>
      <c r="H740" s="103"/>
      <c r="I740" s="103"/>
      <c r="J740" s="103"/>
      <c r="K740" s="103"/>
      <c r="L740" s="103">
        <v>18000</v>
      </c>
      <c r="M740" s="679"/>
      <c r="N740" s="757"/>
      <c r="O740" s="1037"/>
    </row>
    <row r="741" spans="1:61" s="45" customFormat="1" ht="21" customHeight="1">
      <c r="A741" s="1039" t="s">
        <v>955</v>
      </c>
      <c r="B741" s="855" t="s">
        <v>744</v>
      </c>
      <c r="C741" s="855">
        <v>176</v>
      </c>
      <c r="D741" s="855" t="s">
        <v>15</v>
      </c>
      <c r="E741" s="855">
        <v>6100404</v>
      </c>
      <c r="F741" s="855">
        <v>243</v>
      </c>
      <c r="G741" s="103"/>
      <c r="H741" s="103"/>
      <c r="I741" s="103"/>
      <c r="J741" s="103"/>
      <c r="K741" s="103"/>
      <c r="L741" s="103">
        <v>1</v>
      </c>
      <c r="M741" s="679"/>
      <c r="N741" s="855"/>
      <c r="O741" s="1037" t="s">
        <v>226</v>
      </c>
      <c r="AJ741" s="113"/>
      <c r="AK741" s="113"/>
      <c r="AL741" s="113"/>
      <c r="AM741" s="113"/>
      <c r="AN741" s="113"/>
      <c r="AO741" s="113"/>
      <c r="AP741" s="113"/>
      <c r="AQ741" s="113"/>
      <c r="AR741" s="113"/>
      <c r="AS741" s="113"/>
      <c r="AT741" s="113"/>
      <c r="AU741" s="113"/>
      <c r="AV741" s="113"/>
      <c r="AW741" s="113"/>
      <c r="AX741" s="113"/>
      <c r="AY741" s="113"/>
      <c r="AZ741" s="113"/>
      <c r="BA741" s="113"/>
      <c r="BB741" s="113"/>
      <c r="BC741" s="113"/>
      <c r="BD741" s="113"/>
      <c r="BE741" s="113"/>
      <c r="BF741" s="113"/>
      <c r="BG741" s="113"/>
      <c r="BH741" s="113"/>
      <c r="BI741" s="113"/>
    </row>
    <row r="742" spans="1:61" ht="24.6" customHeight="1">
      <c r="A742" s="1039"/>
      <c r="B742" s="855" t="s">
        <v>248</v>
      </c>
      <c r="C742" s="855"/>
      <c r="D742" s="855"/>
      <c r="E742" s="855"/>
      <c r="F742" s="855"/>
      <c r="G742" s="103">
        <f>K742</f>
        <v>0</v>
      </c>
      <c r="H742" s="103"/>
      <c r="I742" s="103"/>
      <c r="J742" s="103"/>
      <c r="K742" s="103"/>
      <c r="L742" s="103">
        <v>13000</v>
      </c>
      <c r="M742" s="679"/>
      <c r="N742" s="855"/>
      <c r="O742" s="1037"/>
    </row>
    <row r="743" spans="1:61" s="45" customFormat="1" ht="21" customHeight="1">
      <c r="A743" s="1039" t="s">
        <v>1128</v>
      </c>
      <c r="B743" s="564" t="s">
        <v>744</v>
      </c>
      <c r="C743" s="564">
        <v>176</v>
      </c>
      <c r="D743" s="564" t="s">
        <v>15</v>
      </c>
      <c r="E743" s="564">
        <v>6100404</v>
      </c>
      <c r="F743" s="564">
        <v>243</v>
      </c>
      <c r="G743" s="103"/>
      <c r="H743" s="103"/>
      <c r="I743" s="103"/>
      <c r="J743" s="103"/>
      <c r="K743" s="103"/>
      <c r="L743" s="103">
        <v>1</v>
      </c>
      <c r="M743" s="679"/>
      <c r="N743" s="564"/>
      <c r="O743" s="1037" t="s">
        <v>1130</v>
      </c>
      <c r="AJ743" s="113"/>
      <c r="AK743" s="113"/>
      <c r="AL743" s="113"/>
      <c r="AM743" s="113"/>
      <c r="AN743" s="113"/>
      <c r="AO743" s="113"/>
      <c r="AP743" s="113"/>
      <c r="AQ743" s="113"/>
      <c r="AR743" s="113"/>
      <c r="AS743" s="113"/>
      <c r="AT743" s="113"/>
      <c r="AU743" s="113"/>
      <c r="AV743" s="113"/>
      <c r="AW743" s="113"/>
      <c r="AX743" s="113"/>
      <c r="AY743" s="113"/>
      <c r="AZ743" s="113"/>
      <c r="BA743" s="113"/>
      <c r="BB743" s="113"/>
      <c r="BC743" s="113"/>
      <c r="BD743" s="113"/>
      <c r="BE743" s="113"/>
      <c r="BF743" s="113"/>
      <c r="BG743" s="113"/>
      <c r="BH743" s="113"/>
      <c r="BI743" s="113"/>
    </row>
    <row r="744" spans="1:61" ht="24.6" customHeight="1">
      <c r="A744" s="1039"/>
      <c r="B744" s="564" t="s">
        <v>248</v>
      </c>
      <c r="C744" s="564"/>
      <c r="D744" s="564"/>
      <c r="E744" s="564"/>
      <c r="F744" s="564"/>
      <c r="G744" s="103">
        <f>K744</f>
        <v>0</v>
      </c>
      <c r="H744" s="103"/>
      <c r="I744" s="103"/>
      <c r="J744" s="103"/>
      <c r="K744" s="103"/>
      <c r="L744" s="103">
        <v>50000</v>
      </c>
      <c r="M744" s="679"/>
      <c r="N744" s="564"/>
      <c r="O744" s="1037"/>
    </row>
    <row r="745" spans="1:61" ht="24.6" customHeight="1">
      <c r="A745" s="1038" t="s">
        <v>104</v>
      </c>
      <c r="B745" s="62" t="s">
        <v>89</v>
      </c>
      <c r="C745" s="62"/>
      <c r="D745" s="62"/>
      <c r="E745" s="62"/>
      <c r="F745" s="62"/>
      <c r="G745" s="102">
        <f>G749+G751+G753+G755+G757+G759</f>
        <v>6</v>
      </c>
      <c r="H745" s="102">
        <f t="shared" ref="H745:K745" si="229">H749+H751+H753+H755+H757+H759</f>
        <v>0</v>
      </c>
      <c r="I745" s="102">
        <f t="shared" si="229"/>
        <v>0</v>
      </c>
      <c r="J745" s="102">
        <f t="shared" si="229"/>
        <v>0</v>
      </c>
      <c r="K745" s="102">
        <f t="shared" si="229"/>
        <v>6</v>
      </c>
      <c r="L745" s="102">
        <f>L747+L759</f>
        <v>1</v>
      </c>
      <c r="M745" s="499">
        <f>M747+M759</f>
        <v>0</v>
      </c>
      <c r="N745" s="564"/>
      <c r="O745" s="62"/>
    </row>
    <row r="746" spans="1:61" ht="22.5" customHeight="1">
      <c r="A746" s="1038"/>
      <c r="B746" s="62" t="s">
        <v>248</v>
      </c>
      <c r="C746" s="62"/>
      <c r="D746" s="62"/>
      <c r="E746" s="62"/>
      <c r="F746" s="62"/>
      <c r="G746" s="102">
        <f>G750+G752+G754+G756+G758+G760</f>
        <v>108920.6</v>
      </c>
      <c r="H746" s="102">
        <f t="shared" ref="H746:K746" si="230">H750+H752+H754+H756+H758+H760</f>
        <v>0</v>
      </c>
      <c r="I746" s="102">
        <f t="shared" si="230"/>
        <v>0</v>
      </c>
      <c r="J746" s="102">
        <f t="shared" si="230"/>
        <v>0</v>
      </c>
      <c r="K746" s="102">
        <f t="shared" si="230"/>
        <v>108920.6</v>
      </c>
      <c r="L746" s="102">
        <f>L748+L760</f>
        <v>35000</v>
      </c>
      <c r="M746" s="499">
        <f>M748+M760</f>
        <v>0</v>
      </c>
      <c r="N746" s="564"/>
      <c r="O746" s="62"/>
    </row>
    <row r="747" spans="1:61" ht="22.5" customHeight="1">
      <c r="A747" s="1039" t="s">
        <v>1129</v>
      </c>
      <c r="B747" s="564" t="s">
        <v>89</v>
      </c>
      <c r="C747" s="564">
        <v>176</v>
      </c>
      <c r="D747" s="564" t="s">
        <v>15</v>
      </c>
      <c r="E747" s="564">
        <v>6100404</v>
      </c>
      <c r="F747" s="564">
        <v>243</v>
      </c>
      <c r="G747" s="102">
        <f t="shared" ref="G747:G760" si="231">K747</f>
        <v>0</v>
      </c>
      <c r="H747" s="103"/>
      <c r="I747" s="103"/>
      <c r="J747" s="103"/>
      <c r="K747" s="103"/>
      <c r="L747" s="103">
        <v>1</v>
      </c>
      <c r="M747" s="679"/>
      <c r="N747" s="564"/>
      <c r="O747" s="1037" t="s">
        <v>1131</v>
      </c>
    </row>
    <row r="748" spans="1:61" s="45" customFormat="1" ht="29.25" customHeight="1">
      <c r="A748" s="1039"/>
      <c r="B748" s="564" t="s">
        <v>248</v>
      </c>
      <c r="C748" s="564"/>
      <c r="D748" s="564"/>
      <c r="E748" s="564"/>
      <c r="F748" s="564"/>
      <c r="G748" s="102">
        <f t="shared" si="231"/>
        <v>0</v>
      </c>
      <c r="H748" s="103"/>
      <c r="I748" s="103"/>
      <c r="J748" s="103"/>
      <c r="K748" s="103"/>
      <c r="L748" s="103">
        <v>35000</v>
      </c>
      <c r="M748" s="679"/>
      <c r="N748" s="564"/>
      <c r="O748" s="1037"/>
      <c r="AJ748" s="113"/>
      <c r="AK748" s="113"/>
      <c r="AL748" s="113"/>
      <c r="AM748" s="113"/>
      <c r="AN748" s="113"/>
      <c r="AO748" s="113"/>
      <c r="AP748" s="113"/>
      <c r="AQ748" s="113"/>
      <c r="AR748" s="113"/>
      <c r="AS748" s="113"/>
      <c r="AT748" s="113"/>
      <c r="AU748" s="113"/>
      <c r="AV748" s="113"/>
      <c r="AW748" s="113"/>
      <c r="AX748" s="113"/>
      <c r="AY748" s="113"/>
      <c r="AZ748" s="113"/>
      <c r="BA748" s="113"/>
      <c r="BB748" s="113"/>
      <c r="BC748" s="113"/>
      <c r="BD748" s="113"/>
      <c r="BE748" s="113"/>
      <c r="BF748" s="113"/>
      <c r="BG748" s="113"/>
      <c r="BH748" s="113"/>
      <c r="BI748" s="113"/>
    </row>
    <row r="749" spans="1:61" s="45" customFormat="1" ht="22.5" customHeight="1">
      <c r="A749" s="1039" t="s">
        <v>109</v>
      </c>
      <c r="B749" s="769" t="s">
        <v>89</v>
      </c>
      <c r="C749" s="769">
        <v>176</v>
      </c>
      <c r="D749" s="769" t="s">
        <v>15</v>
      </c>
      <c r="E749" s="769">
        <v>6100404</v>
      </c>
      <c r="F749" s="769">
        <v>243</v>
      </c>
      <c r="G749" s="103">
        <f t="shared" ref="G749:G758" si="232">K749</f>
        <v>1</v>
      </c>
      <c r="H749" s="103"/>
      <c r="I749" s="103"/>
      <c r="J749" s="103"/>
      <c r="K749" s="103">
        <v>1</v>
      </c>
      <c r="L749" s="103"/>
      <c r="M749" s="679"/>
      <c r="N749" s="769"/>
      <c r="O749" s="1037" t="s">
        <v>754</v>
      </c>
      <c r="AJ749" s="113"/>
      <c r="AK749" s="113"/>
      <c r="AL749" s="113"/>
      <c r="AM749" s="113"/>
      <c r="AN749" s="113"/>
      <c r="AO749" s="113"/>
      <c r="AP749" s="113"/>
      <c r="AQ749" s="113"/>
      <c r="AR749" s="113"/>
      <c r="AS749" s="113"/>
      <c r="AT749" s="113"/>
      <c r="AU749" s="113"/>
      <c r="AV749" s="113"/>
      <c r="AW749" s="113"/>
      <c r="AX749" s="113"/>
      <c r="AY749" s="113"/>
      <c r="AZ749" s="113"/>
      <c r="BA749" s="113"/>
      <c r="BB749" s="113"/>
      <c r="BC749" s="113"/>
      <c r="BD749" s="113"/>
      <c r="BE749" s="113"/>
      <c r="BF749" s="113"/>
      <c r="BG749" s="113"/>
      <c r="BH749" s="113"/>
      <c r="BI749" s="113"/>
    </row>
    <row r="750" spans="1:61" ht="24.6" customHeight="1">
      <c r="A750" s="1039"/>
      <c r="B750" s="769" t="s">
        <v>248</v>
      </c>
      <c r="C750" s="769"/>
      <c r="D750" s="769"/>
      <c r="E750" s="769"/>
      <c r="F750" s="769"/>
      <c r="G750" s="103">
        <f t="shared" si="232"/>
        <v>19772.599999999999</v>
      </c>
      <c r="H750" s="103"/>
      <c r="I750" s="103"/>
      <c r="J750" s="103"/>
      <c r="K750" s="103">
        <v>19772.599999999999</v>
      </c>
      <c r="L750" s="103"/>
      <c r="M750" s="679"/>
      <c r="N750" s="769"/>
      <c r="O750" s="1037"/>
    </row>
    <row r="751" spans="1:61" s="45" customFormat="1" ht="23.45" customHeight="1">
      <c r="A751" s="1028" t="s">
        <v>999</v>
      </c>
      <c r="B751" s="769" t="s">
        <v>89</v>
      </c>
      <c r="C751" s="769">
        <v>176</v>
      </c>
      <c r="D751" s="769" t="s">
        <v>15</v>
      </c>
      <c r="E751" s="769">
        <v>6100404</v>
      </c>
      <c r="F751" s="769">
        <v>243</v>
      </c>
      <c r="G751" s="103">
        <f t="shared" si="232"/>
        <v>1</v>
      </c>
      <c r="H751" s="103"/>
      <c r="I751" s="103"/>
      <c r="J751" s="103"/>
      <c r="K751" s="103">
        <v>1</v>
      </c>
      <c r="L751" s="103"/>
      <c r="M751" s="679"/>
      <c r="N751" s="769"/>
      <c r="O751" s="1037" t="s">
        <v>1004</v>
      </c>
      <c r="AJ751" s="113"/>
      <c r="AK751" s="113"/>
      <c r="AL751" s="113"/>
      <c r="AM751" s="113"/>
      <c r="AN751" s="113"/>
      <c r="AO751" s="113"/>
      <c r="AP751" s="113"/>
      <c r="AQ751" s="113"/>
      <c r="AR751" s="113"/>
      <c r="AS751" s="113"/>
      <c r="AT751" s="113"/>
      <c r="AU751" s="113"/>
      <c r="AV751" s="113"/>
      <c r="AW751" s="113"/>
      <c r="AX751" s="113"/>
      <c r="AY751" s="113"/>
      <c r="AZ751" s="113"/>
      <c r="BA751" s="113"/>
      <c r="BB751" s="113"/>
      <c r="BC751" s="113"/>
      <c r="BD751" s="113"/>
      <c r="BE751" s="113"/>
      <c r="BF751" s="113"/>
      <c r="BG751" s="113"/>
      <c r="BH751" s="113"/>
      <c r="BI751" s="113"/>
    </row>
    <row r="752" spans="1:61" ht="24.6" customHeight="1">
      <c r="A752" s="1029"/>
      <c r="B752" s="769" t="s">
        <v>248</v>
      </c>
      <c r="C752" s="769"/>
      <c r="D752" s="769"/>
      <c r="E752" s="769"/>
      <c r="F752" s="769"/>
      <c r="G752" s="103">
        <f t="shared" si="232"/>
        <v>26100</v>
      </c>
      <c r="H752" s="103"/>
      <c r="I752" s="103"/>
      <c r="J752" s="103"/>
      <c r="K752" s="103">
        <v>26100</v>
      </c>
      <c r="L752" s="103"/>
      <c r="M752" s="679"/>
      <c r="N752" s="769"/>
      <c r="O752" s="1037"/>
    </row>
    <row r="753" spans="1:61" s="45" customFormat="1" ht="23.45" customHeight="1">
      <c r="A753" s="1028" t="s">
        <v>1000</v>
      </c>
      <c r="B753" s="769" t="s">
        <v>89</v>
      </c>
      <c r="C753" s="769">
        <v>176</v>
      </c>
      <c r="D753" s="769" t="s">
        <v>15</v>
      </c>
      <c r="E753" s="769">
        <v>6100404</v>
      </c>
      <c r="F753" s="769">
        <v>243</v>
      </c>
      <c r="G753" s="103">
        <f t="shared" si="232"/>
        <v>1</v>
      </c>
      <c r="H753" s="103"/>
      <c r="I753" s="103"/>
      <c r="J753" s="103"/>
      <c r="K753" s="103">
        <v>1</v>
      </c>
      <c r="L753" s="103"/>
      <c r="M753" s="679"/>
      <c r="N753" s="769"/>
      <c r="O753" s="1037" t="s">
        <v>1004</v>
      </c>
      <c r="AJ753" s="113"/>
      <c r="AK753" s="113"/>
      <c r="AL753" s="113"/>
      <c r="AM753" s="113"/>
      <c r="AN753" s="113"/>
      <c r="AO753" s="113"/>
      <c r="AP753" s="113"/>
      <c r="AQ753" s="113"/>
      <c r="AR753" s="113"/>
      <c r="AS753" s="113"/>
      <c r="AT753" s="113"/>
      <c r="AU753" s="113"/>
      <c r="AV753" s="113"/>
      <c r="AW753" s="113"/>
      <c r="AX753" s="113"/>
      <c r="AY753" s="113"/>
      <c r="AZ753" s="113"/>
      <c r="BA753" s="113"/>
      <c r="BB753" s="113"/>
      <c r="BC753" s="113"/>
      <c r="BD753" s="113"/>
      <c r="BE753" s="113"/>
      <c r="BF753" s="113"/>
      <c r="BG753" s="113"/>
      <c r="BH753" s="113"/>
      <c r="BI753" s="113"/>
    </row>
    <row r="754" spans="1:61" ht="24.6" customHeight="1">
      <c r="A754" s="1029"/>
      <c r="B754" s="769" t="s">
        <v>248</v>
      </c>
      <c r="C754" s="769"/>
      <c r="D754" s="769"/>
      <c r="E754" s="769"/>
      <c r="F754" s="769"/>
      <c r="G754" s="103">
        <f t="shared" si="232"/>
        <v>16236</v>
      </c>
      <c r="H754" s="103"/>
      <c r="I754" s="103"/>
      <c r="J754" s="103"/>
      <c r="K754" s="103">
        <v>16236</v>
      </c>
      <c r="L754" s="103"/>
      <c r="M754" s="679"/>
      <c r="N754" s="769"/>
      <c r="O754" s="1037"/>
    </row>
    <row r="755" spans="1:61" s="45" customFormat="1" ht="23.45" customHeight="1">
      <c r="A755" s="1028" t="s">
        <v>1001</v>
      </c>
      <c r="B755" s="769" t="s">
        <v>89</v>
      </c>
      <c r="C755" s="769">
        <v>176</v>
      </c>
      <c r="D755" s="769" t="s">
        <v>15</v>
      </c>
      <c r="E755" s="769">
        <v>6100404</v>
      </c>
      <c r="F755" s="769">
        <v>243</v>
      </c>
      <c r="G755" s="103">
        <f t="shared" si="232"/>
        <v>1</v>
      </c>
      <c r="H755" s="103"/>
      <c r="I755" s="103"/>
      <c r="J755" s="103"/>
      <c r="K755" s="103">
        <v>1</v>
      </c>
      <c r="L755" s="103"/>
      <c r="M755" s="679"/>
      <c r="N755" s="769"/>
      <c r="O755" s="1037" t="s">
        <v>1004</v>
      </c>
      <c r="AJ755" s="113"/>
      <c r="AK755" s="113"/>
      <c r="AL755" s="113"/>
      <c r="AM755" s="113"/>
      <c r="AN755" s="113"/>
      <c r="AO755" s="113"/>
      <c r="AP755" s="113"/>
      <c r="AQ755" s="113"/>
      <c r="AR755" s="113"/>
      <c r="AS755" s="113"/>
      <c r="AT755" s="113"/>
      <c r="AU755" s="113"/>
      <c r="AV755" s="113"/>
      <c r="AW755" s="113"/>
      <c r="AX755" s="113"/>
      <c r="AY755" s="113"/>
      <c r="AZ755" s="113"/>
      <c r="BA755" s="113"/>
      <c r="BB755" s="113"/>
      <c r="BC755" s="113"/>
      <c r="BD755" s="113"/>
      <c r="BE755" s="113"/>
      <c r="BF755" s="113"/>
      <c r="BG755" s="113"/>
      <c r="BH755" s="113"/>
      <c r="BI755" s="113"/>
    </row>
    <row r="756" spans="1:61" ht="24.6" customHeight="1">
      <c r="A756" s="1029"/>
      <c r="B756" s="769" t="s">
        <v>248</v>
      </c>
      <c r="C756" s="769"/>
      <c r="D756" s="769"/>
      <c r="E756" s="769"/>
      <c r="F756" s="769"/>
      <c r="G756" s="103">
        <f t="shared" si="232"/>
        <v>14737</v>
      </c>
      <c r="H756" s="103"/>
      <c r="I756" s="103"/>
      <c r="J756" s="103"/>
      <c r="K756" s="103">
        <v>14737</v>
      </c>
      <c r="L756" s="103"/>
      <c r="M756" s="679"/>
      <c r="N756" s="769"/>
      <c r="O756" s="1037"/>
    </row>
    <row r="757" spans="1:61" s="45" customFormat="1" ht="23.45" customHeight="1">
      <c r="A757" s="1028" t="s">
        <v>1002</v>
      </c>
      <c r="B757" s="769" t="s">
        <v>89</v>
      </c>
      <c r="C757" s="769">
        <v>176</v>
      </c>
      <c r="D757" s="769" t="s">
        <v>15</v>
      </c>
      <c r="E757" s="769">
        <v>6100404</v>
      </c>
      <c r="F757" s="769">
        <v>243</v>
      </c>
      <c r="G757" s="103">
        <f t="shared" si="232"/>
        <v>1</v>
      </c>
      <c r="H757" s="103"/>
      <c r="I757" s="103"/>
      <c r="J757" s="103"/>
      <c r="K757" s="103">
        <v>1</v>
      </c>
      <c r="L757" s="103"/>
      <c r="M757" s="679"/>
      <c r="N757" s="769"/>
      <c r="O757" s="1037" t="s">
        <v>1004</v>
      </c>
      <c r="AJ757" s="113"/>
      <c r="AK757" s="113"/>
      <c r="AL757" s="113"/>
      <c r="AM757" s="113"/>
      <c r="AN757" s="113"/>
      <c r="AO757" s="113"/>
      <c r="AP757" s="113"/>
      <c r="AQ757" s="113"/>
      <c r="AR757" s="113"/>
      <c r="AS757" s="113"/>
      <c r="AT757" s="113"/>
      <c r="AU757" s="113"/>
      <c r="AV757" s="113"/>
      <c r="AW757" s="113"/>
      <c r="AX757" s="113"/>
      <c r="AY757" s="113"/>
      <c r="AZ757" s="113"/>
      <c r="BA757" s="113"/>
      <c r="BB757" s="113"/>
      <c r="BC757" s="113"/>
      <c r="BD757" s="113"/>
      <c r="BE757" s="113"/>
      <c r="BF757" s="113"/>
      <c r="BG757" s="113"/>
      <c r="BH757" s="113"/>
      <c r="BI757" s="113"/>
    </row>
    <row r="758" spans="1:61" ht="24.6" customHeight="1">
      <c r="A758" s="1029"/>
      <c r="B758" s="769" t="s">
        <v>248</v>
      </c>
      <c r="C758" s="769"/>
      <c r="D758" s="769"/>
      <c r="E758" s="769"/>
      <c r="F758" s="769"/>
      <c r="G758" s="103">
        <f t="shared" si="232"/>
        <v>15668</v>
      </c>
      <c r="H758" s="103"/>
      <c r="I758" s="103"/>
      <c r="J758" s="103"/>
      <c r="K758" s="103">
        <v>15668</v>
      </c>
      <c r="L758" s="103"/>
      <c r="M758" s="679"/>
      <c r="N758" s="769"/>
      <c r="O758" s="1037"/>
    </row>
    <row r="759" spans="1:61" s="45" customFormat="1" ht="23.45" customHeight="1">
      <c r="A759" s="1028" t="s">
        <v>1003</v>
      </c>
      <c r="B759" s="564" t="s">
        <v>89</v>
      </c>
      <c r="C759" s="564">
        <v>176</v>
      </c>
      <c r="D759" s="564" t="s">
        <v>15</v>
      </c>
      <c r="E759" s="564">
        <v>6100404</v>
      </c>
      <c r="F759" s="564">
        <v>243</v>
      </c>
      <c r="G759" s="103">
        <f t="shared" si="231"/>
        <v>1</v>
      </c>
      <c r="H759" s="103"/>
      <c r="I759" s="103"/>
      <c r="J759" s="103"/>
      <c r="K759" s="103">
        <v>1</v>
      </c>
      <c r="L759" s="103"/>
      <c r="M759" s="679"/>
      <c r="N759" s="564"/>
      <c r="O759" s="1037" t="s">
        <v>1004</v>
      </c>
      <c r="AJ759" s="113"/>
      <c r="AK759" s="113"/>
      <c r="AL759" s="113"/>
      <c r="AM759" s="113"/>
      <c r="AN759" s="113"/>
      <c r="AO759" s="113"/>
      <c r="AP759" s="113"/>
      <c r="AQ759" s="113"/>
      <c r="AR759" s="113"/>
      <c r="AS759" s="113"/>
      <c r="AT759" s="113"/>
      <c r="AU759" s="113"/>
      <c r="AV759" s="113"/>
      <c r="AW759" s="113"/>
      <c r="AX759" s="113"/>
      <c r="AY759" s="113"/>
      <c r="AZ759" s="113"/>
      <c r="BA759" s="113"/>
      <c r="BB759" s="113"/>
      <c r="BC759" s="113"/>
      <c r="BD759" s="113"/>
      <c r="BE759" s="113"/>
      <c r="BF759" s="113"/>
      <c r="BG759" s="113"/>
      <c r="BH759" s="113"/>
      <c r="BI759" s="113"/>
    </row>
    <row r="760" spans="1:61" ht="24.6" customHeight="1">
      <c r="A760" s="1029"/>
      <c r="B760" s="564" t="s">
        <v>248</v>
      </c>
      <c r="C760" s="564"/>
      <c r="D760" s="564"/>
      <c r="E760" s="564"/>
      <c r="F760" s="564"/>
      <c r="G760" s="103">
        <f t="shared" si="231"/>
        <v>16407</v>
      </c>
      <c r="H760" s="103"/>
      <c r="I760" s="103"/>
      <c r="J760" s="103"/>
      <c r="K760" s="103">
        <v>16407</v>
      </c>
      <c r="L760" s="103"/>
      <c r="M760" s="679"/>
      <c r="N760" s="564"/>
      <c r="O760" s="1037"/>
    </row>
    <row r="761" spans="1:61" ht="24.6" hidden="1" customHeight="1">
      <c r="A761" s="1038" t="s">
        <v>136</v>
      </c>
      <c r="B761" s="62" t="s">
        <v>89</v>
      </c>
      <c r="C761" s="62"/>
      <c r="D761" s="62"/>
      <c r="E761" s="62"/>
      <c r="F761" s="62"/>
      <c r="G761" s="102">
        <f>G767+G771+G773</f>
        <v>0</v>
      </c>
      <c r="H761" s="102"/>
      <c r="I761" s="102"/>
      <c r="J761" s="102"/>
      <c r="K761" s="102"/>
      <c r="L761" s="102">
        <f t="shared" ref="L761:M762" si="233">L767+L771+L773</f>
        <v>0</v>
      </c>
      <c r="M761" s="499">
        <f t="shared" si="233"/>
        <v>0</v>
      </c>
      <c r="N761" s="564"/>
      <c r="O761" s="62"/>
    </row>
    <row r="762" spans="1:61" ht="24.6" hidden="1" customHeight="1">
      <c r="A762" s="1038"/>
      <c r="B762" s="62" t="s">
        <v>248</v>
      </c>
      <c r="C762" s="62"/>
      <c r="D762" s="62"/>
      <c r="E762" s="62"/>
      <c r="F762" s="62"/>
      <c r="G762" s="102">
        <f>G768+G772+G774</f>
        <v>0</v>
      </c>
      <c r="H762" s="102">
        <f t="shared" ref="H762:K762" si="234">H768+H772+H774</f>
        <v>0</v>
      </c>
      <c r="I762" s="102">
        <f t="shared" si="234"/>
        <v>0</v>
      </c>
      <c r="J762" s="102">
        <f t="shared" si="234"/>
        <v>0</v>
      </c>
      <c r="K762" s="102">
        <f t="shared" si="234"/>
        <v>0</v>
      </c>
      <c r="L762" s="102">
        <f t="shared" si="233"/>
        <v>0</v>
      </c>
      <c r="M762" s="499">
        <f t="shared" si="233"/>
        <v>0</v>
      </c>
      <c r="N762" s="564"/>
      <c r="O762" s="62"/>
    </row>
    <row r="763" spans="1:61" ht="0.6" hidden="1" customHeight="1">
      <c r="A763" s="1039" t="s">
        <v>135</v>
      </c>
      <c r="B763" s="564" t="s">
        <v>89</v>
      </c>
      <c r="C763" s="564">
        <v>176</v>
      </c>
      <c r="D763" s="564" t="s">
        <v>15</v>
      </c>
      <c r="E763" s="564">
        <v>6100404</v>
      </c>
      <c r="F763" s="564">
        <v>243</v>
      </c>
      <c r="G763" s="103">
        <v>0</v>
      </c>
      <c r="H763" s="103"/>
      <c r="I763" s="103"/>
      <c r="J763" s="103"/>
      <c r="K763" s="103"/>
      <c r="L763" s="103"/>
      <c r="M763" s="679"/>
      <c r="N763" s="564"/>
      <c r="O763" s="1037" t="s">
        <v>213</v>
      </c>
    </row>
    <row r="764" spans="1:61" ht="22.9" hidden="1" customHeight="1">
      <c r="A764" s="1039"/>
      <c r="B764" s="564" t="s">
        <v>248</v>
      </c>
      <c r="C764" s="564"/>
      <c r="D764" s="564"/>
      <c r="E764" s="564"/>
      <c r="F764" s="564"/>
      <c r="G764" s="103"/>
      <c r="H764" s="103"/>
      <c r="I764" s="103"/>
      <c r="J764" s="103"/>
      <c r="K764" s="103"/>
      <c r="L764" s="103"/>
      <c r="M764" s="679"/>
      <c r="N764" s="564"/>
      <c r="O764" s="1037"/>
    </row>
    <row r="765" spans="1:61" ht="24.6" hidden="1" customHeight="1">
      <c r="A765" s="563" t="s">
        <v>172</v>
      </c>
      <c r="B765" s="564" t="s">
        <v>89</v>
      </c>
      <c r="C765" s="564">
        <v>176</v>
      </c>
      <c r="D765" s="564" t="s">
        <v>15</v>
      </c>
      <c r="E765" s="564">
        <v>6100404</v>
      </c>
      <c r="F765" s="564">
        <v>243</v>
      </c>
      <c r="G765" s="103">
        <v>0</v>
      </c>
      <c r="H765" s="103"/>
      <c r="I765" s="103"/>
      <c r="J765" s="103"/>
      <c r="K765" s="103"/>
      <c r="L765" s="103"/>
      <c r="M765" s="679"/>
      <c r="N765" s="564"/>
      <c r="O765" s="564" t="s">
        <v>39</v>
      </c>
    </row>
    <row r="766" spans="1:61" ht="0.6" customHeight="1">
      <c r="A766" s="563"/>
      <c r="B766" s="564" t="s">
        <v>248</v>
      </c>
      <c r="C766" s="564"/>
      <c r="D766" s="564"/>
      <c r="E766" s="564"/>
      <c r="F766" s="564"/>
      <c r="G766" s="103"/>
      <c r="H766" s="103"/>
      <c r="I766" s="103"/>
      <c r="J766" s="103"/>
      <c r="K766" s="103"/>
      <c r="L766" s="103"/>
      <c r="M766" s="679"/>
      <c r="N766" s="564"/>
      <c r="O766" s="564"/>
    </row>
    <row r="767" spans="1:61" ht="24.6" hidden="1" customHeight="1">
      <c r="A767" s="1039" t="s">
        <v>156</v>
      </c>
      <c r="B767" s="564" t="s">
        <v>89</v>
      </c>
      <c r="C767" s="564">
        <v>176</v>
      </c>
      <c r="D767" s="564" t="s">
        <v>15</v>
      </c>
      <c r="E767" s="564">
        <v>6100404</v>
      </c>
      <c r="F767" s="564">
        <v>243</v>
      </c>
      <c r="G767" s="103">
        <v>0</v>
      </c>
      <c r="H767" s="103"/>
      <c r="I767" s="103"/>
      <c r="J767" s="103"/>
      <c r="K767" s="103"/>
      <c r="L767" s="103"/>
      <c r="M767" s="679"/>
      <c r="N767" s="564"/>
      <c r="O767" s="1037" t="s">
        <v>319</v>
      </c>
    </row>
    <row r="768" spans="1:61" ht="23.45" hidden="1" customHeight="1">
      <c r="A768" s="1039"/>
      <c r="B768" s="564" t="s">
        <v>248</v>
      </c>
      <c r="C768" s="564"/>
      <c r="D768" s="564"/>
      <c r="E768" s="564"/>
      <c r="F768" s="564"/>
      <c r="G768" s="103"/>
      <c r="H768" s="103"/>
      <c r="I768" s="103"/>
      <c r="J768" s="103"/>
      <c r="K768" s="103"/>
      <c r="L768" s="103"/>
      <c r="M768" s="679"/>
      <c r="N768" s="564"/>
      <c r="O768" s="1037"/>
    </row>
    <row r="769" spans="1:61" ht="24.6" hidden="1" customHeight="1">
      <c r="A769" s="565" t="s">
        <v>165</v>
      </c>
      <c r="B769" s="564" t="s">
        <v>89</v>
      </c>
      <c r="C769" s="564">
        <v>176</v>
      </c>
      <c r="D769" s="564" t="s">
        <v>15</v>
      </c>
      <c r="E769" s="564">
        <v>6100404</v>
      </c>
      <c r="F769" s="564">
        <v>243</v>
      </c>
      <c r="G769" s="103">
        <v>0</v>
      </c>
      <c r="H769" s="103"/>
      <c r="I769" s="103"/>
      <c r="J769" s="103"/>
      <c r="K769" s="103"/>
      <c r="L769" s="103"/>
      <c r="M769" s="679"/>
      <c r="N769" s="564"/>
      <c r="O769" s="564"/>
    </row>
    <row r="770" spans="1:61" s="45" customFormat="1" ht="24.6" hidden="1" customHeight="1">
      <c r="A770" s="565"/>
      <c r="B770" s="564" t="s">
        <v>248</v>
      </c>
      <c r="C770" s="564"/>
      <c r="D770" s="564"/>
      <c r="E770" s="564"/>
      <c r="F770" s="564"/>
      <c r="G770" s="103"/>
      <c r="H770" s="103"/>
      <c r="I770" s="103"/>
      <c r="J770" s="103"/>
      <c r="K770" s="103"/>
      <c r="L770" s="103"/>
      <c r="M770" s="679"/>
      <c r="N770" s="564"/>
      <c r="O770" s="564"/>
      <c r="AJ770" s="113"/>
      <c r="AK770" s="113"/>
      <c r="AL770" s="113"/>
      <c r="AM770" s="113"/>
      <c r="AN770" s="113"/>
      <c r="AO770" s="113"/>
      <c r="AP770" s="113"/>
      <c r="AQ770" s="113"/>
      <c r="AR770" s="113"/>
      <c r="AS770" s="113"/>
      <c r="AT770" s="113"/>
      <c r="AU770" s="113"/>
      <c r="AV770" s="113"/>
      <c r="AW770" s="113"/>
      <c r="AX770" s="113"/>
      <c r="AY770" s="113"/>
      <c r="AZ770" s="113"/>
      <c r="BA770" s="113"/>
      <c r="BB770" s="113"/>
      <c r="BC770" s="113"/>
      <c r="BD770" s="113"/>
      <c r="BE770" s="113"/>
      <c r="BF770" s="113"/>
      <c r="BG770" s="113"/>
      <c r="BH770" s="113"/>
      <c r="BI770" s="113"/>
    </row>
    <row r="771" spans="1:61" s="45" customFormat="1" ht="24.6" hidden="1" customHeight="1">
      <c r="A771" s="1028" t="s">
        <v>318</v>
      </c>
      <c r="B771" s="564" t="s">
        <v>89</v>
      </c>
      <c r="C771" s="564"/>
      <c r="D771" s="564"/>
      <c r="E771" s="564"/>
      <c r="F771" s="564"/>
      <c r="G771" s="103"/>
      <c r="H771" s="103"/>
      <c r="I771" s="103"/>
      <c r="J771" s="103"/>
      <c r="K771" s="103"/>
      <c r="L771" s="103"/>
      <c r="M771" s="679"/>
      <c r="N771" s="564"/>
      <c r="O771" s="1037" t="s">
        <v>456</v>
      </c>
      <c r="AJ771" s="113"/>
      <c r="AK771" s="113"/>
      <c r="AL771" s="113"/>
      <c r="AM771" s="113"/>
      <c r="AN771" s="113"/>
      <c r="AO771" s="113"/>
      <c r="AP771" s="113"/>
      <c r="AQ771" s="113"/>
      <c r="AR771" s="113"/>
      <c r="AS771" s="113"/>
      <c r="AT771" s="113"/>
      <c r="AU771" s="113"/>
      <c r="AV771" s="113"/>
      <c r="AW771" s="113"/>
      <c r="AX771" s="113"/>
      <c r="AY771" s="113"/>
      <c r="AZ771" s="113"/>
      <c r="BA771" s="113"/>
      <c r="BB771" s="113"/>
      <c r="BC771" s="113"/>
      <c r="BD771" s="113"/>
      <c r="BE771" s="113"/>
      <c r="BF771" s="113"/>
      <c r="BG771" s="113"/>
      <c r="BH771" s="113"/>
      <c r="BI771" s="113"/>
    </row>
    <row r="772" spans="1:61" s="45" customFormat="1" ht="24.6" hidden="1" customHeight="1">
      <c r="A772" s="1029"/>
      <c r="B772" s="564" t="s">
        <v>248</v>
      </c>
      <c r="C772" s="564"/>
      <c r="D772" s="564"/>
      <c r="E772" s="564"/>
      <c r="F772" s="564"/>
      <c r="G772" s="103"/>
      <c r="H772" s="103"/>
      <c r="I772" s="103"/>
      <c r="J772" s="103"/>
      <c r="K772" s="103"/>
      <c r="L772" s="103"/>
      <c r="M772" s="679"/>
      <c r="N772" s="564"/>
      <c r="O772" s="1037"/>
      <c r="AJ772" s="113"/>
      <c r="AK772" s="113"/>
      <c r="AL772" s="113"/>
      <c r="AM772" s="113"/>
      <c r="AN772" s="113"/>
      <c r="AO772" s="113"/>
      <c r="AP772" s="113"/>
      <c r="AQ772" s="113"/>
      <c r="AR772" s="113"/>
      <c r="AS772" s="113"/>
      <c r="AT772" s="113"/>
      <c r="AU772" s="113"/>
      <c r="AV772" s="113"/>
      <c r="AW772" s="113"/>
      <c r="AX772" s="113"/>
      <c r="AY772" s="113"/>
      <c r="AZ772" s="113"/>
      <c r="BA772" s="113"/>
      <c r="BB772" s="113"/>
      <c r="BC772" s="113"/>
      <c r="BD772" s="113"/>
      <c r="BE772" s="113"/>
      <c r="BF772" s="113"/>
      <c r="BG772" s="113"/>
      <c r="BH772" s="113"/>
      <c r="BI772" s="113"/>
    </row>
    <row r="773" spans="1:61" s="45" customFormat="1" ht="24.95" hidden="1" customHeight="1">
      <c r="A773" s="1039" t="s">
        <v>109</v>
      </c>
      <c r="B773" s="564" t="s">
        <v>89</v>
      </c>
      <c r="C773" s="564">
        <v>176</v>
      </c>
      <c r="D773" s="564" t="s">
        <v>15</v>
      </c>
      <c r="E773" s="564">
        <v>6100404</v>
      </c>
      <c r="F773" s="564">
        <v>243</v>
      </c>
      <c r="G773" s="103"/>
      <c r="H773" s="103"/>
      <c r="I773" s="103"/>
      <c r="J773" s="103"/>
      <c r="K773" s="103"/>
      <c r="L773" s="103"/>
      <c r="M773" s="679"/>
      <c r="N773" s="564"/>
      <c r="O773" s="1037" t="s">
        <v>317</v>
      </c>
      <c r="AJ773" s="113"/>
      <c r="AK773" s="113"/>
      <c r="AL773" s="113"/>
      <c r="AM773" s="113"/>
      <c r="AN773" s="113"/>
      <c r="AO773" s="113"/>
      <c r="AP773" s="113"/>
      <c r="AQ773" s="113"/>
      <c r="AR773" s="113"/>
      <c r="AS773" s="113"/>
      <c r="AT773" s="113"/>
      <c r="AU773" s="113"/>
      <c r="AV773" s="113"/>
      <c r="AW773" s="113"/>
      <c r="AX773" s="113"/>
      <c r="AY773" s="113"/>
      <c r="AZ773" s="113"/>
      <c r="BA773" s="113"/>
      <c r="BB773" s="113"/>
      <c r="BC773" s="113"/>
      <c r="BD773" s="113"/>
      <c r="BE773" s="113"/>
      <c r="BF773" s="113"/>
      <c r="BG773" s="113"/>
      <c r="BH773" s="113"/>
      <c r="BI773" s="113"/>
    </row>
    <row r="774" spans="1:61" ht="24.95" hidden="1" customHeight="1">
      <c r="A774" s="1039"/>
      <c r="B774" s="564" t="s">
        <v>248</v>
      </c>
      <c r="C774" s="564"/>
      <c r="D774" s="564"/>
      <c r="E774" s="564"/>
      <c r="F774" s="564"/>
      <c r="G774" s="103">
        <f>J774</f>
        <v>0</v>
      </c>
      <c r="H774" s="103"/>
      <c r="I774" s="103"/>
      <c r="J774" s="103"/>
      <c r="K774" s="103"/>
      <c r="L774" s="103"/>
      <c r="M774" s="679"/>
      <c r="N774" s="564"/>
      <c r="O774" s="1037"/>
    </row>
    <row r="775" spans="1:61" ht="24.95" hidden="1" customHeight="1">
      <c r="A775" s="1082" t="s">
        <v>105</v>
      </c>
      <c r="B775" s="62" t="s">
        <v>744</v>
      </c>
      <c r="C775" s="62"/>
      <c r="D775" s="62"/>
      <c r="E775" s="62"/>
      <c r="F775" s="62"/>
      <c r="G775" s="102">
        <f>K775</f>
        <v>0</v>
      </c>
      <c r="H775" s="102">
        <f t="shared" ref="H775:M775" si="235">H779+H781</f>
        <v>0</v>
      </c>
      <c r="I775" s="102">
        <f t="shared" si="235"/>
        <v>0</v>
      </c>
      <c r="J775" s="102">
        <f t="shared" si="235"/>
        <v>0</v>
      </c>
      <c r="K775" s="102">
        <f t="shared" si="235"/>
        <v>0</v>
      </c>
      <c r="L775" s="102">
        <f t="shared" si="235"/>
        <v>0</v>
      </c>
      <c r="M775" s="499">
        <f t="shared" si="235"/>
        <v>0</v>
      </c>
      <c r="N775" s="564"/>
      <c r="O775" s="62"/>
    </row>
    <row r="776" spans="1:61" ht="24.95" hidden="1" customHeight="1">
      <c r="A776" s="1082"/>
      <c r="B776" s="62" t="s">
        <v>446</v>
      </c>
      <c r="C776" s="62"/>
      <c r="D776" s="62"/>
      <c r="E776" s="62"/>
      <c r="F776" s="62"/>
      <c r="G776" s="102">
        <f t="shared" ref="G776:G788" si="236">K776</f>
        <v>0</v>
      </c>
      <c r="H776" s="102"/>
      <c r="I776" s="102"/>
      <c r="J776" s="102"/>
      <c r="K776" s="102">
        <f>K777+K778</f>
        <v>0</v>
      </c>
      <c r="L776" s="102">
        <f t="shared" ref="L776:M776" si="237">L777+L778</f>
        <v>0</v>
      </c>
      <c r="M776" s="499">
        <f t="shared" si="237"/>
        <v>0</v>
      </c>
      <c r="N776" s="564"/>
      <c r="O776" s="62"/>
    </row>
    <row r="777" spans="1:61" ht="24.95" hidden="1" customHeight="1">
      <c r="A777" s="1082"/>
      <c r="B777" s="62" t="s">
        <v>249</v>
      </c>
      <c r="C777" s="62"/>
      <c r="D777" s="62"/>
      <c r="E777" s="62"/>
      <c r="F777" s="62"/>
      <c r="G777" s="102">
        <f t="shared" si="236"/>
        <v>0</v>
      </c>
      <c r="H777" s="102"/>
      <c r="I777" s="102"/>
      <c r="J777" s="102"/>
      <c r="K777" s="102">
        <f>K780+K783+K787</f>
        <v>0</v>
      </c>
      <c r="L777" s="102">
        <f t="shared" ref="L777:M777" si="238">L780+L783+L787</f>
        <v>0</v>
      </c>
      <c r="M777" s="499">
        <f t="shared" si="238"/>
        <v>0</v>
      </c>
      <c r="N777" s="564"/>
      <c r="O777" s="62"/>
    </row>
    <row r="778" spans="1:61" ht="24.6" hidden="1" customHeight="1">
      <c r="A778" s="1082"/>
      <c r="B778" s="62" t="s">
        <v>502</v>
      </c>
      <c r="C778" s="62"/>
      <c r="D778" s="62"/>
      <c r="E778" s="62"/>
      <c r="F778" s="62"/>
      <c r="G778" s="102">
        <f t="shared" si="236"/>
        <v>0</v>
      </c>
      <c r="H778" s="102">
        <f t="shared" ref="H778:J778" si="239">H780+H784</f>
        <v>0</v>
      </c>
      <c r="I778" s="102">
        <f t="shared" si="239"/>
        <v>0</v>
      </c>
      <c r="J778" s="102">
        <f t="shared" si="239"/>
        <v>0</v>
      </c>
      <c r="K778" s="102">
        <f>K784+K788</f>
        <v>0</v>
      </c>
      <c r="L778" s="102">
        <f>L784+L788</f>
        <v>0</v>
      </c>
      <c r="M778" s="499">
        <f>M784+M788</f>
        <v>0</v>
      </c>
      <c r="N778" s="564"/>
      <c r="O778" s="62"/>
    </row>
    <row r="779" spans="1:61" ht="21.6" hidden="1" customHeight="1">
      <c r="A779" s="1028" t="s">
        <v>468</v>
      </c>
      <c r="B779" s="62" t="s">
        <v>744</v>
      </c>
      <c r="C779" s="564">
        <v>176</v>
      </c>
      <c r="D779" s="564" t="s">
        <v>15</v>
      </c>
      <c r="E779" s="564">
        <v>6100404</v>
      </c>
      <c r="F779" s="564">
        <v>243</v>
      </c>
      <c r="G779" s="102">
        <f t="shared" si="236"/>
        <v>0</v>
      </c>
      <c r="H779" s="103"/>
      <c r="I779" s="103"/>
      <c r="J779" s="103"/>
      <c r="K779" s="103"/>
      <c r="L779" s="103"/>
      <c r="M779" s="679"/>
      <c r="N779" s="564"/>
      <c r="O779" s="1037" t="s">
        <v>748</v>
      </c>
    </row>
    <row r="780" spans="1:61" ht="24.6" hidden="1" customHeight="1">
      <c r="A780" s="1029"/>
      <c r="B780" s="564" t="s">
        <v>248</v>
      </c>
      <c r="C780" s="564"/>
      <c r="D780" s="564"/>
      <c r="E780" s="564"/>
      <c r="F780" s="564"/>
      <c r="G780" s="102">
        <f t="shared" si="236"/>
        <v>0</v>
      </c>
      <c r="H780" s="103"/>
      <c r="I780" s="103"/>
      <c r="J780" s="103"/>
      <c r="K780" s="103"/>
      <c r="L780" s="103"/>
      <c r="M780" s="679"/>
      <c r="N780" s="564"/>
      <c r="O780" s="1037"/>
    </row>
    <row r="781" spans="1:61" ht="22.5" hidden="1" customHeight="1">
      <c r="A781" s="1081" t="s">
        <v>469</v>
      </c>
      <c r="B781" s="62" t="s">
        <v>744</v>
      </c>
      <c r="C781" s="564">
        <v>176</v>
      </c>
      <c r="D781" s="564" t="s">
        <v>15</v>
      </c>
      <c r="E781" s="564">
        <v>6100404</v>
      </c>
      <c r="F781" s="564">
        <v>243</v>
      </c>
      <c r="G781" s="103">
        <f t="shared" si="236"/>
        <v>0</v>
      </c>
      <c r="H781" s="103"/>
      <c r="I781" s="103"/>
      <c r="J781" s="103"/>
      <c r="K781" s="103"/>
      <c r="L781" s="103"/>
      <c r="M781" s="679"/>
      <c r="N781" s="564"/>
      <c r="O781" s="1037" t="s">
        <v>747</v>
      </c>
    </row>
    <row r="782" spans="1:61" ht="22.5" hidden="1" customHeight="1">
      <c r="A782" s="1081"/>
      <c r="B782" s="564" t="s">
        <v>446</v>
      </c>
      <c r="C782" s="564"/>
      <c r="D782" s="564"/>
      <c r="E782" s="564"/>
      <c r="F782" s="564"/>
      <c r="G782" s="103">
        <f t="shared" si="236"/>
        <v>0</v>
      </c>
      <c r="H782" s="103"/>
      <c r="I782" s="103"/>
      <c r="J782" s="103"/>
      <c r="K782" s="103">
        <f>K783+K784</f>
        <v>0</v>
      </c>
      <c r="L782" s="103"/>
      <c r="M782" s="679"/>
      <c r="N782" s="564"/>
      <c r="O782" s="1037"/>
    </row>
    <row r="783" spans="1:61" ht="22.5" hidden="1" customHeight="1">
      <c r="A783" s="1081"/>
      <c r="B783" s="564" t="s">
        <v>249</v>
      </c>
      <c r="C783" s="564"/>
      <c r="D783" s="564"/>
      <c r="E783" s="564"/>
      <c r="F783" s="564"/>
      <c r="G783" s="103">
        <f t="shared" si="236"/>
        <v>0</v>
      </c>
      <c r="H783" s="103"/>
      <c r="I783" s="103"/>
      <c r="J783" s="103"/>
      <c r="K783" s="103"/>
      <c r="L783" s="103"/>
      <c r="M783" s="679"/>
      <c r="N783" s="564"/>
      <c r="O783" s="1037"/>
    </row>
    <row r="784" spans="1:61" ht="22.9" hidden="1" customHeight="1">
      <c r="A784" s="1081"/>
      <c r="B784" s="564" t="s">
        <v>502</v>
      </c>
      <c r="C784" s="564"/>
      <c r="D784" s="564"/>
      <c r="E784" s="564"/>
      <c r="F784" s="564"/>
      <c r="G784" s="103">
        <f t="shared" si="236"/>
        <v>0</v>
      </c>
      <c r="H784" s="103"/>
      <c r="I784" s="103"/>
      <c r="J784" s="103"/>
      <c r="K784" s="103"/>
      <c r="L784" s="103"/>
      <c r="M784" s="679"/>
      <c r="N784" s="564"/>
      <c r="O784" s="1037"/>
    </row>
    <row r="785" spans="1:61" s="45" customFormat="1" ht="22.5" hidden="1" customHeight="1">
      <c r="A785" s="1081" t="s">
        <v>568</v>
      </c>
      <c r="B785" s="564" t="s">
        <v>744</v>
      </c>
      <c r="C785" s="564">
        <v>176</v>
      </c>
      <c r="D785" s="564" t="s">
        <v>15</v>
      </c>
      <c r="E785" s="564">
        <v>6100404</v>
      </c>
      <c r="F785" s="564">
        <v>243</v>
      </c>
      <c r="G785" s="102">
        <f t="shared" si="236"/>
        <v>0</v>
      </c>
      <c r="H785" s="103"/>
      <c r="I785" s="103"/>
      <c r="J785" s="103"/>
      <c r="K785" s="103"/>
      <c r="L785" s="103"/>
      <c r="M785" s="679"/>
      <c r="N785" s="564"/>
      <c r="O785" s="1037" t="s">
        <v>756</v>
      </c>
      <c r="AJ785" s="113"/>
      <c r="AK785" s="113"/>
      <c r="AL785" s="113"/>
      <c r="AM785" s="113"/>
      <c r="AN785" s="113"/>
      <c r="AO785" s="113"/>
      <c r="AP785" s="113"/>
      <c r="AQ785" s="113"/>
      <c r="AR785" s="113"/>
      <c r="AS785" s="113"/>
      <c r="AT785" s="113"/>
      <c r="AU785" s="113"/>
      <c r="AV785" s="113"/>
      <c r="AW785" s="113"/>
      <c r="AX785" s="113"/>
      <c r="AY785" s="113"/>
      <c r="AZ785" s="113"/>
      <c r="BA785" s="113"/>
      <c r="BB785" s="113"/>
      <c r="BC785" s="113"/>
      <c r="BD785" s="113"/>
      <c r="BE785" s="113"/>
      <c r="BF785" s="113"/>
      <c r="BG785" s="113"/>
      <c r="BH785" s="113"/>
      <c r="BI785" s="113"/>
    </row>
    <row r="786" spans="1:61" s="45" customFormat="1" ht="22.5" hidden="1" customHeight="1">
      <c r="A786" s="1081"/>
      <c r="B786" s="564" t="s">
        <v>446</v>
      </c>
      <c r="C786" s="564"/>
      <c r="D786" s="564"/>
      <c r="E786" s="564"/>
      <c r="F786" s="564"/>
      <c r="G786" s="103">
        <f t="shared" si="236"/>
        <v>0</v>
      </c>
      <c r="H786" s="103"/>
      <c r="I786" s="103"/>
      <c r="J786" s="103"/>
      <c r="K786" s="103">
        <f>K787+K788</f>
        <v>0</v>
      </c>
      <c r="L786" s="103"/>
      <c r="M786" s="679"/>
      <c r="N786" s="564"/>
      <c r="O786" s="1037"/>
      <c r="AJ786" s="113"/>
      <c r="AK786" s="113"/>
      <c r="AL786" s="113"/>
      <c r="AM786" s="113"/>
      <c r="AN786" s="113"/>
      <c r="AO786" s="113"/>
      <c r="AP786" s="113"/>
      <c r="AQ786" s="113"/>
      <c r="AR786" s="113"/>
      <c r="AS786" s="113"/>
      <c r="AT786" s="113"/>
      <c r="AU786" s="113"/>
      <c r="AV786" s="113"/>
      <c r="AW786" s="113"/>
      <c r="AX786" s="113"/>
      <c r="AY786" s="113"/>
      <c r="AZ786" s="113"/>
      <c r="BA786" s="113"/>
      <c r="BB786" s="113"/>
      <c r="BC786" s="113"/>
      <c r="BD786" s="113"/>
      <c r="BE786" s="113"/>
      <c r="BF786" s="113"/>
      <c r="BG786" s="113"/>
      <c r="BH786" s="113"/>
      <c r="BI786" s="113"/>
    </row>
    <row r="787" spans="1:61" s="45" customFormat="1" ht="22.5" hidden="1" customHeight="1">
      <c r="A787" s="1081"/>
      <c r="B787" s="564" t="s">
        <v>249</v>
      </c>
      <c r="C787" s="564"/>
      <c r="D787" s="564"/>
      <c r="E787" s="564"/>
      <c r="F787" s="564"/>
      <c r="G787" s="103">
        <f t="shared" si="236"/>
        <v>0</v>
      </c>
      <c r="H787" s="103"/>
      <c r="I787" s="103"/>
      <c r="J787" s="103"/>
      <c r="K787" s="103"/>
      <c r="L787" s="103"/>
      <c r="M787" s="679"/>
      <c r="N787" s="564"/>
      <c r="O787" s="1037"/>
      <c r="AJ787" s="113"/>
      <c r="AK787" s="113"/>
      <c r="AL787" s="113"/>
      <c r="AM787" s="113"/>
      <c r="AN787" s="113"/>
      <c r="AO787" s="113"/>
      <c r="AP787" s="113"/>
      <c r="AQ787" s="113"/>
      <c r="AR787" s="113"/>
      <c r="AS787" s="113"/>
      <c r="AT787" s="113"/>
      <c r="AU787" s="113"/>
      <c r="AV787" s="113"/>
      <c r="AW787" s="113"/>
      <c r="AX787" s="113"/>
      <c r="AY787" s="113"/>
      <c r="AZ787" s="113"/>
      <c r="BA787" s="113"/>
      <c r="BB787" s="113"/>
      <c r="BC787" s="113"/>
      <c r="BD787" s="113"/>
      <c r="BE787" s="113"/>
      <c r="BF787" s="113"/>
      <c r="BG787" s="113"/>
      <c r="BH787" s="113"/>
      <c r="BI787" s="113"/>
    </row>
    <row r="788" spans="1:61" ht="24.6" hidden="1" customHeight="1">
      <c r="A788" s="1081"/>
      <c r="B788" s="564" t="s">
        <v>502</v>
      </c>
      <c r="C788" s="564"/>
      <c r="D788" s="564"/>
      <c r="E788" s="564"/>
      <c r="F788" s="564"/>
      <c r="G788" s="102">
        <f t="shared" si="236"/>
        <v>0</v>
      </c>
      <c r="H788" s="103"/>
      <c r="I788" s="103"/>
      <c r="J788" s="103"/>
      <c r="K788" s="103"/>
      <c r="L788" s="103"/>
      <c r="M788" s="679"/>
      <c r="N788" s="564"/>
      <c r="O788" s="1037"/>
    </row>
    <row r="789" spans="1:61" ht="27.75" hidden="1" customHeight="1">
      <c r="A789" s="1038" t="s">
        <v>106</v>
      </c>
      <c r="B789" s="62" t="s">
        <v>89</v>
      </c>
      <c r="C789" s="62"/>
      <c r="D789" s="62"/>
      <c r="E789" s="62"/>
      <c r="F789" s="62"/>
      <c r="G789" s="102">
        <f t="shared" ref="G789:L790" si="240">G791+G795</f>
        <v>0</v>
      </c>
      <c r="H789" s="102"/>
      <c r="I789" s="102"/>
      <c r="J789" s="102"/>
      <c r="K789" s="102"/>
      <c r="L789" s="102">
        <f t="shared" si="240"/>
        <v>0</v>
      </c>
      <c r="M789" s="499">
        <f>M793</f>
        <v>0</v>
      </c>
      <c r="N789" s="564"/>
      <c r="O789" s="62"/>
    </row>
    <row r="790" spans="1:61" ht="24" hidden="1" customHeight="1">
      <c r="A790" s="1038"/>
      <c r="B790" s="62" t="s">
        <v>248</v>
      </c>
      <c r="C790" s="62"/>
      <c r="D790" s="62"/>
      <c r="E790" s="62"/>
      <c r="F790" s="62"/>
      <c r="G790" s="102">
        <f t="shared" si="240"/>
        <v>0</v>
      </c>
      <c r="H790" s="102"/>
      <c r="I790" s="102"/>
      <c r="J790" s="102"/>
      <c r="K790" s="102"/>
      <c r="L790" s="102">
        <f t="shared" si="240"/>
        <v>0</v>
      </c>
      <c r="M790" s="499">
        <f>M794</f>
        <v>0</v>
      </c>
      <c r="N790" s="564"/>
      <c r="O790" s="62"/>
    </row>
    <row r="791" spans="1:61" ht="24" hidden="1" customHeight="1">
      <c r="A791" s="1039" t="s">
        <v>109</v>
      </c>
      <c r="B791" s="564" t="s">
        <v>89</v>
      </c>
      <c r="C791" s="564">
        <v>176</v>
      </c>
      <c r="D791" s="564" t="s">
        <v>15</v>
      </c>
      <c r="E791" s="564">
        <v>6100404</v>
      </c>
      <c r="F791" s="564">
        <v>243</v>
      </c>
      <c r="G791" s="103"/>
      <c r="H791" s="103"/>
      <c r="I791" s="103"/>
      <c r="J791" s="103"/>
      <c r="K791" s="103"/>
      <c r="L791" s="103"/>
      <c r="M791" s="679"/>
      <c r="N791" s="564"/>
      <c r="O791" s="1037" t="s">
        <v>294</v>
      </c>
    </row>
    <row r="792" spans="1:61" ht="24" hidden="1" customHeight="1">
      <c r="A792" s="1039"/>
      <c r="B792" s="564" t="s">
        <v>248</v>
      </c>
      <c r="C792" s="564"/>
      <c r="D792" s="564"/>
      <c r="E792" s="564"/>
      <c r="F792" s="564"/>
      <c r="G792" s="103"/>
      <c r="H792" s="103"/>
      <c r="I792" s="103"/>
      <c r="J792" s="103"/>
      <c r="K792" s="103"/>
      <c r="L792" s="103"/>
      <c r="M792" s="679"/>
      <c r="N792" s="564"/>
      <c r="O792" s="1037"/>
    </row>
    <row r="793" spans="1:61" ht="24" hidden="1" customHeight="1">
      <c r="A793" s="1039" t="s">
        <v>95</v>
      </c>
      <c r="B793" s="564" t="s">
        <v>89</v>
      </c>
      <c r="C793" s="564">
        <v>176</v>
      </c>
      <c r="D793" s="564" t="s">
        <v>15</v>
      </c>
      <c r="E793" s="564">
        <v>6100404</v>
      </c>
      <c r="F793" s="564">
        <v>243</v>
      </c>
      <c r="G793" s="103"/>
      <c r="H793" s="103"/>
      <c r="I793" s="103"/>
      <c r="J793" s="103"/>
      <c r="K793" s="103"/>
      <c r="L793" s="103"/>
      <c r="M793" s="679"/>
      <c r="N793" s="564"/>
      <c r="O793" s="1030" t="s">
        <v>226</v>
      </c>
    </row>
    <row r="794" spans="1:61" s="45" customFormat="1" ht="24" hidden="1" customHeight="1">
      <c r="A794" s="1039"/>
      <c r="B794" s="564" t="s">
        <v>248</v>
      </c>
      <c r="C794" s="564"/>
      <c r="D794" s="564"/>
      <c r="E794" s="564"/>
      <c r="F794" s="564"/>
      <c r="G794" s="103"/>
      <c r="H794" s="103"/>
      <c r="I794" s="103"/>
      <c r="J794" s="103"/>
      <c r="K794" s="103"/>
      <c r="L794" s="103"/>
      <c r="M794" s="679">
        <v>0</v>
      </c>
      <c r="N794" s="564"/>
      <c r="O794" s="1031"/>
      <c r="AJ794" s="113"/>
      <c r="AK794" s="113"/>
      <c r="AL794" s="113"/>
      <c r="AM794" s="113"/>
      <c r="AN794" s="113"/>
      <c r="AO794" s="113"/>
      <c r="AP794" s="113"/>
      <c r="AQ794" s="113"/>
      <c r="AR794" s="113"/>
      <c r="AS794" s="113"/>
      <c r="AT794" s="113"/>
      <c r="AU794" s="113"/>
      <c r="AV794" s="113"/>
      <c r="AW794" s="113"/>
      <c r="AX794" s="113"/>
      <c r="AY794" s="113"/>
      <c r="AZ794" s="113"/>
      <c r="BA794" s="113"/>
      <c r="BB794" s="113"/>
      <c r="BC794" s="113"/>
      <c r="BD794" s="113"/>
      <c r="BE794" s="113"/>
      <c r="BF794" s="113"/>
      <c r="BG794" s="113"/>
      <c r="BH794" s="113"/>
      <c r="BI794" s="113"/>
    </row>
    <row r="795" spans="1:61" s="45" customFormat="1" ht="24.6" hidden="1" customHeight="1">
      <c r="A795" s="1039" t="s">
        <v>171</v>
      </c>
      <c r="B795" s="564" t="s">
        <v>89</v>
      </c>
      <c r="C795" s="564">
        <v>176</v>
      </c>
      <c r="D795" s="564" t="s">
        <v>15</v>
      </c>
      <c r="E795" s="564">
        <v>6100404</v>
      </c>
      <c r="F795" s="564">
        <v>243</v>
      </c>
      <c r="G795" s="103">
        <v>0</v>
      </c>
      <c r="H795" s="103"/>
      <c r="I795" s="103"/>
      <c r="J795" s="103"/>
      <c r="K795" s="103"/>
      <c r="L795" s="103"/>
      <c r="M795" s="679"/>
      <c r="N795" s="564"/>
      <c r="O795" s="1037" t="s">
        <v>31</v>
      </c>
      <c r="AJ795" s="113"/>
      <c r="AK795" s="113"/>
      <c r="AL795" s="113"/>
      <c r="AM795" s="113"/>
      <c r="AN795" s="113"/>
      <c r="AO795" s="113"/>
      <c r="AP795" s="113"/>
      <c r="AQ795" s="113"/>
      <c r="AR795" s="113"/>
      <c r="AS795" s="113"/>
      <c r="AT795" s="113"/>
      <c r="AU795" s="113"/>
      <c r="AV795" s="113"/>
      <c r="AW795" s="113"/>
      <c r="AX795" s="113"/>
      <c r="AY795" s="113"/>
      <c r="AZ795" s="113"/>
      <c r="BA795" s="113"/>
      <c r="BB795" s="113"/>
      <c r="BC795" s="113"/>
      <c r="BD795" s="113"/>
      <c r="BE795" s="113"/>
      <c r="BF795" s="113"/>
      <c r="BG795" s="113"/>
      <c r="BH795" s="113"/>
      <c r="BI795" s="113"/>
    </row>
    <row r="796" spans="1:61" ht="24.6" hidden="1" customHeight="1">
      <c r="A796" s="1039"/>
      <c r="B796" s="564" t="s">
        <v>248</v>
      </c>
      <c r="C796" s="564"/>
      <c r="D796" s="564"/>
      <c r="E796" s="564"/>
      <c r="F796" s="564"/>
      <c r="G796" s="103"/>
      <c r="H796" s="103"/>
      <c r="I796" s="103"/>
      <c r="J796" s="103"/>
      <c r="K796" s="103"/>
      <c r="L796" s="103"/>
      <c r="M796" s="679"/>
      <c r="N796" s="564"/>
      <c r="O796" s="1037"/>
    </row>
    <row r="797" spans="1:61" ht="24.95" customHeight="1">
      <c r="A797" s="1038" t="s">
        <v>137</v>
      </c>
      <c r="B797" s="62" t="s">
        <v>744</v>
      </c>
      <c r="C797" s="62"/>
      <c r="D797" s="62"/>
      <c r="E797" s="62"/>
      <c r="F797" s="62"/>
      <c r="G797" s="102">
        <f>K797</f>
        <v>1</v>
      </c>
      <c r="H797" s="102">
        <f t="shared" ref="H797:J797" si="241">-H803+H807+H811</f>
        <v>0</v>
      </c>
      <c r="I797" s="102">
        <f t="shared" si="241"/>
        <v>0</v>
      </c>
      <c r="J797" s="102">
        <f t="shared" si="241"/>
        <v>0</v>
      </c>
      <c r="K797" s="102">
        <f>K803</f>
        <v>1</v>
      </c>
      <c r="L797" s="102">
        <f>L803</f>
        <v>0</v>
      </c>
      <c r="M797" s="499">
        <f t="shared" ref="M797" si="242">-M803+M807+M811</f>
        <v>0</v>
      </c>
      <c r="N797" s="564"/>
      <c r="O797" s="62"/>
    </row>
    <row r="798" spans="1:61" ht="24.95" customHeight="1">
      <c r="A798" s="1038"/>
      <c r="B798" s="62" t="s">
        <v>446</v>
      </c>
      <c r="C798" s="62"/>
      <c r="D798" s="62"/>
      <c r="E798" s="62"/>
      <c r="F798" s="62"/>
      <c r="G798" s="102">
        <f t="shared" ref="G798:G800" si="243">K798</f>
        <v>6291.9</v>
      </c>
      <c r="H798" s="102"/>
      <c r="I798" s="102"/>
      <c r="J798" s="102"/>
      <c r="K798" s="102">
        <f>K799+K800</f>
        <v>6291.9</v>
      </c>
      <c r="L798" s="102">
        <f>L799+L800</f>
        <v>0</v>
      </c>
      <c r="M798" s="499"/>
      <c r="N798" s="564"/>
      <c r="O798" s="62"/>
    </row>
    <row r="799" spans="1:61" ht="24.95" customHeight="1">
      <c r="A799" s="1038"/>
      <c r="B799" s="62" t="s">
        <v>249</v>
      </c>
      <c r="C799" s="62"/>
      <c r="D799" s="62"/>
      <c r="E799" s="62"/>
      <c r="F799" s="62"/>
      <c r="G799" s="102">
        <f t="shared" si="243"/>
        <v>6291.9</v>
      </c>
      <c r="H799" s="102"/>
      <c r="I799" s="102"/>
      <c r="J799" s="102"/>
      <c r="K799" s="102">
        <f>K805</f>
        <v>6291.9</v>
      </c>
      <c r="L799" s="102">
        <f>L805</f>
        <v>0</v>
      </c>
      <c r="M799" s="499"/>
      <c r="N799" s="564"/>
      <c r="O799" s="62"/>
    </row>
    <row r="800" spans="1:61" ht="24.95" hidden="1" customHeight="1">
      <c r="A800" s="1038"/>
      <c r="B800" s="62" t="s">
        <v>502</v>
      </c>
      <c r="C800" s="62"/>
      <c r="D800" s="62"/>
      <c r="E800" s="62"/>
      <c r="F800" s="62"/>
      <c r="G800" s="102">
        <f t="shared" si="243"/>
        <v>0</v>
      </c>
      <c r="H800" s="102">
        <f t="shared" ref="H800:L800" si="244">H806</f>
        <v>0</v>
      </c>
      <c r="I800" s="102">
        <f t="shared" si="244"/>
        <v>0</v>
      </c>
      <c r="J800" s="102">
        <f t="shared" si="244"/>
        <v>0</v>
      </c>
      <c r="K800" s="102">
        <f t="shared" si="244"/>
        <v>0</v>
      </c>
      <c r="L800" s="102">
        <f t="shared" si="244"/>
        <v>0</v>
      </c>
      <c r="M800" s="499">
        <f>M801</f>
        <v>0</v>
      </c>
      <c r="N800" s="564"/>
      <c r="O800" s="62"/>
    </row>
    <row r="801" spans="1:61" ht="24" hidden="1" customHeight="1">
      <c r="A801" s="1038"/>
      <c r="B801" s="62" t="s">
        <v>333</v>
      </c>
      <c r="C801" s="62"/>
      <c r="D801" s="62"/>
      <c r="E801" s="62"/>
      <c r="F801" s="62"/>
      <c r="G801" s="102">
        <f>G809</f>
        <v>0</v>
      </c>
      <c r="H801" s="102">
        <f t="shared" ref="H801:K801" si="245">H809</f>
        <v>0</v>
      </c>
      <c r="I801" s="102">
        <f t="shared" si="245"/>
        <v>0</v>
      </c>
      <c r="J801" s="102">
        <f t="shared" si="245"/>
        <v>0</v>
      </c>
      <c r="K801" s="102">
        <f t="shared" si="245"/>
        <v>0</v>
      </c>
      <c r="L801" s="102">
        <f>L809+L806</f>
        <v>0</v>
      </c>
      <c r="M801" s="499">
        <f>M806</f>
        <v>0</v>
      </c>
      <c r="N801" s="564"/>
      <c r="O801" s="62"/>
    </row>
    <row r="802" spans="1:61" ht="24.6" hidden="1" customHeight="1">
      <c r="A802" s="1038"/>
      <c r="B802" s="62" t="s">
        <v>349</v>
      </c>
      <c r="C802" s="62"/>
      <c r="D802" s="62"/>
      <c r="E802" s="62"/>
      <c r="F802" s="62"/>
      <c r="G802" s="102">
        <f t="shared" ref="G802" si="246">G806+G810+G812</f>
        <v>0</v>
      </c>
      <c r="H802" s="102"/>
      <c r="I802" s="102"/>
      <c r="J802" s="102"/>
      <c r="K802" s="102"/>
      <c r="L802" s="102">
        <f>L810</f>
        <v>0</v>
      </c>
      <c r="M802" s="499"/>
      <c r="N802" s="564"/>
      <c r="O802" s="62"/>
    </row>
    <row r="803" spans="1:61" ht="24.95" customHeight="1">
      <c r="A803" s="1039" t="s">
        <v>109</v>
      </c>
      <c r="B803" s="564" t="s">
        <v>744</v>
      </c>
      <c r="C803" s="564">
        <v>176</v>
      </c>
      <c r="D803" s="564" t="s">
        <v>15</v>
      </c>
      <c r="E803" s="564">
        <v>6100404</v>
      </c>
      <c r="F803" s="564">
        <v>243</v>
      </c>
      <c r="G803" s="103">
        <f>K803</f>
        <v>1</v>
      </c>
      <c r="H803" s="103"/>
      <c r="I803" s="103"/>
      <c r="J803" s="103"/>
      <c r="K803" s="103">
        <v>1</v>
      </c>
      <c r="L803" s="103"/>
      <c r="M803" s="679"/>
      <c r="N803" s="564"/>
      <c r="O803" s="1037" t="s">
        <v>959</v>
      </c>
    </row>
    <row r="804" spans="1:61" ht="24.95" customHeight="1">
      <c r="A804" s="1039"/>
      <c r="B804" s="564" t="s">
        <v>446</v>
      </c>
      <c r="C804" s="564"/>
      <c r="D804" s="564"/>
      <c r="E804" s="564"/>
      <c r="F804" s="564"/>
      <c r="G804" s="103">
        <f t="shared" ref="G804:G806" si="247">K804</f>
        <v>6291.9</v>
      </c>
      <c r="H804" s="103"/>
      <c r="I804" s="103"/>
      <c r="J804" s="103"/>
      <c r="K804" s="103">
        <f>K805+K806</f>
        <v>6291.9</v>
      </c>
      <c r="L804" s="103">
        <f>L805+L806</f>
        <v>0</v>
      </c>
      <c r="M804" s="679"/>
      <c r="N804" s="564"/>
      <c r="O804" s="1037"/>
    </row>
    <row r="805" spans="1:61" ht="24.95" customHeight="1">
      <c r="A805" s="1039"/>
      <c r="B805" s="564" t="s">
        <v>249</v>
      </c>
      <c r="C805" s="564"/>
      <c r="D805" s="564"/>
      <c r="E805" s="564"/>
      <c r="F805" s="564"/>
      <c r="G805" s="103">
        <f t="shared" si="247"/>
        <v>6291.9</v>
      </c>
      <c r="H805" s="103"/>
      <c r="I805" s="103"/>
      <c r="J805" s="103"/>
      <c r="K805" s="103">
        <v>6291.9</v>
      </c>
      <c r="L805" s="103"/>
      <c r="M805" s="679"/>
      <c r="N805" s="564"/>
      <c r="O805" s="1037"/>
    </row>
    <row r="806" spans="1:61" ht="24.95" hidden="1" customHeight="1">
      <c r="A806" s="1039"/>
      <c r="B806" s="564" t="s">
        <v>502</v>
      </c>
      <c r="C806" s="564"/>
      <c r="D806" s="564"/>
      <c r="E806" s="564"/>
      <c r="F806" s="564"/>
      <c r="G806" s="103">
        <f t="shared" si="247"/>
        <v>0</v>
      </c>
      <c r="H806" s="103"/>
      <c r="I806" s="103"/>
      <c r="J806" s="103"/>
      <c r="K806" s="103"/>
      <c r="L806" s="103"/>
      <c r="M806" s="679"/>
      <c r="N806" s="564"/>
      <c r="O806" s="1037"/>
    </row>
    <row r="807" spans="1:61" ht="24.95" hidden="1" customHeight="1">
      <c r="A807" s="1039" t="s">
        <v>212</v>
      </c>
      <c r="B807" s="564" t="s">
        <v>89</v>
      </c>
      <c r="C807" s="564">
        <v>176</v>
      </c>
      <c r="D807" s="564" t="s">
        <v>15</v>
      </c>
      <c r="E807" s="564">
        <v>6100404</v>
      </c>
      <c r="F807" s="564">
        <v>243</v>
      </c>
      <c r="G807" s="103"/>
      <c r="H807" s="103"/>
      <c r="I807" s="103"/>
      <c r="J807" s="103"/>
      <c r="K807" s="103"/>
      <c r="L807" s="103"/>
      <c r="M807" s="679"/>
      <c r="N807" s="564"/>
      <c r="O807" s="1037" t="s">
        <v>490</v>
      </c>
    </row>
    <row r="808" spans="1:61" ht="24" hidden="1" customHeight="1">
      <c r="A808" s="1039"/>
      <c r="B808" s="564" t="s">
        <v>248</v>
      </c>
      <c r="C808" s="564"/>
      <c r="D808" s="564"/>
      <c r="E808" s="564"/>
      <c r="F808" s="564"/>
      <c r="G808" s="103">
        <f>G809</f>
        <v>0</v>
      </c>
      <c r="H808" s="103"/>
      <c r="I808" s="103"/>
      <c r="J808" s="103">
        <f>J809</f>
        <v>0</v>
      </c>
      <c r="K808" s="103"/>
      <c r="L808" s="103"/>
      <c r="M808" s="679"/>
      <c r="N808" s="564"/>
      <c r="O808" s="1037"/>
    </row>
    <row r="809" spans="1:61" ht="24" hidden="1" customHeight="1">
      <c r="A809" s="1039"/>
      <c r="B809" s="564" t="s">
        <v>333</v>
      </c>
      <c r="C809" s="564"/>
      <c r="D809" s="564"/>
      <c r="E809" s="564"/>
      <c r="F809" s="564"/>
      <c r="G809" s="103">
        <f>J809</f>
        <v>0</v>
      </c>
      <c r="H809" s="103"/>
      <c r="I809" s="103"/>
      <c r="J809" s="103"/>
      <c r="K809" s="103"/>
      <c r="L809" s="103"/>
      <c r="M809" s="679"/>
      <c r="N809" s="564"/>
      <c r="O809" s="1037"/>
    </row>
    <row r="810" spans="1:61" s="45" customFormat="1" ht="24.6" hidden="1" customHeight="1">
      <c r="A810" s="1039"/>
      <c r="B810" s="564" t="s">
        <v>349</v>
      </c>
      <c r="C810" s="564"/>
      <c r="D810" s="564"/>
      <c r="E810" s="564"/>
      <c r="F810" s="564"/>
      <c r="G810" s="103"/>
      <c r="H810" s="103"/>
      <c r="I810" s="103"/>
      <c r="J810" s="103"/>
      <c r="K810" s="103"/>
      <c r="L810" s="103"/>
      <c r="M810" s="679"/>
      <c r="N810" s="564"/>
      <c r="O810" s="1037"/>
      <c r="AJ810" s="113"/>
      <c r="AK810" s="113"/>
      <c r="AL810" s="113"/>
      <c r="AM810" s="113"/>
      <c r="AN810" s="113"/>
      <c r="AO810" s="113"/>
      <c r="AP810" s="113"/>
      <c r="AQ810" s="113"/>
      <c r="AR810" s="113"/>
      <c r="AS810" s="113"/>
      <c r="AT810" s="113"/>
      <c r="AU810" s="113"/>
      <c r="AV810" s="113"/>
      <c r="AW810" s="113"/>
      <c r="AX810" s="113"/>
      <c r="AY810" s="113"/>
      <c r="AZ810" s="113"/>
      <c r="BA810" s="113"/>
      <c r="BB810" s="113"/>
      <c r="BC810" s="113"/>
      <c r="BD810" s="113"/>
      <c r="BE810" s="113"/>
      <c r="BF810" s="113"/>
      <c r="BG810" s="113"/>
      <c r="BH810" s="113"/>
      <c r="BI810" s="113"/>
    </row>
    <row r="811" spans="1:61" s="45" customFormat="1" ht="23.45" hidden="1" customHeight="1">
      <c r="A811" s="1039" t="s">
        <v>253</v>
      </c>
      <c r="B811" s="564" t="s">
        <v>89</v>
      </c>
      <c r="C811" s="564">
        <v>176</v>
      </c>
      <c r="D811" s="564" t="s">
        <v>15</v>
      </c>
      <c r="E811" s="564">
        <v>6100404</v>
      </c>
      <c r="F811" s="564">
        <v>243</v>
      </c>
      <c r="G811" s="103">
        <v>0</v>
      </c>
      <c r="H811" s="103"/>
      <c r="I811" s="103"/>
      <c r="J811" s="103"/>
      <c r="K811" s="103"/>
      <c r="L811" s="103"/>
      <c r="M811" s="679"/>
      <c r="N811" s="564"/>
      <c r="O811" s="1037" t="s">
        <v>320</v>
      </c>
      <c r="AJ811" s="113"/>
      <c r="AK811" s="113"/>
      <c r="AL811" s="113"/>
      <c r="AM811" s="113"/>
      <c r="AN811" s="113"/>
      <c r="AO811" s="113"/>
      <c r="AP811" s="113"/>
      <c r="AQ811" s="113"/>
      <c r="AR811" s="113"/>
      <c r="AS811" s="113"/>
      <c r="AT811" s="113"/>
      <c r="AU811" s="113"/>
      <c r="AV811" s="113"/>
      <c r="AW811" s="113"/>
      <c r="AX811" s="113"/>
      <c r="AY811" s="113"/>
      <c r="AZ811" s="113"/>
      <c r="BA811" s="113"/>
      <c r="BB811" s="113"/>
      <c r="BC811" s="113"/>
      <c r="BD811" s="113"/>
      <c r="BE811" s="113"/>
      <c r="BF811" s="113"/>
      <c r="BG811" s="113"/>
      <c r="BH811" s="113"/>
      <c r="BI811" s="113"/>
    </row>
    <row r="812" spans="1:61" ht="25.15" hidden="1" customHeight="1">
      <c r="A812" s="1039"/>
      <c r="B812" s="564" t="s">
        <v>248</v>
      </c>
      <c r="C812" s="564"/>
      <c r="D812" s="564"/>
      <c r="E812" s="564"/>
      <c r="F812" s="564"/>
      <c r="G812" s="103">
        <v>0</v>
      </c>
      <c r="H812" s="103"/>
      <c r="I812" s="103"/>
      <c r="J812" s="103"/>
      <c r="K812" s="103"/>
      <c r="L812" s="103"/>
      <c r="M812" s="679"/>
      <c r="N812" s="564"/>
      <c r="O812" s="1037"/>
    </row>
    <row r="813" spans="1:61" ht="23.45" customHeight="1">
      <c r="A813" s="1038" t="s">
        <v>138</v>
      </c>
      <c r="B813" s="62" t="s">
        <v>744</v>
      </c>
      <c r="C813" s="62"/>
      <c r="D813" s="62"/>
      <c r="E813" s="62"/>
      <c r="F813" s="62"/>
      <c r="G813" s="102">
        <f>K813</f>
        <v>1</v>
      </c>
      <c r="H813" s="102"/>
      <c r="I813" s="102"/>
      <c r="J813" s="102"/>
      <c r="K813" s="102">
        <f>K817+K821</f>
        <v>1</v>
      </c>
      <c r="L813" s="102">
        <f t="shared" ref="L813:M813" si="248">L817+L821</f>
        <v>0</v>
      </c>
      <c r="M813" s="499">
        <f t="shared" si="248"/>
        <v>0</v>
      </c>
      <c r="N813" s="564"/>
      <c r="O813" s="62"/>
    </row>
    <row r="814" spans="1:61" ht="23.45" customHeight="1">
      <c r="A814" s="1038"/>
      <c r="B814" s="62" t="s">
        <v>446</v>
      </c>
      <c r="C814" s="62"/>
      <c r="D814" s="62"/>
      <c r="E814" s="62"/>
      <c r="F814" s="62"/>
      <c r="G814" s="102">
        <f t="shared" ref="G814:G824" si="249">K814</f>
        <v>21823.8</v>
      </c>
      <c r="H814" s="102"/>
      <c r="I814" s="102"/>
      <c r="J814" s="102"/>
      <c r="K814" s="102">
        <f>K815+K816</f>
        <v>21823.8</v>
      </c>
      <c r="L814" s="102">
        <f t="shared" ref="L814:M814" si="250">L815+L816</f>
        <v>0</v>
      </c>
      <c r="M814" s="499">
        <f t="shared" si="250"/>
        <v>0</v>
      </c>
      <c r="N814" s="564"/>
      <c r="O814" s="62"/>
    </row>
    <row r="815" spans="1:61" ht="23.45" customHeight="1">
      <c r="A815" s="1038"/>
      <c r="B815" s="62" t="s">
        <v>249</v>
      </c>
      <c r="C815" s="62"/>
      <c r="D815" s="62"/>
      <c r="E815" s="62"/>
      <c r="F815" s="62"/>
      <c r="G815" s="102">
        <f t="shared" si="249"/>
        <v>21823.8</v>
      </c>
      <c r="H815" s="102"/>
      <c r="I815" s="102"/>
      <c r="J815" s="102"/>
      <c r="K815" s="102">
        <f>K819+K823</f>
        <v>21823.8</v>
      </c>
      <c r="L815" s="102">
        <f t="shared" ref="L815:M816" si="251">L819+L823</f>
        <v>0</v>
      </c>
      <c r="M815" s="499">
        <f t="shared" si="251"/>
        <v>0</v>
      </c>
      <c r="N815" s="564"/>
      <c r="O815" s="62"/>
    </row>
    <row r="816" spans="1:61" ht="24.6" customHeight="1">
      <c r="A816" s="1038"/>
      <c r="B816" s="62" t="s">
        <v>502</v>
      </c>
      <c r="C816" s="62"/>
      <c r="D816" s="62"/>
      <c r="E816" s="62"/>
      <c r="F816" s="62"/>
      <c r="G816" s="102">
        <f t="shared" si="249"/>
        <v>0</v>
      </c>
      <c r="H816" s="102"/>
      <c r="I816" s="102"/>
      <c r="J816" s="102"/>
      <c r="K816" s="102">
        <f>K820+K824</f>
        <v>0</v>
      </c>
      <c r="L816" s="102">
        <f t="shared" si="251"/>
        <v>0</v>
      </c>
      <c r="M816" s="499">
        <f t="shared" si="251"/>
        <v>0</v>
      </c>
      <c r="N816" s="564"/>
      <c r="O816" s="62"/>
    </row>
    <row r="817" spans="1:61" ht="24.6" customHeight="1">
      <c r="A817" s="1028" t="s">
        <v>732</v>
      </c>
      <c r="B817" s="564" t="s">
        <v>744</v>
      </c>
      <c r="C817" s="564">
        <v>176</v>
      </c>
      <c r="D817" s="564" t="s">
        <v>15</v>
      </c>
      <c r="E817" s="564">
        <v>6100404</v>
      </c>
      <c r="F817" s="564">
        <v>243</v>
      </c>
      <c r="G817" s="103">
        <f t="shared" si="249"/>
        <v>1</v>
      </c>
      <c r="H817" s="103"/>
      <c r="I817" s="103"/>
      <c r="J817" s="103"/>
      <c r="K817" s="103">
        <v>1</v>
      </c>
      <c r="L817" s="103"/>
      <c r="M817" s="679"/>
      <c r="N817" s="564"/>
      <c r="O817" s="1037" t="s">
        <v>957</v>
      </c>
    </row>
    <row r="818" spans="1:61" ht="24.6" customHeight="1">
      <c r="A818" s="1036"/>
      <c r="B818" s="564" t="s">
        <v>446</v>
      </c>
      <c r="C818" s="564"/>
      <c r="D818" s="564"/>
      <c r="E818" s="564"/>
      <c r="F818" s="564"/>
      <c r="G818" s="103">
        <f t="shared" si="249"/>
        <v>21823.8</v>
      </c>
      <c r="H818" s="103"/>
      <c r="I818" s="103"/>
      <c r="J818" s="103"/>
      <c r="K818" s="103">
        <f>K819+K820</f>
        <v>21823.8</v>
      </c>
      <c r="L818" s="103"/>
      <c r="M818" s="679"/>
      <c r="N818" s="564"/>
      <c r="O818" s="1037"/>
    </row>
    <row r="819" spans="1:61" ht="24.6" customHeight="1">
      <c r="A819" s="1036"/>
      <c r="B819" s="564" t="s">
        <v>249</v>
      </c>
      <c r="C819" s="564"/>
      <c r="D819" s="564"/>
      <c r="E819" s="564"/>
      <c r="F819" s="564"/>
      <c r="G819" s="103">
        <f t="shared" si="249"/>
        <v>21823.8</v>
      </c>
      <c r="H819" s="103"/>
      <c r="I819" s="103"/>
      <c r="J819" s="103"/>
      <c r="K819" s="103">
        <v>21823.8</v>
      </c>
      <c r="L819" s="103"/>
      <c r="M819" s="679"/>
      <c r="N819" s="564"/>
      <c r="O819" s="1037"/>
    </row>
    <row r="820" spans="1:61" s="45" customFormat="1" ht="28.9" hidden="1" customHeight="1">
      <c r="A820" s="1029"/>
      <c r="B820" s="564" t="s">
        <v>502</v>
      </c>
      <c r="C820" s="564"/>
      <c r="D820" s="564"/>
      <c r="E820" s="564"/>
      <c r="F820" s="564"/>
      <c r="G820" s="103">
        <f t="shared" si="249"/>
        <v>0</v>
      </c>
      <c r="H820" s="103"/>
      <c r="I820" s="103"/>
      <c r="J820" s="103"/>
      <c r="K820" s="103"/>
      <c r="L820" s="103"/>
      <c r="M820" s="679"/>
      <c r="N820" s="564"/>
      <c r="O820" s="1037"/>
      <c r="AJ820" s="113"/>
      <c r="AK820" s="113"/>
      <c r="AL820" s="113"/>
      <c r="AM820" s="113"/>
      <c r="AN820" s="113"/>
      <c r="AO820" s="113"/>
      <c r="AP820" s="113"/>
      <c r="AQ820" s="113"/>
      <c r="AR820" s="113"/>
      <c r="AS820" s="113"/>
      <c r="AT820" s="113"/>
      <c r="AU820" s="113"/>
      <c r="AV820" s="113"/>
      <c r="AW820" s="113"/>
      <c r="AX820" s="113"/>
      <c r="AY820" s="113"/>
      <c r="AZ820" s="113"/>
      <c r="BA820" s="113"/>
      <c r="BB820" s="113"/>
      <c r="BC820" s="113"/>
      <c r="BD820" s="113"/>
      <c r="BE820" s="113"/>
      <c r="BF820" s="113"/>
      <c r="BG820" s="113"/>
      <c r="BH820" s="113"/>
      <c r="BI820" s="113"/>
    </row>
    <row r="821" spans="1:61" s="45" customFormat="1" ht="22.9" hidden="1" customHeight="1">
      <c r="A821" s="1028" t="s">
        <v>569</v>
      </c>
      <c r="B821" s="564" t="s">
        <v>744</v>
      </c>
      <c r="C821" s="564">
        <v>176</v>
      </c>
      <c r="D821" s="564" t="s">
        <v>15</v>
      </c>
      <c r="E821" s="564">
        <v>6100404</v>
      </c>
      <c r="F821" s="564">
        <v>243</v>
      </c>
      <c r="G821" s="102">
        <f t="shared" si="249"/>
        <v>0</v>
      </c>
      <c r="H821" s="103"/>
      <c r="I821" s="103"/>
      <c r="J821" s="103"/>
      <c r="K821" s="103"/>
      <c r="L821" s="103"/>
      <c r="M821" s="679"/>
      <c r="N821" s="564"/>
      <c r="O821" s="1037" t="s">
        <v>746</v>
      </c>
      <c r="AJ821" s="113"/>
      <c r="AK821" s="113"/>
      <c r="AL821" s="113"/>
      <c r="AM821" s="113"/>
      <c r="AN821" s="113"/>
      <c r="AO821" s="113"/>
      <c r="AP821" s="113"/>
      <c r="AQ821" s="113"/>
      <c r="AR821" s="113"/>
      <c r="AS821" s="113"/>
      <c r="AT821" s="113"/>
      <c r="AU821" s="113"/>
      <c r="AV821" s="113"/>
      <c r="AW821" s="113"/>
      <c r="AX821" s="113"/>
      <c r="AY821" s="113"/>
      <c r="AZ821" s="113"/>
      <c r="BA821" s="113"/>
      <c r="BB821" s="113"/>
      <c r="BC821" s="113"/>
      <c r="BD821" s="113"/>
      <c r="BE821" s="113"/>
      <c r="BF821" s="113"/>
      <c r="BG821" s="113"/>
      <c r="BH821" s="113"/>
      <c r="BI821" s="113"/>
    </row>
    <row r="822" spans="1:61" s="45" customFormat="1" ht="22.9" hidden="1" customHeight="1">
      <c r="A822" s="1036"/>
      <c r="B822" s="564" t="s">
        <v>446</v>
      </c>
      <c r="C822" s="564"/>
      <c r="D822" s="564"/>
      <c r="E822" s="564"/>
      <c r="F822" s="564"/>
      <c r="G822" s="102">
        <f t="shared" si="249"/>
        <v>0</v>
      </c>
      <c r="H822" s="103"/>
      <c r="I822" s="103"/>
      <c r="J822" s="103"/>
      <c r="K822" s="103"/>
      <c r="L822" s="103">
        <f>L823+L824</f>
        <v>0</v>
      </c>
      <c r="M822" s="679"/>
      <c r="N822" s="564"/>
      <c r="O822" s="1037"/>
      <c r="AJ822" s="113"/>
      <c r="AK822" s="113"/>
      <c r="AL822" s="113"/>
      <c r="AM822" s="113"/>
      <c r="AN822" s="113"/>
      <c r="AO822" s="113"/>
      <c r="AP822" s="113"/>
      <c r="AQ822" s="113"/>
      <c r="AR822" s="113"/>
      <c r="AS822" s="113"/>
      <c r="AT822" s="113"/>
      <c r="AU822" s="113"/>
      <c r="AV822" s="113"/>
      <c r="AW822" s="113"/>
      <c r="AX822" s="113"/>
      <c r="AY822" s="113"/>
      <c r="AZ822" s="113"/>
      <c r="BA822" s="113"/>
      <c r="BB822" s="113"/>
      <c r="BC822" s="113"/>
      <c r="BD822" s="113"/>
      <c r="BE822" s="113"/>
      <c r="BF822" s="113"/>
      <c r="BG822" s="113"/>
      <c r="BH822" s="113"/>
      <c r="BI822" s="113"/>
    </row>
    <row r="823" spans="1:61" s="45" customFormat="1" ht="22.9" hidden="1" customHeight="1">
      <c r="A823" s="1036"/>
      <c r="B823" s="564" t="s">
        <v>249</v>
      </c>
      <c r="C823" s="564"/>
      <c r="D823" s="564"/>
      <c r="E823" s="564"/>
      <c r="F823" s="564"/>
      <c r="G823" s="102">
        <f t="shared" si="249"/>
        <v>0</v>
      </c>
      <c r="H823" s="103"/>
      <c r="I823" s="103"/>
      <c r="J823" s="103"/>
      <c r="K823" s="103"/>
      <c r="L823" s="103"/>
      <c r="M823" s="679"/>
      <c r="N823" s="564"/>
      <c r="O823" s="1037"/>
      <c r="AJ823" s="113"/>
      <c r="AK823" s="113"/>
      <c r="AL823" s="113"/>
      <c r="AM823" s="113"/>
      <c r="AN823" s="113"/>
      <c r="AO823" s="113"/>
      <c r="AP823" s="113"/>
      <c r="AQ823" s="113"/>
      <c r="AR823" s="113"/>
      <c r="AS823" s="113"/>
      <c r="AT823" s="113"/>
      <c r="AU823" s="113"/>
      <c r="AV823" s="113"/>
      <c r="AW823" s="113"/>
      <c r="AX823" s="113"/>
      <c r="AY823" s="113"/>
      <c r="AZ823" s="113"/>
      <c r="BA823" s="113"/>
      <c r="BB823" s="113"/>
      <c r="BC823" s="113"/>
      <c r="BD823" s="113"/>
      <c r="BE823" s="113"/>
      <c r="BF823" s="113"/>
      <c r="BG823" s="113"/>
      <c r="BH823" s="113"/>
      <c r="BI823" s="113"/>
    </row>
    <row r="824" spans="1:61" ht="24.6" hidden="1" customHeight="1">
      <c r="A824" s="1029"/>
      <c r="B824" s="564" t="s">
        <v>502</v>
      </c>
      <c r="C824" s="564"/>
      <c r="D824" s="564"/>
      <c r="E824" s="564"/>
      <c r="F824" s="564"/>
      <c r="G824" s="102">
        <f t="shared" si="249"/>
        <v>0</v>
      </c>
      <c r="H824" s="103"/>
      <c r="I824" s="103"/>
      <c r="J824" s="103"/>
      <c r="K824" s="103"/>
      <c r="L824" s="103"/>
      <c r="M824" s="679"/>
      <c r="N824" s="564"/>
      <c r="O824" s="1037"/>
    </row>
    <row r="825" spans="1:61" ht="22.9" hidden="1" customHeight="1">
      <c r="A825" s="1038" t="s">
        <v>139</v>
      </c>
      <c r="B825" s="62" t="s">
        <v>744</v>
      </c>
      <c r="C825" s="62"/>
      <c r="D825" s="62"/>
      <c r="E825" s="62"/>
      <c r="F825" s="62"/>
      <c r="G825" s="102">
        <f>G831</f>
        <v>0</v>
      </c>
      <c r="H825" s="102">
        <f t="shared" ref="H825:M825" si="252">H831</f>
        <v>0</v>
      </c>
      <c r="I825" s="102">
        <f t="shared" si="252"/>
        <v>0</v>
      </c>
      <c r="J825" s="102">
        <f t="shared" si="252"/>
        <v>0</v>
      </c>
      <c r="K825" s="102">
        <f t="shared" si="252"/>
        <v>0</v>
      </c>
      <c r="L825" s="102">
        <f t="shared" si="252"/>
        <v>0</v>
      </c>
      <c r="M825" s="499">
        <f t="shared" si="252"/>
        <v>0</v>
      </c>
      <c r="N825" s="564"/>
      <c r="O825" s="62"/>
    </row>
    <row r="826" spans="1:61" ht="22.9" hidden="1" customHeight="1">
      <c r="A826" s="1038"/>
      <c r="B826" s="62" t="s">
        <v>446</v>
      </c>
      <c r="C826" s="62"/>
      <c r="D826" s="62"/>
      <c r="E826" s="62"/>
      <c r="F826" s="62"/>
      <c r="G826" s="102">
        <f t="shared" ref="G826:G834" si="253">K826</f>
        <v>0</v>
      </c>
      <c r="H826" s="102"/>
      <c r="I826" s="102"/>
      <c r="J826" s="102"/>
      <c r="K826" s="102">
        <f>K827+K828</f>
        <v>0</v>
      </c>
      <c r="L826" s="102"/>
      <c r="M826" s="499"/>
      <c r="N826" s="564"/>
      <c r="O826" s="62"/>
    </row>
    <row r="827" spans="1:61" ht="22.9" hidden="1" customHeight="1">
      <c r="A827" s="1038"/>
      <c r="B827" s="62" t="s">
        <v>249</v>
      </c>
      <c r="C827" s="62"/>
      <c r="D827" s="62"/>
      <c r="E827" s="62"/>
      <c r="F827" s="62"/>
      <c r="G827" s="102">
        <f t="shared" si="253"/>
        <v>0</v>
      </c>
      <c r="H827" s="102"/>
      <c r="I827" s="102"/>
      <c r="J827" s="102"/>
      <c r="K827" s="102">
        <f>K833</f>
        <v>0</v>
      </c>
      <c r="L827" s="102"/>
      <c r="M827" s="499"/>
      <c r="N827" s="564"/>
      <c r="O827" s="62"/>
    </row>
    <row r="828" spans="1:61" ht="24" hidden="1" customHeight="1">
      <c r="A828" s="1038"/>
      <c r="B828" s="62" t="s">
        <v>502</v>
      </c>
      <c r="C828" s="62"/>
      <c r="D828" s="62"/>
      <c r="E828" s="62"/>
      <c r="F828" s="62"/>
      <c r="G828" s="102">
        <f t="shared" si="253"/>
        <v>0</v>
      </c>
      <c r="H828" s="102"/>
      <c r="I828" s="102"/>
      <c r="J828" s="102">
        <f>J834</f>
        <v>0</v>
      </c>
      <c r="K828" s="102">
        <f>K834</f>
        <v>0</v>
      </c>
      <c r="L828" s="102">
        <f>L830+L834+L836</f>
        <v>0</v>
      </c>
      <c r="M828" s="499"/>
      <c r="N828" s="564"/>
      <c r="O828" s="62"/>
    </row>
    <row r="829" spans="1:61" ht="1.1499999999999999" hidden="1" customHeight="1">
      <c r="A829" s="1039" t="s">
        <v>170</v>
      </c>
      <c r="B829" s="564" t="s">
        <v>89</v>
      </c>
      <c r="C829" s="564">
        <v>176</v>
      </c>
      <c r="D829" s="564" t="s">
        <v>15</v>
      </c>
      <c r="E829" s="564">
        <v>6100404</v>
      </c>
      <c r="F829" s="564">
        <v>243</v>
      </c>
      <c r="G829" s="102">
        <f t="shared" si="253"/>
        <v>0</v>
      </c>
      <c r="H829" s="103"/>
      <c r="I829" s="103"/>
      <c r="J829" s="103"/>
      <c r="K829" s="103"/>
      <c r="L829" s="103"/>
      <c r="M829" s="679"/>
      <c r="N829" s="564"/>
      <c r="O829" s="1037" t="s">
        <v>232</v>
      </c>
    </row>
    <row r="830" spans="1:61" ht="24.6" hidden="1" customHeight="1">
      <c r="A830" s="1039"/>
      <c r="B830" s="564" t="s">
        <v>248</v>
      </c>
      <c r="C830" s="564"/>
      <c r="D830" s="564"/>
      <c r="E830" s="564"/>
      <c r="F830" s="564"/>
      <c r="G830" s="102">
        <f t="shared" si="253"/>
        <v>0</v>
      </c>
      <c r="H830" s="103"/>
      <c r="I830" s="103"/>
      <c r="J830" s="103"/>
      <c r="K830" s="103"/>
      <c r="L830" s="103"/>
      <c r="M830" s="679"/>
      <c r="N830" s="564"/>
      <c r="O830" s="1037"/>
    </row>
    <row r="831" spans="1:61" ht="19.5" hidden="1" customHeight="1">
      <c r="A831" s="1028" t="s">
        <v>109</v>
      </c>
      <c r="B831" s="564" t="s">
        <v>744</v>
      </c>
      <c r="C831" s="564">
        <v>176</v>
      </c>
      <c r="D831" s="564" t="s">
        <v>15</v>
      </c>
      <c r="E831" s="564">
        <v>6100404</v>
      </c>
      <c r="F831" s="564">
        <v>243</v>
      </c>
      <c r="G831" s="103">
        <f t="shared" si="253"/>
        <v>0</v>
      </c>
      <c r="H831" s="103"/>
      <c r="I831" s="103"/>
      <c r="J831" s="103"/>
      <c r="K831" s="103"/>
      <c r="L831" s="103"/>
      <c r="M831" s="679"/>
      <c r="N831" s="564"/>
      <c r="O831" s="1037" t="s">
        <v>757</v>
      </c>
    </row>
    <row r="832" spans="1:61" ht="15.75" hidden="1" customHeight="1">
      <c r="A832" s="1036"/>
      <c r="B832" s="564" t="s">
        <v>446</v>
      </c>
      <c r="C832" s="564"/>
      <c r="D832" s="564"/>
      <c r="E832" s="564"/>
      <c r="F832" s="564"/>
      <c r="G832" s="103">
        <f t="shared" si="253"/>
        <v>0</v>
      </c>
      <c r="H832" s="103"/>
      <c r="I832" s="103"/>
      <c r="J832" s="103"/>
      <c r="K832" s="103">
        <f>K833+K834</f>
        <v>0</v>
      </c>
      <c r="L832" s="103"/>
      <c r="M832" s="679"/>
      <c r="N832" s="564"/>
      <c r="O832" s="1037"/>
    </row>
    <row r="833" spans="1:61" ht="21" hidden="1" customHeight="1">
      <c r="A833" s="1036"/>
      <c r="B833" s="564" t="s">
        <v>249</v>
      </c>
      <c r="C833" s="564"/>
      <c r="D833" s="564"/>
      <c r="E833" s="564"/>
      <c r="F833" s="564"/>
      <c r="G833" s="103">
        <f t="shared" si="253"/>
        <v>0</v>
      </c>
      <c r="H833" s="103"/>
      <c r="I833" s="103"/>
      <c r="J833" s="103"/>
      <c r="K833" s="103"/>
      <c r="L833" s="103"/>
      <c r="M833" s="679"/>
      <c r="N833" s="564"/>
      <c r="O833" s="1037"/>
    </row>
    <row r="834" spans="1:61" s="45" customFormat="1" ht="18" hidden="1" customHeight="1">
      <c r="A834" s="1029"/>
      <c r="B834" s="564" t="s">
        <v>502</v>
      </c>
      <c r="C834" s="564"/>
      <c r="D834" s="564"/>
      <c r="E834" s="564"/>
      <c r="F834" s="564"/>
      <c r="G834" s="102">
        <f t="shared" si="253"/>
        <v>0</v>
      </c>
      <c r="H834" s="103"/>
      <c r="I834" s="103"/>
      <c r="J834" s="103"/>
      <c r="K834" s="103"/>
      <c r="L834" s="103"/>
      <c r="M834" s="679"/>
      <c r="N834" s="564"/>
      <c r="O834" s="1037"/>
      <c r="AJ834" s="113"/>
      <c r="AK834" s="113"/>
      <c r="AL834" s="113"/>
      <c r="AM834" s="113"/>
      <c r="AN834" s="113"/>
      <c r="AO834" s="113"/>
      <c r="AP834" s="113"/>
      <c r="AQ834" s="113"/>
      <c r="AR834" s="113"/>
      <c r="AS834" s="113"/>
      <c r="AT834" s="113"/>
      <c r="AU834" s="113"/>
      <c r="AV834" s="113"/>
      <c r="AW834" s="113"/>
      <c r="AX834" s="113"/>
      <c r="AY834" s="113"/>
      <c r="AZ834" s="113"/>
      <c r="BA834" s="113"/>
      <c r="BB834" s="113"/>
      <c r="BC834" s="113"/>
      <c r="BD834" s="113"/>
      <c r="BE834" s="113"/>
      <c r="BF834" s="113"/>
      <c r="BG834" s="113"/>
      <c r="BH834" s="113"/>
      <c r="BI834" s="113"/>
    </row>
    <row r="835" spans="1:61" s="45" customFormat="1" ht="0.6" hidden="1" customHeight="1">
      <c r="A835" s="1039" t="s">
        <v>227</v>
      </c>
      <c r="B835" s="564" t="s">
        <v>89</v>
      </c>
      <c r="C835" s="564"/>
      <c r="D835" s="564"/>
      <c r="E835" s="564"/>
      <c r="F835" s="564"/>
      <c r="G835" s="103"/>
      <c r="H835" s="103"/>
      <c r="I835" s="103"/>
      <c r="J835" s="103"/>
      <c r="K835" s="103"/>
      <c r="L835" s="103"/>
      <c r="M835" s="679"/>
      <c r="N835" s="564"/>
      <c r="O835" s="1037" t="s">
        <v>228</v>
      </c>
      <c r="AJ835" s="113"/>
      <c r="AK835" s="113"/>
      <c r="AL835" s="113"/>
      <c r="AM835" s="113"/>
      <c r="AN835" s="113"/>
      <c r="AO835" s="113"/>
      <c r="AP835" s="113"/>
      <c r="AQ835" s="113"/>
      <c r="AR835" s="113"/>
      <c r="AS835" s="113"/>
      <c r="AT835" s="113"/>
      <c r="AU835" s="113"/>
      <c r="AV835" s="113"/>
      <c r="AW835" s="113"/>
      <c r="AX835" s="113"/>
      <c r="AY835" s="113"/>
      <c r="AZ835" s="113"/>
      <c r="BA835" s="113"/>
      <c r="BB835" s="113"/>
      <c r="BC835" s="113"/>
      <c r="BD835" s="113"/>
      <c r="BE835" s="113"/>
      <c r="BF835" s="113"/>
      <c r="BG835" s="113"/>
      <c r="BH835" s="113"/>
      <c r="BI835" s="113"/>
    </row>
    <row r="836" spans="1:61" ht="24.6" hidden="1" customHeight="1">
      <c r="A836" s="1039"/>
      <c r="B836" s="564" t="s">
        <v>248</v>
      </c>
      <c r="C836" s="564"/>
      <c r="D836" s="564"/>
      <c r="E836" s="564"/>
      <c r="F836" s="564"/>
      <c r="G836" s="103"/>
      <c r="H836" s="103"/>
      <c r="I836" s="103"/>
      <c r="J836" s="103"/>
      <c r="K836" s="103"/>
      <c r="L836" s="103"/>
      <c r="M836" s="679"/>
      <c r="N836" s="564"/>
      <c r="O836" s="1037"/>
    </row>
    <row r="837" spans="1:61" ht="23.45" customHeight="1">
      <c r="A837" s="985" t="s">
        <v>140</v>
      </c>
      <c r="B837" s="62" t="s">
        <v>89</v>
      </c>
      <c r="C837" s="62"/>
      <c r="D837" s="62"/>
      <c r="E837" s="62"/>
      <c r="F837" s="62"/>
      <c r="G837" s="102">
        <f t="shared" ref="G837:L838" si="254">G839+G841</f>
        <v>1</v>
      </c>
      <c r="H837" s="102">
        <f t="shared" si="254"/>
        <v>0</v>
      </c>
      <c r="I837" s="102">
        <f t="shared" si="254"/>
        <v>0</v>
      </c>
      <c r="J837" s="102">
        <f t="shared" si="254"/>
        <v>0</v>
      </c>
      <c r="K837" s="102">
        <f t="shared" si="254"/>
        <v>1</v>
      </c>
      <c r="L837" s="102">
        <f t="shared" si="254"/>
        <v>0</v>
      </c>
      <c r="M837" s="499"/>
      <c r="N837" s="564"/>
      <c r="O837" s="62"/>
    </row>
    <row r="838" spans="1:61" ht="24.6" customHeight="1">
      <c r="A838" s="987"/>
      <c r="B838" s="62" t="s">
        <v>248</v>
      </c>
      <c r="C838" s="62"/>
      <c r="D838" s="62"/>
      <c r="E838" s="62"/>
      <c r="F838" s="62"/>
      <c r="G838" s="102">
        <f t="shared" si="254"/>
        <v>17000</v>
      </c>
      <c r="H838" s="102">
        <f t="shared" si="254"/>
        <v>0</v>
      </c>
      <c r="I838" s="102">
        <f t="shared" si="254"/>
        <v>0</v>
      </c>
      <c r="J838" s="102">
        <f t="shared" si="254"/>
        <v>0</v>
      </c>
      <c r="K838" s="102">
        <f t="shared" si="254"/>
        <v>17000</v>
      </c>
      <c r="L838" s="102">
        <f t="shared" si="254"/>
        <v>0</v>
      </c>
      <c r="M838" s="499"/>
      <c r="N838" s="564"/>
      <c r="O838" s="62"/>
    </row>
    <row r="839" spans="1:61" ht="21" hidden="1" customHeight="1">
      <c r="A839" s="1028" t="s">
        <v>109</v>
      </c>
      <c r="B839" s="564" t="s">
        <v>89</v>
      </c>
      <c r="C839" s="564">
        <v>176</v>
      </c>
      <c r="D839" s="564" t="s">
        <v>15</v>
      </c>
      <c r="E839" s="564">
        <v>6100404</v>
      </c>
      <c r="F839" s="564">
        <v>243</v>
      </c>
      <c r="G839" s="103">
        <v>0</v>
      </c>
      <c r="H839" s="103"/>
      <c r="I839" s="103"/>
      <c r="J839" s="103"/>
      <c r="K839" s="103">
        <v>0</v>
      </c>
      <c r="L839" s="103"/>
      <c r="M839" s="679"/>
      <c r="N839" s="564"/>
      <c r="O839" s="1037" t="s">
        <v>754</v>
      </c>
    </row>
    <row r="840" spans="1:61" ht="24" hidden="1" customHeight="1">
      <c r="A840" s="1029"/>
      <c r="B840" s="564" t="s">
        <v>248</v>
      </c>
      <c r="C840" s="564"/>
      <c r="D840" s="564"/>
      <c r="E840" s="564"/>
      <c r="F840" s="564"/>
      <c r="G840" s="103">
        <f>K840</f>
        <v>0</v>
      </c>
      <c r="H840" s="103"/>
      <c r="I840" s="103"/>
      <c r="J840" s="103"/>
      <c r="K840" s="103"/>
      <c r="L840" s="103"/>
      <c r="M840" s="679"/>
      <c r="N840" s="564"/>
      <c r="O840" s="1037"/>
    </row>
    <row r="841" spans="1:61" ht="24.6" customHeight="1">
      <c r="A841" s="1039" t="s">
        <v>956</v>
      </c>
      <c r="B841" s="564" t="s">
        <v>89</v>
      </c>
      <c r="C841" s="564">
        <v>176</v>
      </c>
      <c r="D841" s="564" t="s">
        <v>15</v>
      </c>
      <c r="E841" s="564">
        <v>6100404</v>
      </c>
      <c r="F841" s="564">
        <v>243</v>
      </c>
      <c r="G841" s="103">
        <f>K841</f>
        <v>1</v>
      </c>
      <c r="H841" s="103"/>
      <c r="I841" s="103"/>
      <c r="J841" s="103"/>
      <c r="K841" s="103">
        <v>1</v>
      </c>
      <c r="L841" s="103"/>
      <c r="M841" s="679"/>
      <c r="N841" s="564"/>
      <c r="O841" s="1037" t="s">
        <v>226</v>
      </c>
    </row>
    <row r="842" spans="1:61" s="45" customFormat="1" ht="24.6" customHeight="1">
      <c r="A842" s="1039"/>
      <c r="B842" s="564" t="s">
        <v>248</v>
      </c>
      <c r="C842" s="564"/>
      <c r="D842" s="564"/>
      <c r="E842" s="564"/>
      <c r="F842" s="564"/>
      <c r="G842" s="103">
        <f>K842</f>
        <v>17000</v>
      </c>
      <c r="H842" s="103"/>
      <c r="I842" s="103"/>
      <c r="J842" s="103"/>
      <c r="K842" s="103">
        <v>17000</v>
      </c>
      <c r="L842" s="103"/>
      <c r="M842" s="679"/>
      <c r="N842" s="564"/>
      <c r="O842" s="1037"/>
      <c r="AJ842" s="113"/>
      <c r="AK842" s="113"/>
      <c r="AL842" s="113"/>
      <c r="AM842" s="113"/>
      <c r="AN842" s="113"/>
      <c r="AO842" s="113"/>
      <c r="AP842" s="113"/>
      <c r="AQ842" s="113"/>
      <c r="AR842" s="113"/>
      <c r="AS842" s="113"/>
      <c r="AT842" s="113"/>
      <c r="AU842" s="113"/>
      <c r="AV842" s="113"/>
      <c r="AW842" s="113"/>
      <c r="AX842" s="113"/>
      <c r="AY842" s="113"/>
      <c r="AZ842" s="113"/>
      <c r="BA842" s="113"/>
      <c r="BB842" s="113"/>
      <c r="BC842" s="113"/>
      <c r="BD842" s="113"/>
      <c r="BE842" s="113"/>
      <c r="BF842" s="113"/>
      <c r="BG842" s="113"/>
      <c r="BH842" s="113"/>
      <c r="BI842" s="113"/>
    </row>
    <row r="843" spans="1:61" s="45" customFormat="1" ht="24.75" hidden="1" customHeight="1">
      <c r="A843" s="1028" t="s">
        <v>115</v>
      </c>
      <c r="B843" s="564" t="s">
        <v>89</v>
      </c>
      <c r="C843" s="564">
        <v>176</v>
      </c>
      <c r="D843" s="564" t="s">
        <v>15</v>
      </c>
      <c r="E843" s="564">
        <v>6100404</v>
      </c>
      <c r="F843" s="564">
        <v>243</v>
      </c>
      <c r="G843" s="103"/>
      <c r="H843" s="103"/>
      <c r="I843" s="103"/>
      <c r="J843" s="103"/>
      <c r="K843" s="103"/>
      <c r="L843" s="103"/>
      <c r="M843" s="679"/>
      <c r="N843" s="564"/>
      <c r="O843" s="564" t="s">
        <v>35</v>
      </c>
      <c r="AJ843" s="113"/>
      <c r="AK843" s="113"/>
      <c r="AL843" s="113"/>
      <c r="AM843" s="113"/>
      <c r="AN843" s="113"/>
      <c r="AO843" s="113"/>
      <c r="AP843" s="113"/>
      <c r="AQ843" s="113"/>
      <c r="AR843" s="113"/>
      <c r="AS843" s="113"/>
      <c r="AT843" s="113"/>
      <c r="AU843" s="113"/>
      <c r="AV843" s="113"/>
      <c r="AW843" s="113"/>
      <c r="AX843" s="113"/>
      <c r="AY843" s="113"/>
      <c r="AZ843" s="113"/>
      <c r="BA843" s="113"/>
      <c r="BB843" s="113"/>
      <c r="BC843" s="113"/>
      <c r="BD843" s="113"/>
      <c r="BE843" s="113"/>
      <c r="BF843" s="113"/>
      <c r="BG843" s="113"/>
      <c r="BH843" s="113"/>
      <c r="BI843" s="113"/>
    </row>
    <row r="844" spans="1:61" ht="24.6" hidden="1" customHeight="1">
      <c r="A844" s="1029"/>
      <c r="B844" s="564" t="s">
        <v>248</v>
      </c>
      <c r="C844" s="564"/>
      <c r="D844" s="564"/>
      <c r="E844" s="564"/>
      <c r="F844" s="564"/>
      <c r="G844" s="103"/>
      <c r="H844" s="103"/>
      <c r="I844" s="103"/>
      <c r="J844" s="103"/>
      <c r="K844" s="103"/>
      <c r="L844" s="103"/>
      <c r="M844" s="679"/>
      <c r="N844" s="564"/>
      <c r="O844" s="564"/>
    </row>
    <row r="845" spans="1:61" ht="24.95" customHeight="1">
      <c r="A845" s="1038" t="s">
        <v>141</v>
      </c>
      <c r="B845" s="62" t="s">
        <v>744</v>
      </c>
      <c r="C845" s="62"/>
      <c r="D845" s="62"/>
      <c r="E845" s="62"/>
      <c r="F845" s="62"/>
      <c r="G845" s="102">
        <f>K845</f>
        <v>1</v>
      </c>
      <c r="H845" s="102">
        <f t="shared" ref="H845:L846" si="255">H847+H849+H853</f>
        <v>0</v>
      </c>
      <c r="I845" s="102">
        <f t="shared" si="255"/>
        <v>0</v>
      </c>
      <c r="J845" s="102">
        <f t="shared" si="255"/>
        <v>0</v>
      </c>
      <c r="K845" s="102">
        <f t="shared" si="255"/>
        <v>1</v>
      </c>
      <c r="L845" s="102">
        <f t="shared" si="255"/>
        <v>0</v>
      </c>
      <c r="M845" s="499">
        <f>M849+M851</f>
        <v>2</v>
      </c>
      <c r="N845" s="564"/>
      <c r="O845" s="62"/>
    </row>
    <row r="846" spans="1:61" ht="24.6" customHeight="1">
      <c r="A846" s="1038"/>
      <c r="B846" s="62" t="s">
        <v>248</v>
      </c>
      <c r="C846" s="62"/>
      <c r="D846" s="62"/>
      <c r="E846" s="62"/>
      <c r="F846" s="62"/>
      <c r="G846" s="102">
        <f t="shared" ref="G846:G852" si="256">K846</f>
        <v>115898.7</v>
      </c>
      <c r="H846" s="102">
        <f t="shared" si="255"/>
        <v>0</v>
      </c>
      <c r="I846" s="102">
        <f t="shared" si="255"/>
        <v>0</v>
      </c>
      <c r="J846" s="102">
        <f t="shared" si="255"/>
        <v>0</v>
      </c>
      <c r="K846" s="102">
        <f t="shared" si="255"/>
        <v>115898.7</v>
      </c>
      <c r="L846" s="102">
        <f t="shared" si="255"/>
        <v>0</v>
      </c>
      <c r="M846" s="499">
        <f>M850+M852</f>
        <v>220000</v>
      </c>
      <c r="N846" s="564"/>
      <c r="O846" s="62"/>
    </row>
    <row r="847" spans="1:61" ht="33" hidden="1" customHeight="1">
      <c r="A847" s="1039" t="s">
        <v>109</v>
      </c>
      <c r="B847" s="564" t="s">
        <v>89</v>
      </c>
      <c r="C847" s="564">
        <v>176</v>
      </c>
      <c r="D847" s="564" t="s">
        <v>15</v>
      </c>
      <c r="E847" s="564">
        <v>6100404</v>
      </c>
      <c r="F847" s="564">
        <v>243</v>
      </c>
      <c r="G847" s="102">
        <f t="shared" si="256"/>
        <v>0</v>
      </c>
      <c r="H847" s="103"/>
      <c r="I847" s="103"/>
      <c r="J847" s="103"/>
      <c r="K847" s="103"/>
      <c r="L847" s="103"/>
      <c r="M847" s="679"/>
      <c r="N847" s="564"/>
      <c r="O847" s="1037" t="s">
        <v>294</v>
      </c>
    </row>
    <row r="848" spans="1:61" ht="34.5" hidden="1" customHeight="1">
      <c r="A848" s="1039"/>
      <c r="B848" s="564" t="s">
        <v>248</v>
      </c>
      <c r="C848" s="564"/>
      <c r="D848" s="564"/>
      <c r="E848" s="564"/>
      <c r="F848" s="564"/>
      <c r="G848" s="102">
        <f t="shared" si="256"/>
        <v>0</v>
      </c>
      <c r="H848" s="103"/>
      <c r="I848" s="103"/>
      <c r="J848" s="103"/>
      <c r="K848" s="103"/>
      <c r="L848" s="103"/>
      <c r="M848" s="679"/>
      <c r="N848" s="564"/>
      <c r="O848" s="1037"/>
    </row>
    <row r="849" spans="1:61" ht="23.25" customHeight="1">
      <c r="A849" s="1039" t="s">
        <v>168</v>
      </c>
      <c r="B849" s="564" t="s">
        <v>744</v>
      </c>
      <c r="C849" s="564">
        <v>176</v>
      </c>
      <c r="D849" s="564" t="s">
        <v>15</v>
      </c>
      <c r="E849" s="564">
        <v>6100404</v>
      </c>
      <c r="F849" s="564">
        <v>243</v>
      </c>
      <c r="G849" s="103">
        <f t="shared" si="256"/>
        <v>1</v>
      </c>
      <c r="H849" s="103"/>
      <c r="I849" s="103"/>
      <c r="J849" s="103"/>
      <c r="K849" s="103">
        <v>1</v>
      </c>
      <c r="L849" s="103"/>
      <c r="M849" s="679">
        <v>1</v>
      </c>
      <c r="N849" s="564"/>
      <c r="O849" s="1037" t="s">
        <v>1005</v>
      </c>
    </row>
    <row r="850" spans="1:61" ht="27.75" customHeight="1">
      <c r="A850" s="1039"/>
      <c r="B850" s="564" t="s">
        <v>248</v>
      </c>
      <c r="C850" s="564"/>
      <c r="D850" s="564"/>
      <c r="E850" s="564"/>
      <c r="F850" s="564"/>
      <c r="G850" s="103">
        <f t="shared" si="256"/>
        <v>115898.7</v>
      </c>
      <c r="H850" s="103"/>
      <c r="I850" s="103"/>
      <c r="J850" s="103"/>
      <c r="K850" s="103">
        <f>3000+112898.7</f>
        <v>115898.7</v>
      </c>
      <c r="L850" s="103"/>
      <c r="M850" s="679">
        <v>205000</v>
      </c>
      <c r="N850" s="564"/>
      <c r="O850" s="1037"/>
    </row>
    <row r="851" spans="1:61" ht="20.25" customHeight="1">
      <c r="A851" s="1028" t="s">
        <v>167</v>
      </c>
      <c r="B851" s="564" t="s">
        <v>89</v>
      </c>
      <c r="C851" s="564">
        <v>176</v>
      </c>
      <c r="D851" s="564" t="s">
        <v>15</v>
      </c>
      <c r="E851" s="564">
        <v>6100404</v>
      </c>
      <c r="F851" s="564">
        <v>243</v>
      </c>
      <c r="G851" s="102">
        <f t="shared" si="256"/>
        <v>0</v>
      </c>
      <c r="H851" s="103"/>
      <c r="I851" s="103"/>
      <c r="J851" s="103"/>
      <c r="K851" s="103"/>
      <c r="L851" s="103"/>
      <c r="M851" s="679">
        <v>1</v>
      </c>
      <c r="N851" s="564"/>
      <c r="O851" s="1030" t="s">
        <v>226</v>
      </c>
    </row>
    <row r="852" spans="1:61" s="45" customFormat="1" ht="23.25" customHeight="1">
      <c r="A852" s="1029"/>
      <c r="B852" s="564" t="s">
        <v>248</v>
      </c>
      <c r="C852" s="564"/>
      <c r="D852" s="564"/>
      <c r="E852" s="564"/>
      <c r="F852" s="564"/>
      <c r="G852" s="102">
        <f t="shared" si="256"/>
        <v>0</v>
      </c>
      <c r="H852" s="103"/>
      <c r="I852" s="103"/>
      <c r="J852" s="103"/>
      <c r="K852" s="103"/>
      <c r="L852" s="103"/>
      <c r="M852" s="679">
        <v>15000</v>
      </c>
      <c r="N852" s="564"/>
      <c r="O852" s="1031"/>
      <c r="AJ852" s="113"/>
      <c r="AK852" s="113"/>
      <c r="AL852" s="113"/>
      <c r="AM852" s="113"/>
      <c r="AN852" s="113"/>
      <c r="AO852" s="113"/>
      <c r="AP852" s="113"/>
      <c r="AQ852" s="113"/>
      <c r="AR852" s="113"/>
      <c r="AS852" s="113"/>
      <c r="AT852" s="113"/>
      <c r="AU852" s="113"/>
      <c r="AV852" s="113"/>
      <c r="AW852" s="113"/>
      <c r="AX852" s="113"/>
      <c r="AY852" s="113"/>
      <c r="AZ852" s="113"/>
      <c r="BA852" s="113"/>
      <c r="BB852" s="113"/>
      <c r="BC852" s="113"/>
      <c r="BD852" s="113"/>
      <c r="BE852" s="113"/>
      <c r="BF852" s="113"/>
      <c r="BG852" s="113"/>
      <c r="BH852" s="113"/>
      <c r="BI852" s="113"/>
    </row>
    <row r="853" spans="1:61" s="45" customFormat="1" ht="34.5" hidden="1" customHeight="1">
      <c r="A853" s="1039" t="s">
        <v>166</v>
      </c>
      <c r="B853" s="564" t="s">
        <v>89</v>
      </c>
      <c r="C853" s="564">
        <v>176</v>
      </c>
      <c r="D853" s="564" t="s">
        <v>15</v>
      </c>
      <c r="E853" s="564">
        <v>6100404</v>
      </c>
      <c r="F853" s="564">
        <v>243</v>
      </c>
      <c r="G853" s="103">
        <f>K853</f>
        <v>0</v>
      </c>
      <c r="H853" s="103"/>
      <c r="I853" s="103"/>
      <c r="J853" s="103"/>
      <c r="K853" s="103"/>
      <c r="L853" s="103"/>
      <c r="M853" s="679"/>
      <c r="N853" s="564"/>
      <c r="O853" s="1037" t="s">
        <v>228</v>
      </c>
      <c r="AJ853" s="113"/>
      <c r="AK853" s="113"/>
      <c r="AL853" s="113"/>
      <c r="AM853" s="113"/>
      <c r="AN853" s="113"/>
      <c r="AO853" s="113"/>
      <c r="AP853" s="113"/>
      <c r="AQ853" s="113"/>
      <c r="AR853" s="113"/>
      <c r="AS853" s="113"/>
      <c r="AT853" s="113"/>
      <c r="AU853" s="113"/>
      <c r="AV853" s="113"/>
      <c r="AW853" s="113"/>
      <c r="AX853" s="113"/>
      <c r="AY853" s="113"/>
      <c r="AZ853" s="113"/>
      <c r="BA853" s="113"/>
      <c r="BB853" s="113"/>
      <c r="BC853" s="113"/>
      <c r="BD853" s="113"/>
      <c r="BE853" s="113"/>
      <c r="BF853" s="113"/>
      <c r="BG853" s="113"/>
      <c r="BH853" s="113"/>
      <c r="BI853" s="113"/>
    </row>
    <row r="854" spans="1:61" ht="34.5" hidden="1" customHeight="1">
      <c r="A854" s="1039"/>
      <c r="B854" s="564" t="s">
        <v>248</v>
      </c>
      <c r="C854" s="564"/>
      <c r="D854" s="564"/>
      <c r="E854" s="564"/>
      <c r="F854" s="564"/>
      <c r="G854" s="103">
        <f>K854</f>
        <v>0</v>
      </c>
      <c r="H854" s="103"/>
      <c r="I854" s="103"/>
      <c r="J854" s="103"/>
      <c r="K854" s="103"/>
      <c r="L854" s="103"/>
      <c r="M854" s="679"/>
      <c r="N854" s="564"/>
      <c r="O854" s="1037"/>
    </row>
    <row r="855" spans="1:61" ht="24.6" hidden="1" customHeight="1">
      <c r="A855" s="1038" t="s">
        <v>107</v>
      </c>
      <c r="B855" s="62" t="s">
        <v>89</v>
      </c>
      <c r="C855" s="62"/>
      <c r="D855" s="62"/>
      <c r="E855" s="62"/>
      <c r="F855" s="62"/>
      <c r="G855" s="102">
        <f t="shared" ref="G855:L856" si="257">G857+G859</f>
        <v>0</v>
      </c>
      <c r="H855" s="102">
        <f t="shared" si="257"/>
        <v>0</v>
      </c>
      <c r="I855" s="102">
        <f t="shared" si="257"/>
        <v>0</v>
      </c>
      <c r="J855" s="102">
        <f t="shared" si="257"/>
        <v>0</v>
      </c>
      <c r="K855" s="102"/>
      <c r="L855" s="102">
        <f t="shared" si="257"/>
        <v>0</v>
      </c>
      <c r="M855" s="499">
        <f>M857</f>
        <v>0</v>
      </c>
      <c r="N855" s="564"/>
      <c r="O855" s="62"/>
    </row>
    <row r="856" spans="1:61" ht="24.6" hidden="1" customHeight="1">
      <c r="A856" s="1038"/>
      <c r="B856" s="62" t="s">
        <v>248</v>
      </c>
      <c r="C856" s="62"/>
      <c r="D856" s="62"/>
      <c r="E856" s="62"/>
      <c r="F856" s="62"/>
      <c r="G856" s="102">
        <f t="shared" si="257"/>
        <v>0</v>
      </c>
      <c r="H856" s="102">
        <f t="shared" si="257"/>
        <v>0</v>
      </c>
      <c r="I856" s="102">
        <f t="shared" si="257"/>
        <v>0</v>
      </c>
      <c r="J856" s="102">
        <f t="shared" si="257"/>
        <v>0</v>
      </c>
      <c r="K856" s="102"/>
      <c r="L856" s="102">
        <f t="shared" si="257"/>
        <v>0</v>
      </c>
      <c r="M856" s="499">
        <f>M858</f>
        <v>0</v>
      </c>
      <c r="N856" s="564"/>
      <c r="O856" s="62"/>
    </row>
    <row r="857" spans="1:61" ht="29.45" hidden="1" customHeight="1">
      <c r="A857" s="1039" t="s">
        <v>535</v>
      </c>
      <c r="B857" s="564" t="s">
        <v>89</v>
      </c>
      <c r="C857" s="564">
        <v>176</v>
      </c>
      <c r="D857" s="564" t="s">
        <v>15</v>
      </c>
      <c r="E857" s="564">
        <v>6100404</v>
      </c>
      <c r="F857" s="564">
        <v>243</v>
      </c>
      <c r="G857" s="103">
        <f>J857</f>
        <v>0</v>
      </c>
      <c r="H857" s="103"/>
      <c r="I857" s="103"/>
      <c r="J857" s="103"/>
      <c r="K857" s="103"/>
      <c r="L857" s="103"/>
      <c r="M857" s="679"/>
      <c r="N857" s="564"/>
      <c r="O857" s="1037" t="s">
        <v>331</v>
      </c>
    </row>
    <row r="858" spans="1:61" s="45" customFormat="1" ht="28.5" hidden="1" customHeight="1">
      <c r="A858" s="1039"/>
      <c r="B858" s="564" t="s">
        <v>248</v>
      </c>
      <c r="C858" s="564"/>
      <c r="D858" s="564"/>
      <c r="E858" s="564"/>
      <c r="F858" s="564"/>
      <c r="G858" s="103">
        <f>J858</f>
        <v>0</v>
      </c>
      <c r="H858" s="103"/>
      <c r="I858" s="103"/>
      <c r="J858" s="103"/>
      <c r="K858" s="103"/>
      <c r="L858" s="103"/>
      <c r="M858" s="679"/>
      <c r="N858" s="564"/>
      <c r="O858" s="1037"/>
      <c r="AJ858" s="113"/>
      <c r="AK858" s="113"/>
      <c r="AL858" s="113"/>
      <c r="AM858" s="113"/>
      <c r="AN858" s="113"/>
      <c r="AO858" s="113"/>
      <c r="AP858" s="113"/>
      <c r="AQ858" s="113"/>
      <c r="AR858" s="113"/>
      <c r="AS858" s="113"/>
      <c r="AT858" s="113"/>
      <c r="AU858" s="113"/>
      <c r="AV858" s="113"/>
      <c r="AW858" s="113"/>
      <c r="AX858" s="113"/>
      <c r="AY858" s="113"/>
      <c r="AZ858" s="113"/>
      <c r="BA858" s="113"/>
      <c r="BB858" s="113"/>
      <c r="BC858" s="113"/>
      <c r="BD858" s="113"/>
      <c r="BE858" s="113"/>
      <c r="BF858" s="113"/>
      <c r="BG858" s="113"/>
      <c r="BH858" s="113"/>
      <c r="BI858" s="113"/>
    </row>
    <row r="859" spans="1:61" s="45" customFormat="1" ht="24.6" hidden="1" customHeight="1">
      <c r="A859" s="1039" t="s">
        <v>109</v>
      </c>
      <c r="B859" s="564" t="s">
        <v>89</v>
      </c>
      <c r="C859" s="564">
        <v>176</v>
      </c>
      <c r="D859" s="564" t="s">
        <v>15</v>
      </c>
      <c r="E859" s="564">
        <v>6100404</v>
      </c>
      <c r="F859" s="564">
        <v>243</v>
      </c>
      <c r="G859" s="103"/>
      <c r="H859" s="103"/>
      <c r="I859" s="103"/>
      <c r="J859" s="103"/>
      <c r="K859" s="103"/>
      <c r="L859" s="103"/>
      <c r="M859" s="679"/>
      <c r="N859" s="564"/>
      <c r="O859" s="1037" t="s">
        <v>294</v>
      </c>
      <c r="AJ859" s="113"/>
      <c r="AK859" s="113"/>
      <c r="AL859" s="113"/>
      <c r="AM859" s="113"/>
      <c r="AN859" s="113"/>
      <c r="AO859" s="113"/>
      <c r="AP859" s="113"/>
      <c r="AQ859" s="113"/>
      <c r="AR859" s="113"/>
      <c r="AS859" s="113"/>
      <c r="AT859" s="113"/>
      <c r="AU859" s="113"/>
      <c r="AV859" s="113"/>
      <c r="AW859" s="113"/>
      <c r="AX859" s="113"/>
      <c r="AY859" s="113"/>
      <c r="AZ859" s="113"/>
      <c r="BA859" s="113"/>
      <c r="BB859" s="113"/>
      <c r="BC859" s="113"/>
      <c r="BD859" s="113"/>
      <c r="BE859" s="113"/>
      <c r="BF859" s="113"/>
      <c r="BG859" s="113"/>
      <c r="BH859" s="113"/>
      <c r="BI859" s="113"/>
    </row>
    <row r="860" spans="1:61" ht="24.6" hidden="1" customHeight="1">
      <c r="A860" s="1039"/>
      <c r="B860" s="564" t="s">
        <v>248</v>
      </c>
      <c r="C860" s="564"/>
      <c r="D860" s="564"/>
      <c r="E860" s="564"/>
      <c r="F860" s="564"/>
      <c r="G860" s="103"/>
      <c r="H860" s="103"/>
      <c r="I860" s="103"/>
      <c r="J860" s="103"/>
      <c r="K860" s="103"/>
      <c r="L860" s="103"/>
      <c r="M860" s="679"/>
      <c r="N860" s="564"/>
      <c r="O860" s="1037"/>
    </row>
    <row r="861" spans="1:61" ht="24.95" hidden="1" customHeight="1">
      <c r="A861" s="1038" t="s">
        <v>142</v>
      </c>
      <c r="B861" s="62" t="s">
        <v>89</v>
      </c>
      <c r="C861" s="62"/>
      <c r="D861" s="62"/>
      <c r="E861" s="62"/>
      <c r="F861" s="62"/>
      <c r="G861" s="102"/>
      <c r="H861" s="102">
        <f t="shared" ref="G861:M862" si="258">H863+H865</f>
        <v>0</v>
      </c>
      <c r="I861" s="102">
        <f t="shared" si="258"/>
        <v>0</v>
      </c>
      <c r="J861" s="102">
        <f t="shared" si="258"/>
        <v>0</v>
      </c>
      <c r="K861" s="102">
        <f t="shared" si="258"/>
        <v>0</v>
      </c>
      <c r="L861" s="102">
        <f t="shared" si="258"/>
        <v>0</v>
      </c>
      <c r="M861" s="499">
        <f t="shared" si="258"/>
        <v>0</v>
      </c>
      <c r="N861" s="564"/>
      <c r="O861" s="62"/>
    </row>
    <row r="862" spans="1:61" ht="24.95" hidden="1" customHeight="1">
      <c r="A862" s="1038"/>
      <c r="B862" s="62" t="s">
        <v>248</v>
      </c>
      <c r="C862" s="62"/>
      <c r="D862" s="62"/>
      <c r="E862" s="62"/>
      <c r="F862" s="62"/>
      <c r="G862" s="102">
        <f t="shared" si="258"/>
        <v>0</v>
      </c>
      <c r="H862" s="102">
        <f t="shared" si="258"/>
        <v>0</v>
      </c>
      <c r="I862" s="102">
        <f t="shared" si="258"/>
        <v>0</v>
      </c>
      <c r="J862" s="102">
        <f t="shared" si="258"/>
        <v>0</v>
      </c>
      <c r="K862" s="102">
        <f t="shared" si="258"/>
        <v>0</v>
      </c>
      <c r="L862" s="102">
        <f t="shared" si="258"/>
        <v>0</v>
      </c>
      <c r="M862" s="499">
        <f t="shared" si="258"/>
        <v>0</v>
      </c>
      <c r="N862" s="564"/>
      <c r="O862" s="62"/>
    </row>
    <row r="863" spans="1:61" ht="24.95" hidden="1" customHeight="1">
      <c r="A863" s="1039" t="s">
        <v>321</v>
      </c>
      <c r="B863" s="564" t="s">
        <v>89</v>
      </c>
      <c r="C863" s="564">
        <v>176</v>
      </c>
      <c r="D863" s="564" t="s">
        <v>15</v>
      </c>
      <c r="E863" s="564">
        <v>6100404</v>
      </c>
      <c r="F863" s="564">
        <v>243</v>
      </c>
      <c r="G863" s="103"/>
      <c r="H863" s="103"/>
      <c r="I863" s="103"/>
      <c r="J863" s="103"/>
      <c r="K863" s="103"/>
      <c r="L863" s="103"/>
      <c r="M863" s="679"/>
      <c r="N863" s="564"/>
      <c r="O863" s="1037" t="s">
        <v>232</v>
      </c>
    </row>
    <row r="864" spans="1:61" ht="24" hidden="1" customHeight="1">
      <c r="A864" s="1039"/>
      <c r="B864" s="564" t="s">
        <v>248</v>
      </c>
      <c r="C864" s="564"/>
      <c r="D864" s="564"/>
      <c r="E864" s="564"/>
      <c r="F864" s="564"/>
      <c r="G864" s="103"/>
      <c r="H864" s="103"/>
      <c r="I864" s="103"/>
      <c r="J864" s="103"/>
      <c r="K864" s="103"/>
      <c r="L864" s="103"/>
      <c r="M864" s="679"/>
      <c r="N864" s="564"/>
      <c r="O864" s="1037"/>
    </row>
    <row r="865" spans="1:61" ht="24.6" hidden="1" customHeight="1">
      <c r="A865" s="1039" t="s">
        <v>109</v>
      </c>
      <c r="B865" s="564" t="s">
        <v>89</v>
      </c>
      <c r="C865" s="564">
        <v>176</v>
      </c>
      <c r="D865" s="564" t="s">
        <v>15</v>
      </c>
      <c r="E865" s="564">
        <v>6100404</v>
      </c>
      <c r="F865" s="564">
        <v>243</v>
      </c>
      <c r="G865" s="103"/>
      <c r="H865" s="103"/>
      <c r="I865" s="103"/>
      <c r="J865" s="103"/>
      <c r="K865" s="103"/>
      <c r="L865" s="103"/>
      <c r="M865" s="679"/>
      <c r="N865" s="564"/>
      <c r="O865" s="1037" t="s">
        <v>294</v>
      </c>
    </row>
    <row r="866" spans="1:61" ht="24.6" hidden="1" customHeight="1">
      <c r="A866" s="1039"/>
      <c r="B866" s="564" t="s">
        <v>248</v>
      </c>
      <c r="C866" s="564"/>
      <c r="D866" s="564"/>
      <c r="E866" s="564"/>
      <c r="F866" s="564"/>
      <c r="G866" s="103">
        <f>K866</f>
        <v>0</v>
      </c>
      <c r="H866" s="103"/>
      <c r="I866" s="103"/>
      <c r="J866" s="103"/>
      <c r="K866" s="103"/>
      <c r="L866" s="103"/>
      <c r="M866" s="679"/>
      <c r="N866" s="564"/>
      <c r="O866" s="1037"/>
    </row>
    <row r="867" spans="1:61" ht="39.75" customHeight="1">
      <c r="A867" s="78" t="s">
        <v>32</v>
      </c>
      <c r="B867" s="564" t="s">
        <v>248</v>
      </c>
      <c r="C867" s="564">
        <v>176</v>
      </c>
      <c r="D867" s="564" t="s">
        <v>15</v>
      </c>
      <c r="E867" s="564">
        <v>6100404</v>
      </c>
      <c r="F867" s="564">
        <v>243</v>
      </c>
      <c r="G867" s="102">
        <f>K867</f>
        <v>10000</v>
      </c>
      <c r="H867" s="103"/>
      <c r="I867" s="103"/>
      <c r="J867" s="103"/>
      <c r="K867" s="102">
        <f>4000+6000</f>
        <v>10000</v>
      </c>
      <c r="L867" s="102">
        <v>0</v>
      </c>
      <c r="M867" s="499">
        <v>9000</v>
      </c>
      <c r="N867" s="564"/>
      <c r="O867" s="330" t="s">
        <v>829</v>
      </c>
    </row>
    <row r="868" spans="1:61" ht="0.75" customHeight="1">
      <c r="A868" s="78"/>
      <c r="B868" s="564"/>
      <c r="C868" s="564"/>
      <c r="D868" s="564"/>
      <c r="E868" s="564"/>
      <c r="F868" s="564"/>
      <c r="G868" s="103"/>
      <c r="H868" s="103"/>
      <c r="I868" s="103"/>
      <c r="J868" s="103"/>
      <c r="K868" s="103"/>
      <c r="L868" s="103"/>
      <c r="M868" s="679"/>
      <c r="N868" s="564"/>
      <c r="O868" s="564"/>
    </row>
    <row r="869" spans="1:61" ht="24.95" customHeight="1">
      <c r="A869" s="985" t="s">
        <v>1007</v>
      </c>
      <c r="B869" s="770" t="s">
        <v>237</v>
      </c>
      <c r="C869" s="770"/>
      <c r="D869" s="770"/>
      <c r="E869" s="770"/>
      <c r="F869" s="770"/>
      <c r="G869" s="102">
        <f>G870</f>
        <v>4513.3</v>
      </c>
      <c r="H869" s="102">
        <f t="shared" ref="H869:M869" si="259">H870</f>
        <v>4513.3</v>
      </c>
      <c r="I869" s="102">
        <f t="shared" si="259"/>
        <v>0</v>
      </c>
      <c r="J869" s="102">
        <f t="shared" si="259"/>
        <v>0</v>
      </c>
      <c r="K869" s="102">
        <f t="shared" si="259"/>
        <v>0</v>
      </c>
      <c r="L869" s="102">
        <f t="shared" si="259"/>
        <v>0</v>
      </c>
      <c r="M869" s="102">
        <f t="shared" si="259"/>
        <v>0</v>
      </c>
      <c r="N869" s="1030" t="s">
        <v>26</v>
      </c>
      <c r="O869" s="1030" t="s">
        <v>926</v>
      </c>
    </row>
    <row r="870" spans="1:61" ht="24.95" customHeight="1">
      <c r="A870" s="986"/>
      <c r="B870" s="770" t="s">
        <v>10</v>
      </c>
      <c r="C870" s="770"/>
      <c r="D870" s="770"/>
      <c r="E870" s="770"/>
      <c r="F870" s="770"/>
      <c r="G870" s="102">
        <f>H870</f>
        <v>4513.3</v>
      </c>
      <c r="H870" s="102">
        <v>4513.3</v>
      </c>
      <c r="I870" s="102"/>
      <c r="J870" s="102"/>
      <c r="K870" s="102"/>
      <c r="L870" s="102">
        <v>0</v>
      </c>
      <c r="M870" s="499">
        <v>0</v>
      </c>
      <c r="N870" s="1032"/>
      <c r="O870" s="1032"/>
    </row>
    <row r="871" spans="1:61" ht="24.95" customHeight="1">
      <c r="A871" s="986"/>
      <c r="B871" s="770" t="s">
        <v>443</v>
      </c>
      <c r="C871" s="770">
        <v>176</v>
      </c>
      <c r="D871" s="770" t="s">
        <v>15</v>
      </c>
      <c r="E871" s="770">
        <v>6100404</v>
      </c>
      <c r="F871" s="770">
        <v>244</v>
      </c>
      <c r="G871" s="102"/>
      <c r="H871" s="102"/>
      <c r="I871" s="102">
        <v>0</v>
      </c>
      <c r="J871" s="102">
        <v>0</v>
      </c>
      <c r="K871" s="102">
        <v>0</v>
      </c>
      <c r="L871" s="102">
        <v>0</v>
      </c>
      <c r="M871" s="499">
        <v>0</v>
      </c>
      <c r="N871" s="1032"/>
      <c r="O871" s="1032"/>
    </row>
    <row r="872" spans="1:61" ht="24.95" customHeight="1">
      <c r="A872" s="985" t="s">
        <v>845</v>
      </c>
      <c r="B872" s="792" t="s">
        <v>89</v>
      </c>
      <c r="C872" s="792"/>
      <c r="D872" s="792"/>
      <c r="E872" s="792"/>
      <c r="F872" s="792"/>
      <c r="G872" s="102">
        <f>G879+G1310</f>
        <v>59.100000000000009</v>
      </c>
      <c r="H872" s="102">
        <f t="shared" ref="H872:M872" si="260">H879+H1310</f>
        <v>0</v>
      </c>
      <c r="I872" s="102">
        <f t="shared" si="260"/>
        <v>0</v>
      </c>
      <c r="J872" s="102">
        <f t="shared" si="260"/>
        <v>0</v>
      </c>
      <c r="K872" s="102">
        <f t="shared" si="260"/>
        <v>59.100000000000009</v>
      </c>
      <c r="L872" s="102">
        <f t="shared" si="260"/>
        <v>0</v>
      </c>
      <c r="M872" s="102">
        <f t="shared" si="260"/>
        <v>74.300000000000011</v>
      </c>
      <c r="N872" s="1030" t="s">
        <v>26</v>
      </c>
      <c r="O872" s="1030" t="s">
        <v>1123</v>
      </c>
    </row>
    <row r="873" spans="1:61" ht="24.95" customHeight="1">
      <c r="A873" s="986"/>
      <c r="B873" s="792" t="s">
        <v>24</v>
      </c>
      <c r="C873" s="792"/>
      <c r="D873" s="792"/>
      <c r="E873" s="792"/>
      <c r="F873" s="792"/>
      <c r="G873" s="102">
        <f>G874/G872</f>
        <v>18488.609137055835</v>
      </c>
      <c r="H873" s="102"/>
      <c r="I873" s="102"/>
      <c r="J873" s="102"/>
      <c r="K873" s="102"/>
      <c r="L873" s="102"/>
      <c r="M873" s="499">
        <f>M874/M872</f>
        <v>28447.481830417215</v>
      </c>
      <c r="N873" s="1032"/>
      <c r="O873" s="1032"/>
    </row>
    <row r="874" spans="1:61" ht="24.95" customHeight="1">
      <c r="A874" s="986"/>
      <c r="B874" s="792" t="s">
        <v>25</v>
      </c>
      <c r="C874" s="792">
        <v>176</v>
      </c>
      <c r="D874" s="792" t="s">
        <v>15</v>
      </c>
      <c r="E874" s="792">
        <v>6100404</v>
      </c>
      <c r="F874" s="792">
        <v>244</v>
      </c>
      <c r="G874" s="102">
        <f>G875+G876</f>
        <v>1092676.8</v>
      </c>
      <c r="H874" s="102">
        <f t="shared" ref="H874:M874" si="261">H875+H876</f>
        <v>6854.1</v>
      </c>
      <c r="I874" s="102">
        <f t="shared" si="261"/>
        <v>0</v>
      </c>
      <c r="J874" s="102">
        <f t="shared" si="261"/>
        <v>0</v>
      </c>
      <c r="K874" s="102">
        <f t="shared" si="261"/>
        <v>1085822.7</v>
      </c>
      <c r="L874" s="102">
        <f t="shared" si="261"/>
        <v>101800</v>
      </c>
      <c r="M874" s="102">
        <f t="shared" si="261"/>
        <v>2113647.8999999994</v>
      </c>
      <c r="N874" s="1032"/>
      <c r="O874" s="1032"/>
    </row>
    <row r="875" spans="1:61" ht="24.95" customHeight="1">
      <c r="A875" s="986"/>
      <c r="B875" s="792" t="s">
        <v>10</v>
      </c>
      <c r="C875" s="792">
        <v>176</v>
      </c>
      <c r="D875" s="792" t="s">
        <v>15</v>
      </c>
      <c r="E875" s="792">
        <v>6100404</v>
      </c>
      <c r="F875" s="792">
        <v>244</v>
      </c>
      <c r="G875" s="102">
        <f>G882+G1314</f>
        <v>1092676.8</v>
      </c>
      <c r="H875" s="102">
        <f t="shared" ref="H875:M875" si="262">H882+H1314</f>
        <v>6854.1</v>
      </c>
      <c r="I875" s="102">
        <f t="shared" si="262"/>
        <v>0</v>
      </c>
      <c r="J875" s="102">
        <f t="shared" si="262"/>
        <v>0</v>
      </c>
      <c r="K875" s="102">
        <f t="shared" si="262"/>
        <v>1085822.7</v>
      </c>
      <c r="L875" s="102">
        <f t="shared" si="262"/>
        <v>101800</v>
      </c>
      <c r="M875" s="102">
        <f t="shared" si="262"/>
        <v>2113647.8999999994</v>
      </c>
      <c r="N875" s="1032"/>
      <c r="O875" s="1032"/>
      <c r="P875" s="122"/>
      <c r="Q875" s="47"/>
    </row>
    <row r="876" spans="1:61" s="45" customFormat="1" ht="24.6" customHeight="1">
      <c r="A876" s="986"/>
      <c r="B876" s="792" t="s">
        <v>502</v>
      </c>
      <c r="C876" s="792"/>
      <c r="D876" s="792"/>
      <c r="E876" s="792"/>
      <c r="F876" s="792"/>
      <c r="G876" s="102">
        <f>G883+G1313</f>
        <v>0</v>
      </c>
      <c r="H876" s="102">
        <f t="shared" ref="H876:M876" si="263">H883+H1313</f>
        <v>0</v>
      </c>
      <c r="I876" s="102">
        <f t="shared" si="263"/>
        <v>0</v>
      </c>
      <c r="J876" s="102">
        <f t="shared" si="263"/>
        <v>0</v>
      </c>
      <c r="K876" s="102">
        <f t="shared" si="263"/>
        <v>0</v>
      </c>
      <c r="L876" s="102">
        <f t="shared" si="263"/>
        <v>0</v>
      </c>
      <c r="M876" s="102">
        <f t="shared" si="263"/>
        <v>0</v>
      </c>
      <c r="N876" s="1032"/>
      <c r="O876" s="1032"/>
      <c r="AJ876" s="113"/>
      <c r="AK876" s="113"/>
      <c r="AL876" s="113"/>
      <c r="AM876" s="113"/>
      <c r="AN876" s="113"/>
      <c r="AO876" s="113"/>
      <c r="AP876" s="113"/>
      <c r="AQ876" s="113"/>
      <c r="AR876" s="113"/>
      <c r="AS876" s="113"/>
      <c r="AT876" s="113"/>
      <c r="AU876" s="113"/>
      <c r="AV876" s="113"/>
      <c r="AW876" s="113"/>
      <c r="AX876" s="113"/>
      <c r="AY876" s="113"/>
      <c r="AZ876" s="113"/>
      <c r="BA876" s="113"/>
      <c r="BB876" s="113"/>
      <c r="BC876" s="113"/>
      <c r="BD876" s="113"/>
      <c r="BE876" s="113"/>
      <c r="BF876" s="113"/>
      <c r="BG876" s="113"/>
      <c r="BH876" s="113"/>
      <c r="BI876" s="113"/>
    </row>
    <row r="877" spans="1:61" s="45" customFormat="1" ht="24.95" customHeight="1">
      <c r="A877" s="986"/>
      <c r="B877" s="792" t="s">
        <v>442</v>
      </c>
      <c r="C877" s="792"/>
      <c r="D877" s="792"/>
      <c r="E877" s="792"/>
      <c r="F877" s="792"/>
      <c r="G877" s="102">
        <v>0</v>
      </c>
      <c r="H877" s="102"/>
      <c r="I877" s="102"/>
      <c r="J877" s="102"/>
      <c r="K877" s="102"/>
      <c r="L877" s="102"/>
      <c r="M877" s="499"/>
      <c r="N877" s="1032"/>
      <c r="O877" s="1032"/>
      <c r="AJ877" s="113"/>
      <c r="AK877" s="113"/>
      <c r="AL877" s="113"/>
      <c r="AM877" s="113"/>
      <c r="AN877" s="113"/>
      <c r="AO877" s="113"/>
      <c r="AP877" s="113"/>
      <c r="AQ877" s="113"/>
      <c r="AR877" s="113"/>
      <c r="AS877" s="113"/>
      <c r="AT877" s="113"/>
      <c r="AU877" s="113"/>
      <c r="AV877" s="113"/>
      <c r="AW877" s="113"/>
      <c r="AX877" s="113"/>
      <c r="AY877" s="113"/>
      <c r="AZ877" s="113"/>
      <c r="BA877" s="113"/>
      <c r="BB877" s="113"/>
      <c r="BC877" s="113"/>
      <c r="BD877" s="113"/>
      <c r="BE877" s="113"/>
      <c r="BF877" s="113"/>
      <c r="BG877" s="113"/>
      <c r="BH877" s="113"/>
      <c r="BI877" s="113"/>
    </row>
    <row r="878" spans="1:61" ht="24.95" customHeight="1">
      <c r="A878" s="987"/>
      <c r="B878" s="792" t="s">
        <v>454</v>
      </c>
      <c r="C878" s="792"/>
      <c r="D878" s="792"/>
      <c r="E878" s="792"/>
      <c r="F878" s="792"/>
      <c r="G878" s="102">
        <v>0</v>
      </c>
      <c r="H878" s="102"/>
      <c r="I878" s="102"/>
      <c r="J878" s="102"/>
      <c r="K878" s="102"/>
      <c r="L878" s="102"/>
      <c r="M878" s="499"/>
      <c r="N878" s="1031"/>
      <c r="O878" s="1031"/>
    </row>
    <row r="879" spans="1:61" ht="24.95" customHeight="1">
      <c r="A879" s="985" t="s">
        <v>1050</v>
      </c>
      <c r="B879" s="792" t="s">
        <v>89</v>
      </c>
      <c r="C879" s="792"/>
      <c r="D879" s="792"/>
      <c r="E879" s="792"/>
      <c r="F879" s="792"/>
      <c r="G879" s="102">
        <f>K879</f>
        <v>59.100000000000009</v>
      </c>
      <c r="H879" s="102">
        <f t="shared" ref="H879:J879" si="264">H886+H897+H907+H919+H931+H947+H971+H983+H989+H1001+H1021+H1040+H1054+H1072+H1090+H1104+H1112+H1126+H1146+H1186+H1200+H1212+H1218+H1230+H1246+H1254+H1264+H1276+H1284+H1294</f>
        <v>0</v>
      </c>
      <c r="I879" s="102">
        <f t="shared" si="264"/>
        <v>0</v>
      </c>
      <c r="J879" s="102">
        <f t="shared" si="264"/>
        <v>0</v>
      </c>
      <c r="K879" s="102">
        <f>K886+K897+K907+K919+K931+K947+K971+K983+K989+K1001+K1021+K1040+K1054+K1072+K1090+K1104+K1112+K1126+K1146+K1186+K1200+K1212+K1218+K1230+K1246+K1254+K1264+K1276+K1284+K1294</f>
        <v>59.100000000000009</v>
      </c>
      <c r="L879" s="102">
        <f>L886+L897+L907+L919+L931+L947+L971+L983+L989+L1001+L1021+L1040+L1054+L1072+L1090+L1104+L1112+L1126+L1146+L1186+L1200+L1212+L1218+L1230+L1246+L1254+L1264+L1276+L1284+V1293</f>
        <v>0</v>
      </c>
      <c r="M879" s="499">
        <f>M886+M897+M907+M919+M931+M947+M971+M983+M989+M1001+M1021+M1040+M1054+M1072+M1090+M1104+M1112+M1126+M1146+M1186+M1200+M1212+M1218+M1230+M1246+M1254+M1264+M1276+M1284+M1294</f>
        <v>74.300000000000011</v>
      </c>
      <c r="N879" s="1030" t="s">
        <v>26</v>
      </c>
      <c r="O879" s="1030" t="s">
        <v>1124</v>
      </c>
    </row>
    <row r="880" spans="1:61" ht="24.95" customHeight="1">
      <c r="A880" s="986"/>
      <c r="B880" s="792" t="s">
        <v>24</v>
      </c>
      <c r="C880" s="792"/>
      <c r="D880" s="792"/>
      <c r="E880" s="792"/>
      <c r="F880" s="792"/>
      <c r="G880" s="102">
        <f>G881/G879</f>
        <v>18372.634517766495</v>
      </c>
      <c r="H880" s="102"/>
      <c r="I880" s="102"/>
      <c r="J880" s="102"/>
      <c r="K880" s="102"/>
      <c r="L880" s="102"/>
      <c r="M880" s="499">
        <f>M881/M879</f>
        <v>28447.481830417215</v>
      </c>
      <c r="N880" s="1032"/>
      <c r="O880" s="1032"/>
    </row>
    <row r="881" spans="1:61" ht="24.95" customHeight="1">
      <c r="A881" s="986"/>
      <c r="B881" s="792" t="s">
        <v>25</v>
      </c>
      <c r="C881" s="792">
        <v>176</v>
      </c>
      <c r="D881" s="792" t="s">
        <v>15</v>
      </c>
      <c r="E881" s="792">
        <v>6100404</v>
      </c>
      <c r="F881" s="792">
        <v>244</v>
      </c>
      <c r="G881" s="102">
        <f>G882+G883+G884+G885</f>
        <v>1085822.7</v>
      </c>
      <c r="H881" s="102">
        <f t="shared" ref="H881:M881" si="265">H882+H883+H884+H885</f>
        <v>0</v>
      </c>
      <c r="I881" s="102">
        <f t="shared" si="265"/>
        <v>0</v>
      </c>
      <c r="J881" s="102">
        <f t="shared" si="265"/>
        <v>0</v>
      </c>
      <c r="K881" s="102">
        <f t="shared" si="265"/>
        <v>1085822.7</v>
      </c>
      <c r="L881" s="102">
        <f>L882+L883</f>
        <v>101800</v>
      </c>
      <c r="M881" s="499">
        <f t="shared" si="265"/>
        <v>2113647.8999999994</v>
      </c>
      <c r="N881" s="1032"/>
      <c r="O881" s="1032"/>
    </row>
    <row r="882" spans="1:61" ht="24.95" customHeight="1">
      <c r="A882" s="986"/>
      <c r="B882" s="792" t="s">
        <v>10</v>
      </c>
      <c r="C882" s="792">
        <v>176</v>
      </c>
      <c r="D882" s="792" t="s">
        <v>15</v>
      </c>
      <c r="E882" s="792">
        <v>6100404</v>
      </c>
      <c r="F882" s="792">
        <v>244</v>
      </c>
      <c r="G882" s="102">
        <f>G888+G898+G909+G921+G933+G949+G972+G984+G990+G1003+G1023+G1042+G1056+G1073+G1092+G1105+G1114+G1128+G1148+G1188+G1202+G1213+G1220+G1232+G1247+G1256+G1266+G1277+G1296+G1308+G1309+G1285</f>
        <v>1085822.7</v>
      </c>
      <c r="H882" s="102">
        <f t="shared" ref="H882:M882" si="266">H888+H898+H909+H921+H933+H949+H972+H984+H990+H1003+H1023+H1042+H1056+H1073+H1092+H1105+H1114+H1128+H1148+H1188+H1202+H1213+H1220+H1232+H1247+H1256+H1266+H1277+H1296+H1308+H1309+H1285</f>
        <v>0</v>
      </c>
      <c r="I882" s="102">
        <f t="shared" si="266"/>
        <v>0</v>
      </c>
      <c r="J882" s="102">
        <f t="shared" si="266"/>
        <v>0</v>
      </c>
      <c r="K882" s="102">
        <f t="shared" si="266"/>
        <v>1085822.7</v>
      </c>
      <c r="L882" s="102">
        <f t="shared" si="266"/>
        <v>101800</v>
      </c>
      <c r="M882" s="102">
        <f t="shared" si="266"/>
        <v>2113647.8999999994</v>
      </c>
      <c r="N882" s="1032"/>
      <c r="O882" s="1032"/>
      <c r="P882" s="122"/>
      <c r="Q882" s="47"/>
    </row>
    <row r="883" spans="1:61" s="45" customFormat="1" ht="24.6" customHeight="1">
      <c r="A883" s="986"/>
      <c r="B883" s="792" t="s">
        <v>502</v>
      </c>
      <c r="C883" s="792"/>
      <c r="D883" s="792"/>
      <c r="E883" s="792"/>
      <c r="F883" s="792"/>
      <c r="G883" s="102">
        <f>G889+G910+G922+G934+G950+G1004+G1024+G1043+G1057+G1093+G1115+G1129+G1149+G1189+G1203+G1221+G1233+G1257+G1267+G1297</f>
        <v>0</v>
      </c>
      <c r="H883" s="102">
        <f>H889+H910+H922+H934+H950+H1004+H1024+H1043+H1057+H1093+H1115+H1129+H1149+H1189+H1203+H1221+H1233+H1257+H1267+H1297</f>
        <v>0</v>
      </c>
      <c r="I883" s="102">
        <f>I889+I910+I922+I934+I950+I1004+I1024+I1043+I1057+I1093+I1115+I1129+I1149+I1189+I1203+I1221+I1233+I1257+I1267+I1297</f>
        <v>0</v>
      </c>
      <c r="J883" s="102">
        <f>J889+J910+J922+J934+J950+J1004+J1024+J1043+J1057+J1093+J1115+J1129+J1149+J1189+J1203+J1221+J1233+J1257+J1267+J1297</f>
        <v>0</v>
      </c>
      <c r="K883" s="102">
        <f>K889+K910+K922+K934+K950+K1004+K1024+K1043+K1057+K1093+K1115+K1129+K1149+K1189+K1203+K1221+K1233+K1257+K1267+K1297</f>
        <v>0</v>
      </c>
      <c r="L883" s="102">
        <f>L889+L934+L950+L1004+L1024+L1043+L1057+L1093+L1115+L1129+L1149+L1189+L1203+L1221+L1233+L1257+L1267+L1297+L926</f>
        <v>0</v>
      </c>
      <c r="M883" s="499">
        <f>M889+M934+M950+M1004+M1024+M1043+M1057+M1093+M1115+M1129+M1149+M1189+M1203+M1221+M1233+M1257+M1267+M1297+M926</f>
        <v>0</v>
      </c>
      <c r="N883" s="1032"/>
      <c r="O883" s="1032"/>
      <c r="AJ883" s="113"/>
      <c r="AK883" s="113"/>
      <c r="AL883" s="113"/>
      <c r="AM883" s="113"/>
      <c r="AN883" s="113"/>
      <c r="AO883" s="113"/>
      <c r="AP883" s="113"/>
      <c r="AQ883" s="113"/>
      <c r="AR883" s="113"/>
      <c r="AS883" s="113"/>
      <c r="AT883" s="113"/>
      <c r="AU883" s="113"/>
      <c r="AV883" s="113"/>
      <c r="AW883" s="113"/>
      <c r="AX883" s="113"/>
      <c r="AY883" s="113"/>
      <c r="AZ883" s="113"/>
      <c r="BA883" s="113"/>
      <c r="BB883" s="113"/>
      <c r="BC883" s="113"/>
      <c r="BD883" s="113"/>
      <c r="BE883" s="113"/>
      <c r="BF883" s="113"/>
      <c r="BG883" s="113"/>
      <c r="BH883" s="113"/>
      <c r="BI883" s="113"/>
    </row>
    <row r="884" spans="1:61" s="45" customFormat="1" ht="24.95" customHeight="1">
      <c r="A884" s="986"/>
      <c r="B884" s="792" t="s">
        <v>442</v>
      </c>
      <c r="C884" s="792"/>
      <c r="D884" s="792"/>
      <c r="E884" s="792"/>
      <c r="F884" s="792"/>
      <c r="G884" s="102">
        <v>0</v>
      </c>
      <c r="H884" s="102"/>
      <c r="I884" s="102"/>
      <c r="J884" s="102"/>
      <c r="K884" s="102"/>
      <c r="L884" s="102"/>
      <c r="M884" s="499"/>
      <c r="N884" s="1032"/>
      <c r="O884" s="1032"/>
      <c r="AJ884" s="113"/>
      <c r="AK884" s="113"/>
      <c r="AL884" s="113"/>
      <c r="AM884" s="113"/>
      <c r="AN884" s="113"/>
      <c r="AO884" s="113"/>
      <c r="AP884" s="113"/>
      <c r="AQ884" s="113"/>
      <c r="AR884" s="113"/>
      <c r="AS884" s="113"/>
      <c r="AT884" s="113"/>
      <c r="AU884" s="113"/>
      <c r="AV884" s="113"/>
      <c r="AW884" s="113"/>
      <c r="AX884" s="113"/>
      <c r="AY884" s="113"/>
      <c r="AZ884" s="113"/>
      <c r="BA884" s="113"/>
      <c r="BB884" s="113"/>
      <c r="BC884" s="113"/>
      <c r="BD884" s="113"/>
      <c r="BE884" s="113"/>
      <c r="BF884" s="113"/>
      <c r="BG884" s="113"/>
      <c r="BH884" s="113"/>
      <c r="BI884" s="113"/>
    </row>
    <row r="885" spans="1:61" ht="24.95" customHeight="1">
      <c r="A885" s="987"/>
      <c r="B885" s="792" t="s">
        <v>454</v>
      </c>
      <c r="C885" s="792"/>
      <c r="D885" s="792"/>
      <c r="E885" s="792"/>
      <c r="F885" s="792"/>
      <c r="G885" s="102">
        <v>0</v>
      </c>
      <c r="H885" s="102"/>
      <c r="I885" s="102"/>
      <c r="J885" s="102"/>
      <c r="K885" s="102"/>
      <c r="L885" s="102"/>
      <c r="M885" s="499"/>
      <c r="N885" s="1031"/>
      <c r="O885" s="1031"/>
    </row>
    <row r="886" spans="1:61" ht="24.95" customHeight="1">
      <c r="A886" s="1038" t="s">
        <v>96</v>
      </c>
      <c r="B886" s="62" t="s">
        <v>89</v>
      </c>
      <c r="C886" s="62"/>
      <c r="D886" s="62"/>
      <c r="E886" s="62"/>
      <c r="F886" s="62"/>
      <c r="G886" s="102">
        <f>G890+G893</f>
        <v>3.1</v>
      </c>
      <c r="H886" s="102">
        <f t="shared" ref="H886:M886" si="267">H890+H893</f>
        <v>0</v>
      </c>
      <c r="I886" s="102">
        <f t="shared" si="267"/>
        <v>0</v>
      </c>
      <c r="J886" s="102">
        <f t="shared" si="267"/>
        <v>0</v>
      </c>
      <c r="K886" s="102">
        <f t="shared" si="267"/>
        <v>3.1</v>
      </c>
      <c r="L886" s="102"/>
      <c r="M886" s="102">
        <f t="shared" si="267"/>
        <v>1</v>
      </c>
      <c r="N886" s="62"/>
      <c r="O886" s="62"/>
    </row>
    <row r="887" spans="1:61" ht="24.95" customHeight="1">
      <c r="A887" s="1038"/>
      <c r="B887" s="62" t="s">
        <v>25</v>
      </c>
      <c r="C887" s="62"/>
      <c r="D887" s="62"/>
      <c r="E887" s="62"/>
      <c r="F887" s="62"/>
      <c r="G887" s="102">
        <f>G888+G889</f>
        <v>36554.1</v>
      </c>
      <c r="H887" s="102">
        <f t="shared" ref="H887:M887" si="268">H888+H889</f>
        <v>0</v>
      </c>
      <c r="I887" s="102">
        <f t="shared" si="268"/>
        <v>0</v>
      </c>
      <c r="J887" s="102">
        <f t="shared" si="268"/>
        <v>0</v>
      </c>
      <c r="K887" s="102">
        <f t="shared" si="268"/>
        <v>36554.1</v>
      </c>
      <c r="L887" s="102">
        <f t="shared" si="268"/>
        <v>0</v>
      </c>
      <c r="M887" s="102">
        <f t="shared" si="268"/>
        <v>31798.400000000001</v>
      </c>
      <c r="N887" s="62"/>
      <c r="O887" s="62"/>
    </row>
    <row r="888" spans="1:61" ht="24.95" customHeight="1">
      <c r="A888" s="1038"/>
      <c r="B888" s="62" t="s">
        <v>10</v>
      </c>
      <c r="C888" s="62"/>
      <c r="D888" s="62"/>
      <c r="E888" s="62"/>
      <c r="F888" s="62"/>
      <c r="G888" s="102">
        <f>G892+G895</f>
        <v>36554.1</v>
      </c>
      <c r="H888" s="102">
        <f t="shared" ref="H888:M888" si="269">H892+H895</f>
        <v>0</v>
      </c>
      <c r="I888" s="102">
        <f t="shared" si="269"/>
        <v>0</v>
      </c>
      <c r="J888" s="102">
        <f t="shared" si="269"/>
        <v>0</v>
      </c>
      <c r="K888" s="102">
        <f t="shared" si="269"/>
        <v>36554.1</v>
      </c>
      <c r="L888" s="102">
        <f t="shared" si="269"/>
        <v>0</v>
      </c>
      <c r="M888" s="102">
        <f t="shared" si="269"/>
        <v>31798.400000000001</v>
      </c>
      <c r="N888" s="62"/>
      <c r="O888" s="62"/>
    </row>
    <row r="889" spans="1:61" s="45" customFormat="1" ht="24.95" customHeight="1">
      <c r="A889" s="1038"/>
      <c r="B889" s="62" t="s">
        <v>502</v>
      </c>
      <c r="C889" s="62"/>
      <c r="D889" s="62"/>
      <c r="E889" s="62"/>
      <c r="F889" s="62"/>
      <c r="G889" s="102">
        <f>G896</f>
        <v>0</v>
      </c>
      <c r="H889" s="102"/>
      <c r="I889" s="102"/>
      <c r="J889" s="102"/>
      <c r="K889" s="102"/>
      <c r="L889" s="102">
        <f>L896</f>
        <v>0</v>
      </c>
      <c r="M889" s="499">
        <f>M896</f>
        <v>0</v>
      </c>
      <c r="N889" s="62"/>
      <c r="O889" s="62"/>
      <c r="AJ889" s="113"/>
      <c r="AK889" s="113"/>
      <c r="AL889" s="113"/>
      <c r="AM889" s="113"/>
      <c r="AN889" s="113"/>
      <c r="AO889" s="113"/>
      <c r="AP889" s="113"/>
      <c r="AQ889" s="113"/>
      <c r="AR889" s="113"/>
      <c r="AS889" s="113"/>
      <c r="AT889" s="113"/>
      <c r="AU889" s="113"/>
      <c r="AV889" s="113"/>
      <c r="AW889" s="113"/>
      <c r="AX889" s="113"/>
      <c r="AY889" s="113"/>
      <c r="AZ889" s="113"/>
      <c r="BA889" s="113"/>
      <c r="BB889" s="113"/>
      <c r="BC889" s="113"/>
      <c r="BD889" s="113"/>
      <c r="BE889" s="113"/>
      <c r="BF889" s="113"/>
      <c r="BG889" s="113"/>
      <c r="BH889" s="113"/>
      <c r="BI889" s="113"/>
    </row>
    <row r="890" spans="1:61" s="45" customFormat="1" ht="24.95" customHeight="1">
      <c r="A890" s="1028" t="s">
        <v>150</v>
      </c>
      <c r="B890" s="780" t="s">
        <v>89</v>
      </c>
      <c r="C890" s="781"/>
      <c r="D890" s="781"/>
      <c r="E890" s="781"/>
      <c r="F890" s="781"/>
      <c r="G890" s="103">
        <f>K890</f>
        <v>2</v>
      </c>
      <c r="H890" s="103"/>
      <c r="I890" s="103"/>
      <c r="J890" s="103"/>
      <c r="K890" s="103">
        <v>2</v>
      </c>
      <c r="L890" s="103"/>
      <c r="M890" s="679"/>
      <c r="N890" s="781"/>
      <c r="O890" s="1030" t="s">
        <v>1068</v>
      </c>
      <c r="AJ890" s="113"/>
      <c r="AK890" s="113"/>
      <c r="AL890" s="113"/>
      <c r="AM890" s="113"/>
      <c r="AN890" s="113"/>
      <c r="AO890" s="113"/>
      <c r="AP890" s="113"/>
      <c r="AQ890" s="113"/>
      <c r="AR890" s="113"/>
      <c r="AS890" s="113"/>
      <c r="AT890" s="113"/>
      <c r="AU890" s="113"/>
      <c r="AV890" s="113"/>
      <c r="AW890" s="113"/>
      <c r="AX890" s="113"/>
      <c r="AY890" s="113"/>
      <c r="AZ890" s="113"/>
      <c r="BA890" s="113"/>
      <c r="BB890" s="113"/>
      <c r="BC890" s="113"/>
      <c r="BD890" s="113"/>
      <c r="BE890" s="113"/>
      <c r="BF890" s="113"/>
      <c r="BG890" s="113"/>
      <c r="BH890" s="113"/>
      <c r="BI890" s="113"/>
    </row>
    <row r="891" spans="1:61" s="45" customFormat="1" ht="24.95" customHeight="1">
      <c r="A891" s="1036"/>
      <c r="B891" s="780" t="s">
        <v>25</v>
      </c>
      <c r="C891" s="781"/>
      <c r="D891" s="781"/>
      <c r="E891" s="781"/>
      <c r="F891" s="781"/>
      <c r="G891" s="103">
        <f t="shared" ref="G891:G895" si="270">K891</f>
        <v>23000</v>
      </c>
      <c r="H891" s="103"/>
      <c r="I891" s="103"/>
      <c r="J891" s="103"/>
      <c r="K891" s="103">
        <f>K892</f>
        <v>23000</v>
      </c>
      <c r="L891" s="103"/>
      <c r="M891" s="679">
        <f>M892</f>
        <v>20000</v>
      </c>
      <c r="N891" s="781"/>
      <c r="O891" s="1032"/>
      <c r="AJ891" s="113"/>
      <c r="AK891" s="113"/>
      <c r="AL891" s="113"/>
      <c r="AM891" s="113"/>
      <c r="AN891" s="113"/>
      <c r="AO891" s="113"/>
      <c r="AP891" s="113"/>
      <c r="AQ891" s="113"/>
      <c r="AR891" s="113"/>
      <c r="AS891" s="113"/>
      <c r="AT891" s="113"/>
      <c r="AU891" s="113"/>
      <c r="AV891" s="113"/>
      <c r="AW891" s="113"/>
      <c r="AX891" s="113"/>
      <c r="AY891" s="113"/>
      <c r="AZ891" s="113"/>
      <c r="BA891" s="113"/>
      <c r="BB891" s="113"/>
      <c r="BC891" s="113"/>
      <c r="BD891" s="113"/>
      <c r="BE891" s="113"/>
      <c r="BF891" s="113"/>
      <c r="BG891" s="113"/>
      <c r="BH891" s="113"/>
      <c r="BI891" s="113"/>
    </row>
    <row r="892" spans="1:61" s="45" customFormat="1" ht="24.95" customHeight="1">
      <c r="A892" s="1029"/>
      <c r="B892" s="780" t="s">
        <v>10</v>
      </c>
      <c r="C892" s="781"/>
      <c r="D892" s="781"/>
      <c r="E892" s="781"/>
      <c r="F892" s="781"/>
      <c r="G892" s="103">
        <f t="shared" si="270"/>
        <v>23000</v>
      </c>
      <c r="H892" s="103"/>
      <c r="I892" s="103"/>
      <c r="J892" s="103"/>
      <c r="K892" s="103">
        <f>22000+1000</f>
        <v>23000</v>
      </c>
      <c r="L892" s="103"/>
      <c r="M892" s="679">
        <v>20000</v>
      </c>
      <c r="N892" s="781"/>
      <c r="O892" s="1031"/>
      <c r="AJ892" s="113"/>
      <c r="AK892" s="113"/>
      <c r="AL892" s="113"/>
      <c r="AM892" s="113"/>
      <c r="AN892" s="113"/>
      <c r="AO892" s="113"/>
      <c r="AP892" s="113"/>
      <c r="AQ892" s="113"/>
      <c r="AR892" s="113"/>
      <c r="AS892" s="113"/>
      <c r="AT892" s="113"/>
      <c r="AU892" s="113"/>
      <c r="AV892" s="113"/>
      <c r="AW892" s="113"/>
      <c r="AX892" s="113"/>
      <c r="AY892" s="113"/>
      <c r="AZ892" s="113"/>
      <c r="BA892" s="113"/>
      <c r="BB892" s="113"/>
      <c r="BC892" s="113"/>
      <c r="BD892" s="113"/>
      <c r="BE892" s="113"/>
      <c r="BF892" s="113"/>
      <c r="BG892" s="113"/>
      <c r="BH892" s="113"/>
      <c r="BI892" s="113"/>
    </row>
    <row r="893" spans="1:61" s="45" customFormat="1" ht="24.95" customHeight="1">
      <c r="A893" s="1039" t="s">
        <v>879</v>
      </c>
      <c r="B893" s="564" t="s">
        <v>89</v>
      </c>
      <c r="C893" s="564">
        <v>176</v>
      </c>
      <c r="D893" s="564" t="s">
        <v>15</v>
      </c>
      <c r="E893" s="564">
        <v>6100404</v>
      </c>
      <c r="F893" s="564">
        <v>244</v>
      </c>
      <c r="G893" s="102">
        <f t="shared" si="270"/>
        <v>1.1000000000000001</v>
      </c>
      <c r="H893" s="103"/>
      <c r="I893" s="103"/>
      <c r="J893" s="103"/>
      <c r="K893" s="103">
        <v>1.1000000000000001</v>
      </c>
      <c r="L893" s="103"/>
      <c r="M893" s="679">
        <v>1</v>
      </c>
      <c r="N893" s="564"/>
      <c r="O893" s="1037" t="s">
        <v>1066</v>
      </c>
      <c r="AJ893" s="113"/>
      <c r="AK893" s="113"/>
      <c r="AL893" s="113"/>
      <c r="AM893" s="113"/>
      <c r="AN893" s="113"/>
      <c r="AO893" s="113"/>
      <c r="AP893" s="113"/>
      <c r="AQ893" s="113"/>
      <c r="AR893" s="113"/>
      <c r="AS893" s="113"/>
      <c r="AT893" s="113"/>
      <c r="AU893" s="113"/>
      <c r="AV893" s="113"/>
      <c r="AW893" s="113"/>
      <c r="AX893" s="113"/>
      <c r="AY893" s="113"/>
      <c r="AZ893" s="113"/>
      <c r="BA893" s="113"/>
      <c r="BB893" s="113"/>
      <c r="BC893" s="113"/>
      <c r="BD893" s="113"/>
      <c r="BE893" s="113"/>
      <c r="BF893" s="113"/>
      <c r="BG893" s="113"/>
      <c r="BH893" s="113"/>
      <c r="BI893" s="113"/>
    </row>
    <row r="894" spans="1:61" s="45" customFormat="1" ht="24.95" customHeight="1">
      <c r="A894" s="1039"/>
      <c r="B894" s="564" t="s">
        <v>25</v>
      </c>
      <c r="C894" s="564"/>
      <c r="D894" s="564"/>
      <c r="E894" s="564"/>
      <c r="F894" s="564"/>
      <c r="G894" s="103">
        <f t="shared" si="270"/>
        <v>13554.1</v>
      </c>
      <c r="H894" s="103"/>
      <c r="I894" s="103"/>
      <c r="J894" s="103"/>
      <c r="K894" s="103">
        <f>K895</f>
        <v>13554.1</v>
      </c>
      <c r="L894" s="103">
        <f>L895+L896</f>
        <v>0</v>
      </c>
      <c r="M894" s="679">
        <f>M895+M896</f>
        <v>11798.4</v>
      </c>
      <c r="N894" s="564"/>
      <c r="O894" s="1037"/>
      <c r="AJ894" s="113"/>
      <c r="AK894" s="113"/>
      <c r="AL894" s="113"/>
      <c r="AM894" s="113"/>
      <c r="AN894" s="113"/>
      <c r="AO894" s="113"/>
      <c r="AP894" s="113"/>
      <c r="AQ894" s="113"/>
      <c r="AR894" s="113"/>
      <c r="AS894" s="113"/>
      <c r="AT894" s="113"/>
      <c r="AU894" s="113"/>
      <c r="AV894" s="113"/>
      <c r="AW894" s="113"/>
      <c r="AX894" s="113"/>
      <c r="AY894" s="113"/>
      <c r="AZ894" s="113"/>
      <c r="BA894" s="113"/>
      <c r="BB894" s="113"/>
      <c r="BC894" s="113"/>
      <c r="BD894" s="113"/>
      <c r="BE894" s="113"/>
      <c r="BF894" s="113"/>
      <c r="BG894" s="113"/>
      <c r="BH894" s="113"/>
      <c r="BI894" s="113"/>
    </row>
    <row r="895" spans="1:61" s="45" customFormat="1" ht="24.95" customHeight="1">
      <c r="A895" s="1039"/>
      <c r="B895" s="564" t="s">
        <v>10</v>
      </c>
      <c r="C895" s="564"/>
      <c r="D895" s="564"/>
      <c r="E895" s="564"/>
      <c r="F895" s="564"/>
      <c r="G895" s="103">
        <f t="shared" si="270"/>
        <v>13554.1</v>
      </c>
      <c r="H895" s="103"/>
      <c r="I895" s="103"/>
      <c r="J895" s="103"/>
      <c r="K895" s="103">
        <v>13554.1</v>
      </c>
      <c r="L895" s="103">
        <f>16000-16000</f>
        <v>0</v>
      </c>
      <c r="M895" s="679">
        <v>11798.4</v>
      </c>
      <c r="N895" s="564"/>
      <c r="O895" s="1037"/>
      <c r="AJ895" s="113"/>
      <c r="AK895" s="113"/>
      <c r="AL895" s="113"/>
      <c r="AM895" s="113"/>
      <c r="AN895" s="113"/>
      <c r="AO895" s="113"/>
      <c r="AP895" s="113"/>
      <c r="AQ895" s="113"/>
      <c r="AR895" s="113"/>
      <c r="AS895" s="113"/>
      <c r="AT895" s="113"/>
      <c r="AU895" s="113"/>
      <c r="AV895" s="113"/>
      <c r="AW895" s="113"/>
      <c r="AX895" s="113"/>
      <c r="AY895" s="113"/>
      <c r="AZ895" s="113"/>
      <c r="BA895" s="113"/>
      <c r="BB895" s="113"/>
      <c r="BC895" s="113"/>
      <c r="BD895" s="113"/>
      <c r="BE895" s="113"/>
      <c r="BF895" s="113"/>
      <c r="BG895" s="113"/>
      <c r="BH895" s="113"/>
      <c r="BI895" s="113"/>
    </row>
    <row r="896" spans="1:61" ht="24.95" hidden="1" customHeight="1">
      <c r="A896" s="1039"/>
      <c r="B896" s="564" t="s">
        <v>502</v>
      </c>
      <c r="C896" s="564"/>
      <c r="D896" s="564"/>
      <c r="E896" s="564"/>
      <c r="F896" s="564"/>
      <c r="G896" s="103">
        <f t="shared" ref="G896" si="271">K896</f>
        <v>0</v>
      </c>
      <c r="H896" s="103"/>
      <c r="I896" s="103"/>
      <c r="J896" s="103"/>
      <c r="K896" s="103"/>
      <c r="L896" s="103"/>
      <c r="M896" s="679"/>
      <c r="N896" s="564"/>
      <c r="O896" s="1037"/>
    </row>
    <row r="897" spans="1:61" ht="24" customHeight="1">
      <c r="A897" s="1038" t="s">
        <v>116</v>
      </c>
      <c r="B897" s="62" t="s">
        <v>89</v>
      </c>
      <c r="C897" s="62"/>
      <c r="D897" s="62"/>
      <c r="E897" s="62"/>
      <c r="F897" s="62"/>
      <c r="G897" s="102">
        <f>G899+G901+G903+G905</f>
        <v>1.2</v>
      </c>
      <c r="H897" s="102">
        <f t="shared" ref="H897:M898" si="272">H899+H901+H903+H905</f>
        <v>0</v>
      </c>
      <c r="I897" s="102">
        <f t="shared" si="272"/>
        <v>0</v>
      </c>
      <c r="J897" s="102">
        <f t="shared" si="272"/>
        <v>0</v>
      </c>
      <c r="K897" s="102">
        <f t="shared" si="272"/>
        <v>1.2</v>
      </c>
      <c r="L897" s="102">
        <f t="shared" si="272"/>
        <v>0</v>
      </c>
      <c r="M897" s="499">
        <f t="shared" si="272"/>
        <v>8</v>
      </c>
      <c r="N897" s="564"/>
      <c r="O897" s="62"/>
    </row>
    <row r="898" spans="1:61" ht="24.6" customHeight="1">
      <c r="A898" s="1038"/>
      <c r="B898" s="62" t="s">
        <v>248</v>
      </c>
      <c r="C898" s="62"/>
      <c r="D898" s="62"/>
      <c r="E898" s="62"/>
      <c r="F898" s="62"/>
      <c r="G898" s="102">
        <f>G900+G902+G904+G906</f>
        <v>16574.099999999999</v>
      </c>
      <c r="H898" s="102">
        <f t="shared" si="272"/>
        <v>0</v>
      </c>
      <c r="I898" s="102">
        <f t="shared" si="272"/>
        <v>0</v>
      </c>
      <c r="J898" s="102">
        <f t="shared" si="272"/>
        <v>0</v>
      </c>
      <c r="K898" s="102">
        <f t="shared" si="272"/>
        <v>16574.099999999999</v>
      </c>
      <c r="L898" s="102">
        <f t="shared" si="272"/>
        <v>0</v>
      </c>
      <c r="M898" s="499">
        <f t="shared" si="272"/>
        <v>152657.79999999999</v>
      </c>
      <c r="N898" s="564"/>
      <c r="O898" s="62"/>
    </row>
    <row r="899" spans="1:61" ht="25.15" customHeight="1">
      <c r="A899" s="1039" t="s">
        <v>879</v>
      </c>
      <c r="B899" s="564" t="s">
        <v>89</v>
      </c>
      <c r="C899" s="564">
        <v>176</v>
      </c>
      <c r="D899" s="564" t="s">
        <v>15</v>
      </c>
      <c r="E899" s="564">
        <v>6100404</v>
      </c>
      <c r="F899" s="564">
        <v>244</v>
      </c>
      <c r="G899" s="103">
        <f>K899</f>
        <v>1.2</v>
      </c>
      <c r="H899" s="103"/>
      <c r="I899" s="103"/>
      <c r="J899" s="103"/>
      <c r="K899" s="103">
        <v>1.2</v>
      </c>
      <c r="L899" s="103"/>
      <c r="M899" s="679">
        <v>1</v>
      </c>
      <c r="N899" s="564"/>
      <c r="O899" s="1037" t="s">
        <v>599</v>
      </c>
    </row>
    <row r="900" spans="1:61" s="45" customFormat="1" ht="23.25" customHeight="1">
      <c r="A900" s="1039"/>
      <c r="B900" s="564" t="s">
        <v>248</v>
      </c>
      <c r="C900" s="564"/>
      <c r="D900" s="564"/>
      <c r="E900" s="564"/>
      <c r="F900" s="564"/>
      <c r="G900" s="103">
        <f>K900</f>
        <v>14574.1</v>
      </c>
      <c r="H900" s="103"/>
      <c r="I900" s="103"/>
      <c r="J900" s="103"/>
      <c r="K900" s="103">
        <v>14574.1</v>
      </c>
      <c r="L900" s="103">
        <f>18600-18600</f>
        <v>0</v>
      </c>
      <c r="M900" s="679">
        <v>12657.8</v>
      </c>
      <c r="N900" s="564"/>
      <c r="O900" s="1037"/>
      <c r="AJ900" s="113"/>
      <c r="AK900" s="113"/>
      <c r="AL900" s="113"/>
      <c r="AM900" s="113"/>
      <c r="AN900" s="113"/>
      <c r="AO900" s="113"/>
      <c r="AP900" s="113"/>
      <c r="AQ900" s="113"/>
      <c r="AR900" s="113"/>
      <c r="AS900" s="113"/>
      <c r="AT900" s="113"/>
      <c r="AU900" s="113"/>
      <c r="AV900" s="113"/>
      <c r="AW900" s="113"/>
      <c r="AX900" s="113"/>
      <c r="AY900" s="113"/>
      <c r="AZ900" s="113"/>
      <c r="BA900" s="113"/>
      <c r="BB900" s="113"/>
      <c r="BC900" s="113"/>
      <c r="BD900" s="113"/>
      <c r="BE900" s="113"/>
      <c r="BF900" s="113"/>
      <c r="BG900" s="113"/>
      <c r="BH900" s="113"/>
      <c r="BI900" s="113"/>
    </row>
    <row r="901" spans="1:61" s="45" customFormat="1" ht="23.25" customHeight="1">
      <c r="A901" s="1028" t="s">
        <v>572</v>
      </c>
      <c r="B901" s="564" t="s">
        <v>89</v>
      </c>
      <c r="C901" s="564"/>
      <c r="D901" s="564"/>
      <c r="E901" s="564"/>
      <c r="F901" s="564"/>
      <c r="G901" s="103">
        <f>K901</f>
        <v>0</v>
      </c>
      <c r="H901" s="103"/>
      <c r="I901" s="103"/>
      <c r="J901" s="103"/>
      <c r="K901" s="103"/>
      <c r="L901" s="103"/>
      <c r="M901" s="679"/>
      <c r="N901" s="564"/>
      <c r="O901" s="1030" t="s">
        <v>881</v>
      </c>
      <c r="AJ901" s="113"/>
      <c r="AK901" s="113"/>
      <c r="AL901" s="113"/>
      <c r="AM901" s="113"/>
      <c r="AN901" s="113"/>
      <c r="AO901" s="113"/>
      <c r="AP901" s="113"/>
      <c r="AQ901" s="113"/>
      <c r="AR901" s="113"/>
      <c r="AS901" s="113"/>
      <c r="AT901" s="113"/>
      <c r="AU901" s="113"/>
      <c r="AV901" s="113"/>
      <c r="AW901" s="113"/>
      <c r="AX901" s="113"/>
      <c r="AY901" s="113"/>
      <c r="AZ901" s="113"/>
      <c r="BA901" s="113"/>
      <c r="BB901" s="113"/>
      <c r="BC901" s="113"/>
      <c r="BD901" s="113"/>
      <c r="BE901" s="113"/>
      <c r="BF901" s="113"/>
      <c r="BG901" s="113"/>
      <c r="BH901" s="113"/>
      <c r="BI901" s="113"/>
    </row>
    <row r="902" spans="1:61" s="45" customFormat="1" ht="23.25" customHeight="1">
      <c r="A902" s="1029"/>
      <c r="B902" s="564" t="s">
        <v>248</v>
      </c>
      <c r="C902" s="564"/>
      <c r="D902" s="564"/>
      <c r="E902" s="564"/>
      <c r="F902" s="564"/>
      <c r="G902" s="103">
        <f>K902</f>
        <v>2000</v>
      </c>
      <c r="H902" s="103"/>
      <c r="I902" s="103"/>
      <c r="J902" s="103"/>
      <c r="K902" s="103">
        <v>2000</v>
      </c>
      <c r="L902" s="103"/>
      <c r="M902" s="679"/>
      <c r="N902" s="564"/>
      <c r="O902" s="1031"/>
      <c r="AJ902" s="113"/>
      <c r="AK902" s="113"/>
      <c r="AL902" s="113"/>
      <c r="AM902" s="113"/>
      <c r="AN902" s="113"/>
      <c r="AO902" s="113"/>
      <c r="AP902" s="113"/>
      <c r="AQ902" s="113"/>
      <c r="AR902" s="113"/>
      <c r="AS902" s="113"/>
      <c r="AT902" s="113"/>
      <c r="AU902" s="113"/>
      <c r="AV902" s="113"/>
      <c r="AW902" s="113"/>
      <c r="AX902" s="113"/>
      <c r="AY902" s="113"/>
      <c r="AZ902" s="113"/>
      <c r="BA902" s="113"/>
      <c r="BB902" s="113"/>
      <c r="BC902" s="113"/>
      <c r="BD902" s="113"/>
      <c r="BE902" s="113"/>
      <c r="BF902" s="113"/>
      <c r="BG902" s="113"/>
      <c r="BH902" s="113"/>
      <c r="BI902" s="113"/>
    </row>
    <row r="903" spans="1:61" s="45" customFormat="1" ht="23.25" customHeight="1">
      <c r="A903" s="1028" t="s">
        <v>1028</v>
      </c>
      <c r="B903" s="564" t="s">
        <v>89</v>
      </c>
      <c r="C903" s="564"/>
      <c r="D903" s="564"/>
      <c r="E903" s="564"/>
      <c r="F903" s="564"/>
      <c r="G903" s="103"/>
      <c r="H903" s="103"/>
      <c r="I903" s="103"/>
      <c r="J903" s="103"/>
      <c r="K903" s="103"/>
      <c r="L903" s="103"/>
      <c r="M903" s="679">
        <v>7</v>
      </c>
      <c r="N903" s="564"/>
      <c r="O903" s="1030" t="s">
        <v>1029</v>
      </c>
      <c r="AJ903" s="113"/>
      <c r="AK903" s="113"/>
      <c r="AL903" s="113"/>
      <c r="AM903" s="113"/>
      <c r="AN903" s="113"/>
      <c r="AO903" s="113"/>
      <c r="AP903" s="113"/>
      <c r="AQ903" s="113"/>
      <c r="AR903" s="113"/>
      <c r="AS903" s="113"/>
      <c r="AT903" s="113"/>
      <c r="AU903" s="113"/>
      <c r="AV903" s="113"/>
      <c r="AW903" s="113"/>
      <c r="AX903" s="113"/>
      <c r="AY903" s="113"/>
      <c r="AZ903" s="113"/>
      <c r="BA903" s="113"/>
      <c r="BB903" s="113"/>
      <c r="BC903" s="113"/>
      <c r="BD903" s="113"/>
      <c r="BE903" s="113"/>
      <c r="BF903" s="113"/>
      <c r="BG903" s="113"/>
      <c r="BH903" s="113"/>
      <c r="BI903" s="113"/>
    </row>
    <row r="904" spans="1:61" s="45" customFormat="1" ht="23.25" customHeight="1">
      <c r="A904" s="1029"/>
      <c r="B904" s="564" t="s">
        <v>248</v>
      </c>
      <c r="C904" s="564"/>
      <c r="D904" s="564"/>
      <c r="E904" s="564"/>
      <c r="F904" s="564"/>
      <c r="G904" s="103"/>
      <c r="H904" s="103"/>
      <c r="I904" s="103"/>
      <c r="J904" s="103"/>
      <c r="K904" s="103"/>
      <c r="L904" s="103"/>
      <c r="M904" s="679">
        <v>140000</v>
      </c>
      <c r="N904" s="564"/>
      <c r="O904" s="1031"/>
      <c r="AJ904" s="113"/>
      <c r="AK904" s="113"/>
      <c r="AL904" s="113"/>
      <c r="AM904" s="113"/>
      <c r="AN904" s="113"/>
      <c r="AO904" s="113"/>
      <c r="AP904" s="113"/>
      <c r="AQ904" s="113"/>
      <c r="AR904" s="113"/>
      <c r="AS904" s="113"/>
      <c r="AT904" s="113"/>
      <c r="AU904" s="113"/>
      <c r="AV904" s="113"/>
      <c r="AW904" s="113"/>
      <c r="AX904" s="113"/>
      <c r="AY904" s="113"/>
      <c r="AZ904" s="113"/>
      <c r="BA904" s="113"/>
      <c r="BB904" s="113"/>
      <c r="BC904" s="113"/>
      <c r="BD904" s="113"/>
      <c r="BE904" s="113"/>
      <c r="BF904" s="113"/>
      <c r="BG904" s="113"/>
      <c r="BH904" s="113"/>
      <c r="BI904" s="113"/>
    </row>
    <row r="905" spans="1:61" ht="27" hidden="1" customHeight="1">
      <c r="A905" s="1028" t="s">
        <v>575</v>
      </c>
      <c r="B905" s="564" t="s">
        <v>89</v>
      </c>
      <c r="C905" s="564">
        <v>176</v>
      </c>
      <c r="D905" s="564" t="s">
        <v>15</v>
      </c>
      <c r="E905" s="564">
        <v>6100404</v>
      </c>
      <c r="F905" s="564">
        <v>244</v>
      </c>
      <c r="G905" s="103">
        <v>0</v>
      </c>
      <c r="H905" s="103"/>
      <c r="I905" s="103"/>
      <c r="J905" s="103"/>
      <c r="K905" s="103"/>
      <c r="L905" s="103"/>
      <c r="M905" s="679"/>
      <c r="N905" s="564"/>
      <c r="O905" s="1030" t="s">
        <v>788</v>
      </c>
    </row>
    <row r="906" spans="1:61" s="45" customFormat="1" ht="27.75" hidden="1" customHeight="1">
      <c r="A906" s="1029"/>
      <c r="B906" s="564" t="s">
        <v>248</v>
      </c>
      <c r="C906" s="564"/>
      <c r="D906" s="564"/>
      <c r="E906" s="564"/>
      <c r="F906" s="564"/>
      <c r="G906" s="103"/>
      <c r="H906" s="103"/>
      <c r="I906" s="103"/>
      <c r="J906" s="103"/>
      <c r="K906" s="103"/>
      <c r="L906" s="103"/>
      <c r="M906" s="679"/>
      <c r="N906" s="564"/>
      <c r="O906" s="1031"/>
      <c r="AJ906" s="113"/>
      <c r="AK906" s="113"/>
      <c r="AL906" s="113"/>
      <c r="AM906" s="113"/>
      <c r="AN906" s="113"/>
      <c r="AO906" s="113"/>
      <c r="AP906" s="113"/>
      <c r="AQ906" s="113"/>
      <c r="AR906" s="113"/>
      <c r="AS906" s="113"/>
      <c r="AT906" s="113"/>
      <c r="AU906" s="113"/>
      <c r="AV906" s="113"/>
      <c r="AW906" s="113"/>
      <c r="AX906" s="113"/>
      <c r="AY906" s="113"/>
      <c r="AZ906" s="113"/>
      <c r="BA906" s="113"/>
      <c r="BB906" s="113"/>
      <c r="BC906" s="113"/>
      <c r="BD906" s="113"/>
      <c r="BE906" s="113"/>
      <c r="BF906" s="113"/>
      <c r="BG906" s="113"/>
      <c r="BH906" s="113"/>
      <c r="BI906" s="113"/>
    </row>
    <row r="907" spans="1:61" s="45" customFormat="1" ht="28.5" customHeight="1">
      <c r="A907" s="985" t="s">
        <v>97</v>
      </c>
      <c r="B907" s="62" t="s">
        <v>89</v>
      </c>
      <c r="C907" s="564"/>
      <c r="D907" s="564"/>
      <c r="E907" s="564"/>
      <c r="F907" s="564"/>
      <c r="G907" s="102">
        <f t="shared" ref="G907:L907" si="273">G911+G917</f>
        <v>1</v>
      </c>
      <c r="H907" s="102">
        <f t="shared" si="273"/>
        <v>0</v>
      </c>
      <c r="I907" s="102">
        <f t="shared" si="273"/>
        <v>0</v>
      </c>
      <c r="J907" s="102">
        <f t="shared" si="273"/>
        <v>0</v>
      </c>
      <c r="K907" s="102">
        <f t="shared" si="273"/>
        <v>1</v>
      </c>
      <c r="L907" s="102">
        <f t="shared" si="273"/>
        <v>0</v>
      </c>
      <c r="M907" s="499">
        <f>M911+M915+M917</f>
        <v>0.8</v>
      </c>
      <c r="N907" s="564"/>
      <c r="O907" s="562"/>
      <c r="AJ907" s="113"/>
      <c r="AK907" s="113"/>
      <c r="AL907" s="113"/>
      <c r="AM907" s="113"/>
      <c r="AN907" s="113"/>
      <c r="AO907" s="113"/>
      <c r="AP907" s="113"/>
      <c r="AQ907" s="113"/>
      <c r="AR907" s="113"/>
      <c r="AS907" s="113"/>
      <c r="AT907" s="113"/>
      <c r="AU907" s="113"/>
      <c r="AV907" s="113"/>
      <c r="AW907" s="113"/>
      <c r="AX907" s="113"/>
      <c r="AY907" s="113"/>
      <c r="AZ907" s="113"/>
      <c r="BA907" s="113"/>
      <c r="BB907" s="113"/>
      <c r="BC907" s="113"/>
      <c r="BD907" s="113"/>
      <c r="BE907" s="113"/>
      <c r="BF907" s="113"/>
      <c r="BG907" s="113"/>
      <c r="BH907" s="113"/>
      <c r="BI907" s="113"/>
    </row>
    <row r="908" spans="1:61" s="45" customFormat="1" ht="31.5" customHeight="1">
      <c r="A908" s="986"/>
      <c r="B908" s="62" t="s">
        <v>25</v>
      </c>
      <c r="C908" s="62"/>
      <c r="D908" s="62"/>
      <c r="E908" s="62"/>
      <c r="F908" s="62"/>
      <c r="G908" s="102">
        <f>G909+G910</f>
        <v>15076.8</v>
      </c>
      <c r="H908" s="102">
        <f t="shared" ref="H908:M908" si="274">H909+H910</f>
        <v>0</v>
      </c>
      <c r="I908" s="102">
        <f t="shared" si="274"/>
        <v>0</v>
      </c>
      <c r="J908" s="102">
        <f t="shared" si="274"/>
        <v>0</v>
      </c>
      <c r="K908" s="102">
        <f t="shared" si="274"/>
        <v>15076.8</v>
      </c>
      <c r="L908" s="102">
        <f t="shared" si="274"/>
        <v>7000</v>
      </c>
      <c r="M908" s="499">
        <f t="shared" si="274"/>
        <v>20553.8</v>
      </c>
      <c r="N908" s="564"/>
      <c r="O908" s="62"/>
      <c r="AJ908" s="113"/>
      <c r="AK908" s="113"/>
      <c r="AL908" s="113"/>
      <c r="AM908" s="113"/>
      <c r="AN908" s="113"/>
      <c r="AO908" s="113"/>
      <c r="AP908" s="113"/>
      <c r="AQ908" s="113"/>
      <c r="AR908" s="113"/>
      <c r="AS908" s="113"/>
      <c r="AT908" s="113"/>
      <c r="AU908" s="113"/>
      <c r="AV908" s="113"/>
      <c r="AW908" s="113"/>
      <c r="AX908" s="113"/>
      <c r="AY908" s="113"/>
      <c r="AZ908" s="113"/>
      <c r="BA908" s="113"/>
      <c r="BB908" s="113"/>
      <c r="BC908" s="113"/>
      <c r="BD908" s="113"/>
      <c r="BE908" s="113"/>
      <c r="BF908" s="113"/>
      <c r="BG908" s="113"/>
      <c r="BH908" s="113"/>
      <c r="BI908" s="113"/>
    </row>
    <row r="909" spans="1:61" s="45" customFormat="1" ht="31.5" customHeight="1">
      <c r="A909" s="986"/>
      <c r="B909" s="62" t="s">
        <v>10</v>
      </c>
      <c r="C909" s="62"/>
      <c r="D909" s="62"/>
      <c r="E909" s="62"/>
      <c r="F909" s="62"/>
      <c r="G909" s="102">
        <f>G913+G916+G918</f>
        <v>15076.8</v>
      </c>
      <c r="H909" s="102">
        <f t="shared" ref="H909:M909" si="275">H913+H916+H918</f>
        <v>0</v>
      </c>
      <c r="I909" s="102">
        <f t="shared" si="275"/>
        <v>0</v>
      </c>
      <c r="J909" s="102">
        <f t="shared" si="275"/>
        <v>0</v>
      </c>
      <c r="K909" s="102">
        <f t="shared" si="275"/>
        <v>15076.8</v>
      </c>
      <c r="L909" s="102">
        <f t="shared" si="275"/>
        <v>7000</v>
      </c>
      <c r="M909" s="102">
        <f t="shared" si="275"/>
        <v>20553.8</v>
      </c>
      <c r="N909" s="564"/>
      <c r="O909" s="373"/>
      <c r="AJ909" s="113"/>
      <c r="AK909" s="113"/>
      <c r="AL909" s="113"/>
      <c r="AM909" s="113"/>
      <c r="AN909" s="113"/>
      <c r="AO909" s="113"/>
      <c r="AP909" s="113"/>
      <c r="AQ909" s="113"/>
      <c r="AR909" s="113"/>
      <c r="AS909" s="113"/>
      <c r="AT909" s="113"/>
      <c r="AU909" s="113"/>
      <c r="AV909" s="113"/>
      <c r="AW909" s="113"/>
      <c r="AX909" s="113"/>
      <c r="AY909" s="113"/>
      <c r="AZ909" s="113"/>
      <c r="BA909" s="113"/>
      <c r="BB909" s="113"/>
      <c r="BC909" s="113"/>
      <c r="BD909" s="113"/>
      <c r="BE909" s="113"/>
      <c r="BF909" s="113"/>
      <c r="BG909" s="113"/>
      <c r="BH909" s="113"/>
      <c r="BI909" s="113"/>
    </row>
    <row r="910" spans="1:61" s="45" customFormat="1" ht="31.5" customHeight="1">
      <c r="A910" s="987"/>
      <c r="B910" s="62" t="s">
        <v>502</v>
      </c>
      <c r="C910" s="62"/>
      <c r="D910" s="62"/>
      <c r="E910" s="62"/>
      <c r="F910" s="62"/>
      <c r="G910" s="102">
        <f>G914</f>
        <v>0</v>
      </c>
      <c r="H910" s="102">
        <f t="shared" ref="H910:M910" si="276">H914</f>
        <v>0</v>
      </c>
      <c r="I910" s="102">
        <f t="shared" si="276"/>
        <v>0</v>
      </c>
      <c r="J910" s="102">
        <f t="shared" si="276"/>
        <v>0</v>
      </c>
      <c r="K910" s="102">
        <f t="shared" si="276"/>
        <v>0</v>
      </c>
      <c r="L910" s="102">
        <f t="shared" si="276"/>
        <v>0</v>
      </c>
      <c r="M910" s="499">
        <f t="shared" si="276"/>
        <v>0</v>
      </c>
      <c r="N910" s="564"/>
      <c r="O910" s="373"/>
      <c r="AJ910" s="113"/>
      <c r="AK910" s="113"/>
      <c r="AL910" s="113"/>
      <c r="AM910" s="113"/>
      <c r="AN910" s="113"/>
      <c r="AO910" s="113"/>
      <c r="AP910" s="113"/>
      <c r="AQ910" s="113"/>
      <c r="AR910" s="113"/>
      <c r="AS910" s="113"/>
      <c r="AT910" s="113"/>
      <c r="AU910" s="113"/>
      <c r="AV910" s="113"/>
      <c r="AW910" s="113"/>
      <c r="AX910" s="113"/>
      <c r="AY910" s="113"/>
      <c r="AZ910" s="113"/>
      <c r="BA910" s="113"/>
      <c r="BB910" s="113"/>
      <c r="BC910" s="113"/>
      <c r="BD910" s="113"/>
      <c r="BE910" s="113"/>
      <c r="BF910" s="113"/>
      <c r="BG910" s="113"/>
      <c r="BH910" s="113"/>
      <c r="BI910" s="113"/>
    </row>
    <row r="911" spans="1:61" s="45" customFormat="1" ht="24" customHeight="1">
      <c r="A911" s="1028" t="s">
        <v>577</v>
      </c>
      <c r="B911" s="564" t="s">
        <v>89</v>
      </c>
      <c r="C911" s="62"/>
      <c r="D911" s="62"/>
      <c r="E911" s="62"/>
      <c r="F911" s="62"/>
      <c r="G911" s="103">
        <f>K911</f>
        <v>0</v>
      </c>
      <c r="H911" s="103"/>
      <c r="I911" s="103"/>
      <c r="J911" s="103"/>
      <c r="K911" s="103">
        <v>0</v>
      </c>
      <c r="L911" s="103"/>
      <c r="M911" s="679"/>
      <c r="N911" s="564"/>
      <c r="O911" s="1030" t="s">
        <v>881</v>
      </c>
      <c r="AJ911" s="113"/>
      <c r="AK911" s="113"/>
      <c r="AL911" s="113"/>
      <c r="AM911" s="113"/>
      <c r="AN911" s="113"/>
      <c r="AO911" s="113"/>
      <c r="AP911" s="113"/>
      <c r="AQ911" s="113"/>
      <c r="AR911" s="113"/>
      <c r="AS911" s="113"/>
      <c r="AT911" s="113"/>
      <c r="AU911" s="113"/>
      <c r="AV911" s="113"/>
      <c r="AW911" s="113"/>
      <c r="AX911" s="113"/>
      <c r="AY911" s="113"/>
      <c r="AZ911" s="113"/>
      <c r="BA911" s="113"/>
      <c r="BB911" s="113"/>
      <c r="BC911" s="113"/>
      <c r="BD911" s="113"/>
      <c r="BE911" s="113"/>
      <c r="BF911" s="113"/>
      <c r="BG911" s="113"/>
      <c r="BH911" s="113"/>
      <c r="BI911" s="113"/>
    </row>
    <row r="912" spans="1:61" s="45" customFormat="1" ht="22.5" customHeight="1">
      <c r="A912" s="1036"/>
      <c r="B912" s="564" t="s">
        <v>25</v>
      </c>
      <c r="C912" s="62"/>
      <c r="D912" s="62"/>
      <c r="E912" s="62"/>
      <c r="F912" s="62"/>
      <c r="G912" s="103">
        <f>G913+G914</f>
        <v>1000</v>
      </c>
      <c r="H912" s="103">
        <f t="shared" ref="H912:M912" si="277">H913+H914</f>
        <v>0</v>
      </c>
      <c r="I912" s="103">
        <f t="shared" si="277"/>
        <v>0</v>
      </c>
      <c r="J912" s="103">
        <f t="shared" si="277"/>
        <v>0</v>
      </c>
      <c r="K912" s="103">
        <f t="shared" si="277"/>
        <v>1000</v>
      </c>
      <c r="L912" s="103">
        <f t="shared" si="277"/>
        <v>0</v>
      </c>
      <c r="M912" s="679">
        <f t="shared" si="277"/>
        <v>0</v>
      </c>
      <c r="N912" s="564"/>
      <c r="O912" s="1032"/>
      <c r="AJ912" s="113"/>
      <c r="AK912" s="113"/>
      <c r="AL912" s="113"/>
      <c r="AM912" s="113"/>
      <c r="AN912" s="113"/>
      <c r="AO912" s="113"/>
      <c r="AP912" s="113"/>
      <c r="AQ912" s="113"/>
      <c r="AR912" s="113"/>
      <c r="AS912" s="113"/>
      <c r="AT912" s="113"/>
      <c r="AU912" s="113"/>
      <c r="AV912" s="113"/>
      <c r="AW912" s="113"/>
      <c r="AX912" s="113"/>
      <c r="AY912" s="113"/>
      <c r="AZ912" s="113"/>
      <c r="BA912" s="113"/>
      <c r="BB912" s="113"/>
      <c r="BC912" s="113"/>
      <c r="BD912" s="113"/>
      <c r="BE912" s="113"/>
      <c r="BF912" s="113"/>
      <c r="BG912" s="113"/>
      <c r="BH912" s="113"/>
      <c r="BI912" s="113"/>
    </row>
    <row r="913" spans="1:61" s="45" customFormat="1" ht="22.5" customHeight="1">
      <c r="A913" s="1036"/>
      <c r="B913" s="564" t="s">
        <v>10</v>
      </c>
      <c r="C913" s="62"/>
      <c r="D913" s="62"/>
      <c r="E913" s="62"/>
      <c r="F913" s="62"/>
      <c r="G913" s="103">
        <f t="shared" ref="G913:G926" si="278">K913</f>
        <v>1000</v>
      </c>
      <c r="H913" s="103"/>
      <c r="I913" s="103"/>
      <c r="J913" s="103"/>
      <c r="K913" s="103">
        <v>1000</v>
      </c>
      <c r="L913" s="103"/>
      <c r="M913" s="679"/>
      <c r="N913" s="564"/>
      <c r="O913" s="1032"/>
      <c r="AJ913" s="113"/>
      <c r="AK913" s="113"/>
      <c r="AL913" s="113"/>
      <c r="AM913" s="113"/>
      <c r="AN913" s="113"/>
      <c r="AO913" s="113"/>
      <c r="AP913" s="113"/>
      <c r="AQ913" s="113"/>
      <c r="AR913" s="113"/>
      <c r="AS913" s="113"/>
      <c r="AT913" s="113"/>
      <c r="AU913" s="113"/>
      <c r="AV913" s="113"/>
      <c r="AW913" s="113"/>
      <c r="AX913" s="113"/>
      <c r="AY913" s="113"/>
      <c r="AZ913" s="113"/>
      <c r="BA913" s="113"/>
      <c r="BB913" s="113"/>
      <c r="BC913" s="113"/>
      <c r="BD913" s="113"/>
      <c r="BE913" s="113"/>
      <c r="BF913" s="113"/>
      <c r="BG913" s="113"/>
      <c r="BH913" s="113"/>
      <c r="BI913" s="113"/>
    </row>
    <row r="914" spans="1:61" s="45" customFormat="1" ht="22.5" customHeight="1">
      <c r="A914" s="1029"/>
      <c r="B914" s="564" t="s">
        <v>502</v>
      </c>
      <c r="C914" s="62"/>
      <c r="D914" s="62"/>
      <c r="E914" s="62"/>
      <c r="F914" s="62"/>
      <c r="G914" s="103">
        <f t="shared" si="278"/>
        <v>0</v>
      </c>
      <c r="H914" s="103"/>
      <c r="I914" s="103"/>
      <c r="J914" s="103"/>
      <c r="K914" s="103"/>
      <c r="L914" s="103"/>
      <c r="M914" s="679"/>
      <c r="N914" s="564"/>
      <c r="O914" s="1031"/>
      <c r="AJ914" s="113"/>
      <c r="AK914" s="113"/>
      <c r="AL914" s="113"/>
      <c r="AM914" s="113"/>
      <c r="AN914" s="113"/>
      <c r="AO914" s="113"/>
      <c r="AP914" s="113"/>
      <c r="AQ914" s="113"/>
      <c r="AR914" s="113"/>
      <c r="AS914" s="113"/>
      <c r="AT914" s="113"/>
      <c r="AU914" s="113"/>
      <c r="AV914" s="113"/>
      <c r="AW914" s="113"/>
      <c r="AX914" s="113"/>
      <c r="AY914" s="113"/>
      <c r="AZ914" s="113"/>
      <c r="BA914" s="113"/>
      <c r="BB914" s="113"/>
      <c r="BC914" s="113"/>
      <c r="BD914" s="113"/>
      <c r="BE914" s="113"/>
      <c r="BF914" s="113"/>
      <c r="BG914" s="113"/>
      <c r="BH914" s="113"/>
      <c r="BI914" s="113"/>
    </row>
    <row r="915" spans="1:61" s="45" customFormat="1" ht="21.75" customHeight="1">
      <c r="A915" s="1028" t="s">
        <v>1030</v>
      </c>
      <c r="B915" s="780" t="s">
        <v>89</v>
      </c>
      <c r="C915" s="781"/>
      <c r="D915" s="781"/>
      <c r="E915" s="781"/>
      <c r="F915" s="781"/>
      <c r="G915" s="103">
        <f t="shared" ref="G915:G916" si="279">K915</f>
        <v>0</v>
      </c>
      <c r="H915" s="103"/>
      <c r="I915" s="103"/>
      <c r="J915" s="103"/>
      <c r="K915" s="103"/>
      <c r="L915" s="103">
        <v>0</v>
      </c>
      <c r="M915" s="679">
        <v>0</v>
      </c>
      <c r="N915" s="780"/>
      <c r="O915" s="1030" t="s">
        <v>881</v>
      </c>
      <c r="AJ915" s="113"/>
      <c r="AK915" s="113"/>
      <c r="AL915" s="113"/>
      <c r="AM915" s="113"/>
      <c r="AN915" s="113"/>
      <c r="AO915" s="113"/>
      <c r="AP915" s="113"/>
      <c r="AQ915" s="113"/>
      <c r="AR915" s="113"/>
      <c r="AS915" s="113"/>
      <c r="AT915" s="113"/>
      <c r="AU915" s="113"/>
      <c r="AV915" s="113"/>
      <c r="AW915" s="113"/>
      <c r="AX915" s="113"/>
      <c r="AY915" s="113"/>
      <c r="AZ915" s="113"/>
      <c r="BA915" s="113"/>
      <c r="BB915" s="113"/>
      <c r="BC915" s="113"/>
      <c r="BD915" s="113"/>
      <c r="BE915" s="113"/>
      <c r="BF915" s="113"/>
      <c r="BG915" s="113"/>
      <c r="BH915" s="113"/>
      <c r="BI915" s="113"/>
    </row>
    <row r="916" spans="1:61" ht="28.5" customHeight="1">
      <c r="A916" s="1029"/>
      <c r="B916" s="780" t="s">
        <v>248</v>
      </c>
      <c r="C916" s="780">
        <v>176</v>
      </c>
      <c r="D916" s="780" t="s">
        <v>15</v>
      </c>
      <c r="E916" s="780">
        <v>6100404</v>
      </c>
      <c r="F916" s="780">
        <v>244</v>
      </c>
      <c r="G916" s="103">
        <f t="shared" si="279"/>
        <v>2000</v>
      </c>
      <c r="H916" s="103"/>
      <c r="I916" s="103"/>
      <c r="J916" s="103"/>
      <c r="K916" s="103">
        <v>2000</v>
      </c>
      <c r="L916" s="103">
        <v>0</v>
      </c>
      <c r="M916" s="679">
        <v>10000</v>
      </c>
      <c r="N916" s="780"/>
      <c r="O916" s="1031"/>
    </row>
    <row r="917" spans="1:61" s="45" customFormat="1" ht="21.75" customHeight="1">
      <c r="A917" s="1028" t="s">
        <v>879</v>
      </c>
      <c r="B917" s="564" t="s">
        <v>89</v>
      </c>
      <c r="C917" s="62"/>
      <c r="D917" s="62"/>
      <c r="E917" s="62"/>
      <c r="F917" s="62"/>
      <c r="G917" s="103">
        <f t="shared" si="278"/>
        <v>1</v>
      </c>
      <c r="H917" s="103"/>
      <c r="I917" s="103"/>
      <c r="J917" s="103"/>
      <c r="K917" s="103">
        <v>1</v>
      </c>
      <c r="L917" s="103"/>
      <c r="M917" s="679">
        <v>0.8</v>
      </c>
      <c r="N917" s="564"/>
      <c r="O917" s="1030" t="s">
        <v>1067</v>
      </c>
      <c r="AJ917" s="113"/>
      <c r="AK917" s="113"/>
      <c r="AL917" s="113"/>
      <c r="AM917" s="113"/>
      <c r="AN917" s="113"/>
      <c r="AO917" s="113"/>
      <c r="AP917" s="113"/>
      <c r="AQ917" s="113"/>
      <c r="AR917" s="113"/>
      <c r="AS917" s="113"/>
      <c r="AT917" s="113"/>
      <c r="AU917" s="113"/>
      <c r="AV917" s="113"/>
      <c r="AW917" s="113"/>
      <c r="AX917" s="113"/>
      <c r="AY917" s="113"/>
      <c r="AZ917" s="113"/>
      <c r="BA917" s="113"/>
      <c r="BB917" s="113"/>
      <c r="BC917" s="113"/>
      <c r="BD917" s="113"/>
      <c r="BE917" s="113"/>
      <c r="BF917" s="113"/>
      <c r="BG917" s="113"/>
      <c r="BH917" s="113"/>
      <c r="BI917" s="113"/>
    </row>
    <row r="918" spans="1:61" ht="28.5" customHeight="1">
      <c r="A918" s="1029"/>
      <c r="B918" s="564" t="s">
        <v>248</v>
      </c>
      <c r="C918" s="564">
        <v>176</v>
      </c>
      <c r="D918" s="564" t="s">
        <v>15</v>
      </c>
      <c r="E918" s="564">
        <v>6100404</v>
      </c>
      <c r="F918" s="564">
        <v>244</v>
      </c>
      <c r="G918" s="103">
        <f t="shared" si="278"/>
        <v>12076.8</v>
      </c>
      <c r="H918" s="103"/>
      <c r="I918" s="103"/>
      <c r="J918" s="103"/>
      <c r="K918" s="103">
        <v>12076.8</v>
      </c>
      <c r="L918" s="103">
        <f>16000+1000-16000+6000</f>
        <v>7000</v>
      </c>
      <c r="M918" s="679">
        <v>10553.8</v>
      </c>
      <c r="N918" s="564"/>
      <c r="O918" s="1031"/>
    </row>
    <row r="919" spans="1:61" ht="24.6" customHeight="1">
      <c r="A919" s="985" t="s">
        <v>98</v>
      </c>
      <c r="B919" s="62" t="s">
        <v>585</v>
      </c>
      <c r="C919" s="564"/>
      <c r="D919" s="564"/>
      <c r="E919" s="564"/>
      <c r="F919" s="564"/>
      <c r="G919" s="102">
        <f>G923+G927+G929</f>
        <v>1</v>
      </c>
      <c r="H919" s="102">
        <f t="shared" ref="H919:M919" si="280">H923+H927+H929</f>
        <v>0</v>
      </c>
      <c r="I919" s="102">
        <f t="shared" si="280"/>
        <v>0</v>
      </c>
      <c r="J919" s="102">
        <f t="shared" si="280"/>
        <v>0</v>
      </c>
      <c r="K919" s="102">
        <f t="shared" si="280"/>
        <v>1</v>
      </c>
      <c r="L919" s="102">
        <f t="shared" si="280"/>
        <v>0</v>
      </c>
      <c r="M919" s="499">
        <f t="shared" si="280"/>
        <v>0.8</v>
      </c>
      <c r="N919" s="564"/>
      <c r="O919" s="564"/>
    </row>
    <row r="920" spans="1:61" ht="24.6" customHeight="1">
      <c r="A920" s="986"/>
      <c r="B920" s="62" t="s">
        <v>25</v>
      </c>
      <c r="C920" s="564"/>
      <c r="D920" s="564"/>
      <c r="E920" s="564"/>
      <c r="F920" s="564"/>
      <c r="G920" s="102">
        <f>G921+G922</f>
        <v>16032</v>
      </c>
      <c r="H920" s="102">
        <f t="shared" ref="H920:M920" si="281">H921+H922</f>
        <v>0</v>
      </c>
      <c r="I920" s="102">
        <f t="shared" si="281"/>
        <v>0</v>
      </c>
      <c r="J920" s="102">
        <f t="shared" si="281"/>
        <v>0</v>
      </c>
      <c r="K920" s="102">
        <f t="shared" si="281"/>
        <v>16032</v>
      </c>
      <c r="L920" s="102">
        <f t="shared" si="281"/>
        <v>0</v>
      </c>
      <c r="M920" s="499">
        <f t="shared" si="281"/>
        <v>10094.799999999999</v>
      </c>
      <c r="N920" s="564"/>
      <c r="O920" s="564"/>
    </row>
    <row r="921" spans="1:61" ht="24.6" customHeight="1">
      <c r="A921" s="986"/>
      <c r="B921" s="62" t="s">
        <v>10</v>
      </c>
      <c r="C921" s="564"/>
      <c r="D921" s="564"/>
      <c r="E921" s="564"/>
      <c r="F921" s="564"/>
      <c r="G921" s="102">
        <f>G925+G928+G930</f>
        <v>16032</v>
      </c>
      <c r="H921" s="102">
        <f t="shared" ref="H921:M921" si="282">H925+H928+H930</f>
        <v>0</v>
      </c>
      <c r="I921" s="102">
        <f t="shared" si="282"/>
        <v>0</v>
      </c>
      <c r="J921" s="102">
        <f t="shared" si="282"/>
        <v>0</v>
      </c>
      <c r="K921" s="102">
        <f t="shared" si="282"/>
        <v>16032</v>
      </c>
      <c r="L921" s="102">
        <f t="shared" si="282"/>
        <v>0</v>
      </c>
      <c r="M921" s="499">
        <f t="shared" si="282"/>
        <v>10094.799999999999</v>
      </c>
      <c r="N921" s="564"/>
      <c r="O921" s="564"/>
    </row>
    <row r="922" spans="1:61" ht="24.6" customHeight="1">
      <c r="A922" s="987"/>
      <c r="B922" s="62" t="s">
        <v>502</v>
      </c>
      <c r="C922" s="564"/>
      <c r="D922" s="564"/>
      <c r="E922" s="564"/>
      <c r="F922" s="564"/>
      <c r="G922" s="102">
        <f>G926</f>
        <v>0</v>
      </c>
      <c r="H922" s="102">
        <f t="shared" ref="H922:M922" si="283">H926</f>
        <v>0</v>
      </c>
      <c r="I922" s="102">
        <f t="shared" si="283"/>
        <v>0</v>
      </c>
      <c r="J922" s="102">
        <f t="shared" si="283"/>
        <v>0</v>
      </c>
      <c r="K922" s="102">
        <f t="shared" si="283"/>
        <v>0</v>
      </c>
      <c r="L922" s="102">
        <f t="shared" si="283"/>
        <v>0</v>
      </c>
      <c r="M922" s="499">
        <f t="shared" si="283"/>
        <v>0</v>
      </c>
      <c r="N922" s="564"/>
      <c r="O922" s="564"/>
    </row>
    <row r="923" spans="1:61" ht="24.6" hidden="1" customHeight="1">
      <c r="A923" s="1028" t="s">
        <v>579</v>
      </c>
      <c r="B923" s="564" t="s">
        <v>585</v>
      </c>
      <c r="C923" s="564"/>
      <c r="D923" s="564"/>
      <c r="E923" s="564"/>
      <c r="F923" s="564"/>
      <c r="G923" s="103">
        <f t="shared" si="278"/>
        <v>0</v>
      </c>
      <c r="H923" s="103"/>
      <c r="I923" s="103"/>
      <c r="J923" s="103"/>
      <c r="K923" s="103"/>
      <c r="L923" s="103"/>
      <c r="M923" s="679"/>
      <c r="N923" s="564"/>
      <c r="O923" s="1030" t="s">
        <v>573</v>
      </c>
    </row>
    <row r="924" spans="1:61" ht="23.25" hidden="1" customHeight="1">
      <c r="A924" s="1036"/>
      <c r="B924" s="564" t="s">
        <v>25</v>
      </c>
      <c r="C924" s="564"/>
      <c r="D924" s="564"/>
      <c r="E924" s="564"/>
      <c r="F924" s="564"/>
      <c r="G924" s="103">
        <f t="shared" si="278"/>
        <v>0</v>
      </c>
      <c r="H924" s="103"/>
      <c r="I924" s="103"/>
      <c r="J924" s="103"/>
      <c r="K924" s="103">
        <f>K925+K926</f>
        <v>0</v>
      </c>
      <c r="L924" s="103">
        <f t="shared" ref="L924:M924" si="284">L925+L926</f>
        <v>0</v>
      </c>
      <c r="M924" s="679">
        <f t="shared" si="284"/>
        <v>0</v>
      </c>
      <c r="N924" s="564"/>
      <c r="O924" s="1032"/>
    </row>
    <row r="925" spans="1:61" ht="24.75" hidden="1" customHeight="1">
      <c r="A925" s="1036"/>
      <c r="B925" s="564" t="s">
        <v>10</v>
      </c>
      <c r="C925" s="564"/>
      <c r="D925" s="564"/>
      <c r="E925" s="564"/>
      <c r="F925" s="564"/>
      <c r="G925" s="103">
        <f t="shared" si="278"/>
        <v>0</v>
      </c>
      <c r="H925" s="103"/>
      <c r="I925" s="103"/>
      <c r="J925" s="103"/>
      <c r="K925" s="103"/>
      <c r="L925" s="103"/>
      <c r="M925" s="679"/>
      <c r="N925" s="564"/>
      <c r="O925" s="1032"/>
    </row>
    <row r="926" spans="1:61" ht="24" hidden="1" customHeight="1">
      <c r="A926" s="1029"/>
      <c r="B926" s="564" t="s">
        <v>502</v>
      </c>
      <c r="C926" s="564"/>
      <c r="D926" s="564"/>
      <c r="E926" s="564"/>
      <c r="F926" s="564"/>
      <c r="G926" s="103">
        <f t="shared" si="278"/>
        <v>0</v>
      </c>
      <c r="H926" s="103"/>
      <c r="I926" s="103"/>
      <c r="J926" s="103"/>
      <c r="K926" s="103"/>
      <c r="L926" s="103"/>
      <c r="M926" s="679"/>
      <c r="N926" s="564"/>
      <c r="O926" s="1031"/>
    </row>
    <row r="927" spans="1:61" ht="23.25" customHeight="1">
      <c r="A927" s="1028" t="s">
        <v>580</v>
      </c>
      <c r="B927" s="564" t="s">
        <v>89</v>
      </c>
      <c r="C927" s="564"/>
      <c r="D927" s="564"/>
      <c r="E927" s="564"/>
      <c r="F927" s="564"/>
      <c r="G927" s="102"/>
      <c r="H927" s="103"/>
      <c r="I927" s="103"/>
      <c r="J927" s="103"/>
      <c r="K927" s="103"/>
      <c r="L927" s="103"/>
      <c r="M927" s="679"/>
      <c r="N927" s="564"/>
      <c r="O927" s="1030" t="s">
        <v>881</v>
      </c>
    </row>
    <row r="928" spans="1:61" ht="27" customHeight="1">
      <c r="A928" s="1029"/>
      <c r="B928" s="564" t="s">
        <v>248</v>
      </c>
      <c r="C928" s="564"/>
      <c r="D928" s="564"/>
      <c r="E928" s="564"/>
      <c r="F928" s="564"/>
      <c r="G928" s="103">
        <f>K928</f>
        <v>4500</v>
      </c>
      <c r="H928" s="103"/>
      <c r="I928" s="103"/>
      <c r="J928" s="103"/>
      <c r="K928" s="103">
        <v>4500</v>
      </c>
      <c r="L928" s="103"/>
      <c r="M928" s="679"/>
      <c r="N928" s="564"/>
      <c r="O928" s="1031"/>
    </row>
    <row r="929" spans="1:61" ht="21.75" customHeight="1">
      <c r="A929" s="1028" t="s">
        <v>879</v>
      </c>
      <c r="B929" s="564" t="s">
        <v>89</v>
      </c>
      <c r="C929" s="564"/>
      <c r="D929" s="564"/>
      <c r="E929" s="564"/>
      <c r="F929" s="564"/>
      <c r="G929" s="103">
        <f t="shared" ref="G929:G930" si="285">K929</f>
        <v>1</v>
      </c>
      <c r="H929" s="103"/>
      <c r="I929" s="103"/>
      <c r="J929" s="103"/>
      <c r="K929" s="103">
        <v>1</v>
      </c>
      <c r="L929" s="103"/>
      <c r="M929" s="679">
        <v>0.8</v>
      </c>
      <c r="N929" s="564"/>
      <c r="O929" s="1030" t="s">
        <v>1067</v>
      </c>
    </row>
    <row r="930" spans="1:61" ht="24" customHeight="1">
      <c r="A930" s="1029"/>
      <c r="B930" s="564" t="s">
        <v>248</v>
      </c>
      <c r="C930" s="564"/>
      <c r="D930" s="564"/>
      <c r="E930" s="564"/>
      <c r="F930" s="564"/>
      <c r="G930" s="103">
        <f t="shared" si="285"/>
        <v>11532</v>
      </c>
      <c r="H930" s="103"/>
      <c r="I930" s="103"/>
      <c r="J930" s="103"/>
      <c r="K930" s="103">
        <v>11532</v>
      </c>
      <c r="L930" s="103">
        <v>0</v>
      </c>
      <c r="M930" s="679">
        <v>10094.799999999999</v>
      </c>
      <c r="N930" s="564"/>
      <c r="O930" s="1031"/>
    </row>
    <row r="931" spans="1:61" ht="23.45" customHeight="1">
      <c r="A931" s="1038" t="s">
        <v>99</v>
      </c>
      <c r="B931" s="62" t="s">
        <v>89</v>
      </c>
      <c r="C931" s="62"/>
      <c r="D931" s="62"/>
      <c r="E931" s="62"/>
      <c r="F931" s="62"/>
      <c r="G931" s="102">
        <f>G939+G943</f>
        <v>1.2</v>
      </c>
      <c r="H931" s="102">
        <f t="shared" ref="H931:M931" si="286">H939+H943</f>
        <v>0</v>
      </c>
      <c r="I931" s="102">
        <f t="shared" si="286"/>
        <v>0</v>
      </c>
      <c r="J931" s="102">
        <f t="shared" si="286"/>
        <v>0</v>
      </c>
      <c r="K931" s="102">
        <f t="shared" si="286"/>
        <v>1.2</v>
      </c>
      <c r="L931" s="102">
        <f t="shared" si="286"/>
        <v>0</v>
      </c>
      <c r="M931" s="102">
        <f t="shared" si="286"/>
        <v>1</v>
      </c>
      <c r="N931" s="564"/>
      <c r="O931" s="62"/>
    </row>
    <row r="932" spans="1:61" ht="23.45" customHeight="1">
      <c r="A932" s="1038"/>
      <c r="B932" s="62" t="s">
        <v>25</v>
      </c>
      <c r="C932" s="62"/>
      <c r="D932" s="62"/>
      <c r="E932" s="62"/>
      <c r="F932" s="62"/>
      <c r="G932" s="102">
        <f>G933+G934</f>
        <v>15365.2</v>
      </c>
      <c r="H932" s="102">
        <f t="shared" ref="H932:M932" si="287">H933+H934</f>
        <v>0</v>
      </c>
      <c r="I932" s="102">
        <f t="shared" si="287"/>
        <v>0</v>
      </c>
      <c r="J932" s="102">
        <f t="shared" si="287"/>
        <v>0</v>
      </c>
      <c r="K932" s="102">
        <f t="shared" si="287"/>
        <v>15365.2</v>
      </c>
      <c r="L932" s="102">
        <f t="shared" si="287"/>
        <v>0</v>
      </c>
      <c r="M932" s="102">
        <f t="shared" si="287"/>
        <v>39474.199999999997</v>
      </c>
      <c r="N932" s="564"/>
      <c r="O932" s="62"/>
    </row>
    <row r="933" spans="1:61" ht="23.45" customHeight="1">
      <c r="A933" s="1038"/>
      <c r="B933" s="62" t="s">
        <v>10</v>
      </c>
      <c r="C933" s="62"/>
      <c r="D933" s="62"/>
      <c r="E933" s="62"/>
      <c r="F933" s="62"/>
      <c r="G933" s="102">
        <f>G937+G941+G945</f>
        <v>15365.2</v>
      </c>
      <c r="H933" s="102">
        <f t="shared" ref="H933:M933" si="288">H937+H941+H945</f>
        <v>0</v>
      </c>
      <c r="I933" s="102">
        <f t="shared" si="288"/>
        <v>0</v>
      </c>
      <c r="J933" s="102">
        <f t="shared" si="288"/>
        <v>0</v>
      </c>
      <c r="K933" s="102">
        <f t="shared" si="288"/>
        <v>15365.2</v>
      </c>
      <c r="L933" s="102">
        <f t="shared" si="288"/>
        <v>0</v>
      </c>
      <c r="M933" s="102">
        <f t="shared" si="288"/>
        <v>39474.199999999997</v>
      </c>
      <c r="N933" s="564"/>
      <c r="O933" s="62"/>
    </row>
    <row r="934" spans="1:61" ht="30" customHeight="1">
      <c r="A934" s="1038"/>
      <c r="B934" s="62" t="s">
        <v>502</v>
      </c>
      <c r="C934" s="62"/>
      <c r="D934" s="62"/>
      <c r="E934" s="62"/>
      <c r="F934" s="62"/>
      <c r="G934" s="102">
        <f>G942+G946</f>
        <v>0</v>
      </c>
      <c r="H934" s="102">
        <f t="shared" ref="H934:K934" si="289">H942+H946</f>
        <v>0</v>
      </c>
      <c r="I934" s="102">
        <f t="shared" si="289"/>
        <v>0</v>
      </c>
      <c r="J934" s="102">
        <f t="shared" si="289"/>
        <v>0</v>
      </c>
      <c r="K934" s="102">
        <f t="shared" si="289"/>
        <v>0</v>
      </c>
      <c r="L934" s="102">
        <f t="shared" ref="L934:M934" si="290">L942</f>
        <v>0</v>
      </c>
      <c r="M934" s="499">
        <f t="shared" si="290"/>
        <v>0</v>
      </c>
      <c r="N934" s="564"/>
      <c r="O934" s="62"/>
    </row>
    <row r="935" spans="1:61" ht="24.6" customHeight="1">
      <c r="A935" s="1028" t="s">
        <v>582</v>
      </c>
      <c r="B935" s="780" t="s">
        <v>89</v>
      </c>
      <c r="C935" s="780">
        <v>176</v>
      </c>
      <c r="D935" s="780" t="s">
        <v>15</v>
      </c>
      <c r="E935" s="780">
        <v>6100404</v>
      </c>
      <c r="F935" s="780">
        <v>244</v>
      </c>
      <c r="G935" s="103">
        <f t="shared" ref="G935:G938" si="291">K935</f>
        <v>0</v>
      </c>
      <c r="H935" s="103"/>
      <c r="I935" s="103"/>
      <c r="J935" s="103"/>
      <c r="K935" s="103"/>
      <c r="L935" s="103"/>
      <c r="M935" s="679"/>
      <c r="N935" s="780"/>
      <c r="O935" s="1030" t="s">
        <v>881</v>
      </c>
    </row>
    <row r="936" spans="1:61" ht="24.6" customHeight="1">
      <c r="A936" s="1036"/>
      <c r="B936" s="780" t="s">
        <v>25</v>
      </c>
      <c r="C936" s="780"/>
      <c r="D936" s="780"/>
      <c r="E936" s="780"/>
      <c r="F936" s="780"/>
      <c r="G936" s="103">
        <f t="shared" si="291"/>
        <v>1000</v>
      </c>
      <c r="H936" s="103"/>
      <c r="I936" s="103"/>
      <c r="J936" s="103"/>
      <c r="K936" s="103">
        <f>K937+K938</f>
        <v>1000</v>
      </c>
      <c r="L936" s="103">
        <f t="shared" ref="L936:M936" si="292">L937+L938</f>
        <v>0</v>
      </c>
      <c r="M936" s="679">
        <f t="shared" si="292"/>
        <v>20000</v>
      </c>
      <c r="N936" s="780"/>
      <c r="O936" s="1032"/>
    </row>
    <row r="937" spans="1:61" ht="24.6" customHeight="1">
      <c r="A937" s="1036"/>
      <c r="B937" s="780" t="s">
        <v>10</v>
      </c>
      <c r="C937" s="780"/>
      <c r="D937" s="780"/>
      <c r="E937" s="780"/>
      <c r="F937" s="780"/>
      <c r="G937" s="103">
        <f t="shared" si="291"/>
        <v>1000</v>
      </c>
      <c r="H937" s="103"/>
      <c r="I937" s="103"/>
      <c r="J937" s="103"/>
      <c r="K937" s="103">
        <v>1000</v>
      </c>
      <c r="L937" s="103"/>
      <c r="M937" s="679">
        <v>20000</v>
      </c>
      <c r="N937" s="780"/>
      <c r="O937" s="1032"/>
    </row>
    <row r="938" spans="1:61" s="45" customFormat="1" ht="21" hidden="1" customHeight="1">
      <c r="A938" s="1029"/>
      <c r="B938" s="780" t="s">
        <v>502</v>
      </c>
      <c r="C938" s="780"/>
      <c r="D938" s="780"/>
      <c r="E938" s="780"/>
      <c r="F938" s="780"/>
      <c r="G938" s="103">
        <f t="shared" si="291"/>
        <v>0</v>
      </c>
      <c r="H938" s="103"/>
      <c r="I938" s="103"/>
      <c r="J938" s="103"/>
      <c r="K938" s="103"/>
      <c r="L938" s="103"/>
      <c r="M938" s="679"/>
      <c r="N938" s="780"/>
      <c r="O938" s="1031"/>
      <c r="AJ938" s="113"/>
      <c r="AK938" s="113"/>
      <c r="AL938" s="113"/>
      <c r="AM938" s="113"/>
      <c r="AN938" s="113"/>
      <c r="AO938" s="113"/>
      <c r="AP938" s="113"/>
      <c r="AQ938" s="113"/>
      <c r="AR938" s="113"/>
      <c r="AS938" s="113"/>
      <c r="AT938" s="113"/>
      <c r="AU938" s="113"/>
      <c r="AV938" s="113"/>
      <c r="AW938" s="113"/>
      <c r="AX938" s="113"/>
      <c r="AY938" s="113"/>
      <c r="AZ938" s="113"/>
      <c r="BA938" s="113"/>
      <c r="BB938" s="113"/>
      <c r="BC938" s="113"/>
      <c r="BD938" s="113"/>
      <c r="BE938" s="113"/>
      <c r="BF938" s="113"/>
      <c r="BG938" s="113"/>
      <c r="BH938" s="113"/>
      <c r="BI938" s="113"/>
    </row>
    <row r="939" spans="1:61" ht="24.6" customHeight="1">
      <c r="A939" s="1028" t="s">
        <v>1031</v>
      </c>
      <c r="B939" s="564" t="s">
        <v>89</v>
      </c>
      <c r="C939" s="564">
        <v>176</v>
      </c>
      <c r="D939" s="564" t="s">
        <v>15</v>
      </c>
      <c r="E939" s="564">
        <v>6100404</v>
      </c>
      <c r="F939" s="564">
        <v>244</v>
      </c>
      <c r="G939" s="103">
        <f t="shared" ref="G939:G946" si="293">K939</f>
        <v>0</v>
      </c>
      <c r="H939" s="103"/>
      <c r="I939" s="103"/>
      <c r="J939" s="103"/>
      <c r="K939" s="103"/>
      <c r="L939" s="103"/>
      <c r="M939" s="679"/>
      <c r="N939" s="564"/>
      <c r="O939" s="1030" t="s">
        <v>881</v>
      </c>
    </row>
    <row r="940" spans="1:61" ht="24.6" customHeight="1">
      <c r="A940" s="1036"/>
      <c r="B940" s="564" t="s">
        <v>25</v>
      </c>
      <c r="C940" s="564"/>
      <c r="D940" s="564"/>
      <c r="E940" s="564"/>
      <c r="F940" s="564"/>
      <c r="G940" s="103">
        <f t="shared" si="293"/>
        <v>0</v>
      </c>
      <c r="H940" s="103"/>
      <c r="I940" s="103"/>
      <c r="J940" s="103"/>
      <c r="K940" s="103">
        <f>K941+K942</f>
        <v>0</v>
      </c>
      <c r="L940" s="103">
        <f t="shared" ref="L940:M940" si="294">L941+L942</f>
        <v>0</v>
      </c>
      <c r="M940" s="679">
        <f t="shared" si="294"/>
        <v>7000</v>
      </c>
      <c r="N940" s="564"/>
      <c r="O940" s="1032"/>
    </row>
    <row r="941" spans="1:61" ht="24.6" customHeight="1">
      <c r="A941" s="1036"/>
      <c r="B941" s="564" t="s">
        <v>10</v>
      </c>
      <c r="C941" s="564"/>
      <c r="D941" s="564"/>
      <c r="E941" s="564"/>
      <c r="F941" s="564"/>
      <c r="G941" s="103">
        <f t="shared" si="293"/>
        <v>0</v>
      </c>
      <c r="H941" s="103"/>
      <c r="I941" s="103"/>
      <c r="J941" s="103"/>
      <c r="K941" s="103">
        <v>0</v>
      </c>
      <c r="L941" s="103"/>
      <c r="M941" s="679">
        <v>7000</v>
      </c>
      <c r="N941" s="564"/>
      <c r="O941" s="1032"/>
    </row>
    <row r="942" spans="1:61" s="45" customFormat="1" ht="21" hidden="1" customHeight="1">
      <c r="A942" s="1029"/>
      <c r="B942" s="564" t="s">
        <v>502</v>
      </c>
      <c r="C942" s="564"/>
      <c r="D942" s="564"/>
      <c r="E942" s="564"/>
      <c r="F942" s="564"/>
      <c r="G942" s="103">
        <f t="shared" si="293"/>
        <v>0</v>
      </c>
      <c r="H942" s="103"/>
      <c r="I942" s="103"/>
      <c r="J942" s="103"/>
      <c r="K942" s="103"/>
      <c r="L942" s="103"/>
      <c r="M942" s="679"/>
      <c r="N942" s="564"/>
      <c r="O942" s="1031"/>
      <c r="AJ942" s="113"/>
      <c r="AK942" s="113"/>
      <c r="AL942" s="113"/>
      <c r="AM942" s="113"/>
      <c r="AN942" s="113"/>
      <c r="AO942" s="113"/>
      <c r="AP942" s="113"/>
      <c r="AQ942" s="113"/>
      <c r="AR942" s="113"/>
      <c r="AS942" s="113"/>
      <c r="AT942" s="113"/>
      <c r="AU942" s="113"/>
      <c r="AV942" s="113"/>
      <c r="AW942" s="113"/>
      <c r="AX942" s="113"/>
      <c r="AY942" s="113"/>
      <c r="AZ942" s="113"/>
      <c r="BA942" s="113"/>
      <c r="BB942" s="113"/>
      <c r="BC942" s="113"/>
      <c r="BD942" s="113"/>
      <c r="BE942" s="113"/>
      <c r="BF942" s="113"/>
      <c r="BG942" s="113"/>
      <c r="BH942" s="113"/>
      <c r="BI942" s="113"/>
    </row>
    <row r="943" spans="1:61" s="45" customFormat="1" ht="22.15" customHeight="1">
      <c r="A943" s="1039" t="s">
        <v>879</v>
      </c>
      <c r="B943" s="564" t="s">
        <v>585</v>
      </c>
      <c r="C943" s="564">
        <v>176</v>
      </c>
      <c r="D943" s="564" t="s">
        <v>15</v>
      </c>
      <c r="E943" s="564">
        <v>6100404</v>
      </c>
      <c r="F943" s="564">
        <v>244</v>
      </c>
      <c r="G943" s="103">
        <f t="shared" si="293"/>
        <v>1.2</v>
      </c>
      <c r="H943" s="103"/>
      <c r="I943" s="103"/>
      <c r="J943" s="103"/>
      <c r="K943" s="103">
        <v>1.2</v>
      </c>
      <c r="L943" s="103"/>
      <c r="M943" s="679">
        <v>1</v>
      </c>
      <c r="N943" s="564"/>
      <c r="O943" s="1037" t="s">
        <v>599</v>
      </c>
      <c r="AJ943" s="113"/>
      <c r="AK943" s="113"/>
      <c r="AL943" s="113"/>
      <c r="AM943" s="113"/>
      <c r="AN943" s="113"/>
      <c r="AO943" s="113"/>
      <c r="AP943" s="113"/>
      <c r="AQ943" s="113"/>
      <c r="AR943" s="113"/>
      <c r="AS943" s="113"/>
      <c r="AT943" s="113"/>
      <c r="AU943" s="113"/>
      <c r="AV943" s="113"/>
      <c r="AW943" s="113"/>
      <c r="AX943" s="113"/>
      <c r="AY943" s="113"/>
      <c r="AZ943" s="113"/>
      <c r="BA943" s="113"/>
      <c r="BB943" s="113"/>
      <c r="BC943" s="113"/>
      <c r="BD943" s="113"/>
      <c r="BE943" s="113"/>
      <c r="BF943" s="113"/>
      <c r="BG943" s="113"/>
      <c r="BH943" s="113"/>
      <c r="BI943" s="113"/>
    </row>
    <row r="944" spans="1:61" s="45" customFormat="1" ht="24.75" customHeight="1">
      <c r="A944" s="1039"/>
      <c r="B944" s="564" t="s">
        <v>25</v>
      </c>
      <c r="C944" s="564"/>
      <c r="D944" s="564"/>
      <c r="E944" s="564"/>
      <c r="F944" s="564"/>
      <c r="G944" s="103">
        <f t="shared" si="293"/>
        <v>14365.2</v>
      </c>
      <c r="H944" s="103"/>
      <c r="I944" s="103"/>
      <c r="J944" s="103"/>
      <c r="K944" s="103">
        <f>K945+K946</f>
        <v>14365.2</v>
      </c>
      <c r="L944" s="103">
        <f>L945+L946</f>
        <v>0</v>
      </c>
      <c r="M944" s="679">
        <f>M945+M946</f>
        <v>12474.2</v>
      </c>
      <c r="N944" s="564"/>
      <c r="O944" s="1037"/>
      <c r="AJ944" s="113"/>
      <c r="AK944" s="113"/>
      <c r="AL944" s="113"/>
      <c r="AM944" s="113"/>
      <c r="AN944" s="113"/>
      <c r="AO944" s="113"/>
      <c r="AP944" s="113"/>
      <c r="AQ944" s="113"/>
      <c r="AR944" s="113"/>
      <c r="AS944" s="113"/>
      <c r="AT944" s="113"/>
      <c r="AU944" s="113"/>
      <c r="AV944" s="113"/>
      <c r="AW944" s="113"/>
      <c r="AX944" s="113"/>
      <c r="AY944" s="113"/>
      <c r="AZ944" s="113"/>
      <c r="BA944" s="113"/>
      <c r="BB944" s="113"/>
      <c r="BC944" s="113"/>
      <c r="BD944" s="113"/>
      <c r="BE944" s="113"/>
      <c r="BF944" s="113"/>
      <c r="BG944" s="113"/>
      <c r="BH944" s="113"/>
      <c r="BI944" s="113"/>
    </row>
    <row r="945" spans="1:61" s="45" customFormat="1" ht="22.15" customHeight="1">
      <c r="A945" s="1039"/>
      <c r="B945" s="564" t="s">
        <v>10</v>
      </c>
      <c r="C945" s="564"/>
      <c r="D945" s="564"/>
      <c r="E945" s="564"/>
      <c r="F945" s="564"/>
      <c r="G945" s="103">
        <f t="shared" si="293"/>
        <v>14365.2</v>
      </c>
      <c r="H945" s="103"/>
      <c r="I945" s="103"/>
      <c r="J945" s="103"/>
      <c r="K945" s="103">
        <v>14365.2</v>
      </c>
      <c r="L945" s="103">
        <f>16000-16000</f>
        <v>0</v>
      </c>
      <c r="M945" s="679">
        <v>12474.2</v>
      </c>
      <c r="N945" s="564"/>
      <c r="O945" s="1037"/>
      <c r="AJ945" s="113"/>
      <c r="AK945" s="113"/>
      <c r="AL945" s="113"/>
      <c r="AM945" s="113"/>
      <c r="AN945" s="113"/>
      <c r="AO945" s="113"/>
      <c r="AP945" s="113"/>
      <c r="AQ945" s="113"/>
      <c r="AR945" s="113"/>
      <c r="AS945" s="113"/>
      <c r="AT945" s="113"/>
      <c r="AU945" s="113"/>
      <c r="AV945" s="113"/>
      <c r="AW945" s="113"/>
      <c r="AX945" s="113"/>
      <c r="AY945" s="113"/>
      <c r="AZ945" s="113"/>
      <c r="BA945" s="113"/>
      <c r="BB945" s="113"/>
      <c r="BC945" s="113"/>
      <c r="BD945" s="113"/>
      <c r="BE945" s="113"/>
      <c r="BF945" s="113"/>
      <c r="BG945" s="113"/>
      <c r="BH945" s="113"/>
      <c r="BI945" s="113"/>
    </row>
    <row r="946" spans="1:61" ht="24.6" hidden="1" customHeight="1">
      <c r="A946" s="1039"/>
      <c r="B946" s="564" t="s">
        <v>502</v>
      </c>
      <c r="C946" s="564"/>
      <c r="D946" s="564"/>
      <c r="E946" s="564"/>
      <c r="F946" s="564"/>
      <c r="G946" s="103">
        <f t="shared" si="293"/>
        <v>0</v>
      </c>
      <c r="H946" s="103"/>
      <c r="I946" s="103"/>
      <c r="J946" s="103"/>
      <c r="K946" s="103"/>
      <c r="L946" s="103"/>
      <c r="M946" s="679">
        <v>0</v>
      </c>
      <c r="N946" s="564"/>
      <c r="O946" s="1037"/>
    </row>
    <row r="947" spans="1:61" ht="25.9" customHeight="1">
      <c r="A947" s="1038" t="s">
        <v>117</v>
      </c>
      <c r="B947" s="62" t="s">
        <v>89</v>
      </c>
      <c r="C947" s="62"/>
      <c r="D947" s="62"/>
      <c r="E947" s="62"/>
      <c r="F947" s="62"/>
      <c r="G947" s="102">
        <f t="shared" ref="G947:L947" si="295">G963+G967</f>
        <v>1.2</v>
      </c>
      <c r="H947" s="102">
        <f t="shared" si="295"/>
        <v>0</v>
      </c>
      <c r="I947" s="102">
        <f t="shared" si="295"/>
        <v>0</v>
      </c>
      <c r="J947" s="102">
        <f t="shared" si="295"/>
        <v>0</v>
      </c>
      <c r="K947" s="102">
        <f t="shared" si="295"/>
        <v>1.2</v>
      </c>
      <c r="L947" s="102">
        <f t="shared" si="295"/>
        <v>0</v>
      </c>
      <c r="M947" s="499">
        <f>M963+M951+M955+M959+M967</f>
        <v>7</v>
      </c>
      <c r="N947" s="564"/>
      <c r="O947" s="62"/>
    </row>
    <row r="948" spans="1:61" ht="25.9" customHeight="1">
      <c r="A948" s="1038"/>
      <c r="B948" s="62" t="s">
        <v>25</v>
      </c>
      <c r="C948" s="62"/>
      <c r="D948" s="62"/>
      <c r="E948" s="62"/>
      <c r="F948" s="62"/>
      <c r="G948" s="102">
        <f>G949+G950</f>
        <v>45332.5</v>
      </c>
      <c r="H948" s="102">
        <f t="shared" ref="H948:M948" si="296">H949+H950</f>
        <v>0</v>
      </c>
      <c r="I948" s="102">
        <f t="shared" si="296"/>
        <v>0</v>
      </c>
      <c r="J948" s="102">
        <f t="shared" si="296"/>
        <v>0</v>
      </c>
      <c r="K948" s="102">
        <f t="shared" si="296"/>
        <v>45332.5</v>
      </c>
      <c r="L948" s="102">
        <f t="shared" si="296"/>
        <v>18000</v>
      </c>
      <c r="M948" s="102">
        <f t="shared" si="296"/>
        <v>162454.20000000001</v>
      </c>
      <c r="N948" s="564"/>
      <c r="O948" s="62"/>
    </row>
    <row r="949" spans="1:61" ht="25.9" customHeight="1">
      <c r="A949" s="1038"/>
      <c r="B949" s="62" t="s">
        <v>10</v>
      </c>
      <c r="C949" s="62"/>
      <c r="D949" s="62"/>
      <c r="E949" s="62"/>
      <c r="F949" s="62"/>
      <c r="G949" s="102">
        <f>G953+G957+G961+G965+G969</f>
        <v>45332.5</v>
      </c>
      <c r="H949" s="102">
        <f t="shared" ref="H949:M949" si="297">H953+H957+H961+H965+H969</f>
        <v>0</v>
      </c>
      <c r="I949" s="102">
        <f t="shared" si="297"/>
        <v>0</v>
      </c>
      <c r="J949" s="102">
        <f t="shared" si="297"/>
        <v>0</v>
      </c>
      <c r="K949" s="102">
        <f t="shared" si="297"/>
        <v>45332.5</v>
      </c>
      <c r="L949" s="102">
        <f t="shared" si="297"/>
        <v>18000</v>
      </c>
      <c r="M949" s="102">
        <f t="shared" si="297"/>
        <v>162454.20000000001</v>
      </c>
      <c r="N949" s="564"/>
      <c r="O949" s="62"/>
    </row>
    <row r="950" spans="1:61" s="45" customFormat="1" ht="30.6" customHeight="1">
      <c r="A950" s="1038"/>
      <c r="B950" s="62" t="s">
        <v>502</v>
      </c>
      <c r="C950" s="62"/>
      <c r="D950" s="62"/>
      <c r="E950" s="62"/>
      <c r="F950" s="62"/>
      <c r="G950" s="102">
        <f t="shared" ref="G950:M950" si="298">G966+G970</f>
        <v>0</v>
      </c>
      <c r="H950" s="102">
        <f t="shared" si="298"/>
        <v>0</v>
      </c>
      <c r="I950" s="102">
        <f t="shared" si="298"/>
        <v>0</v>
      </c>
      <c r="J950" s="102">
        <f t="shared" si="298"/>
        <v>0</v>
      </c>
      <c r="K950" s="102">
        <f t="shared" si="298"/>
        <v>0</v>
      </c>
      <c r="L950" s="102">
        <f t="shared" si="298"/>
        <v>0</v>
      </c>
      <c r="M950" s="499">
        <f t="shared" si="298"/>
        <v>0</v>
      </c>
      <c r="N950" s="564"/>
      <c r="O950" s="62"/>
      <c r="AJ950" s="113"/>
      <c r="AK950" s="113"/>
      <c r="AL950" s="113"/>
      <c r="AM950" s="113"/>
      <c r="AN950" s="113"/>
      <c r="AO950" s="113"/>
      <c r="AP950" s="113"/>
      <c r="AQ950" s="113"/>
      <c r="AR950" s="113"/>
      <c r="AS950" s="113"/>
      <c r="AT950" s="113"/>
      <c r="AU950" s="113"/>
      <c r="AV950" s="113"/>
      <c r="AW950" s="113"/>
      <c r="AX950" s="113"/>
      <c r="AY950" s="113"/>
      <c r="AZ950" s="113"/>
      <c r="BA950" s="113"/>
      <c r="BB950" s="113"/>
      <c r="BC950" s="113"/>
      <c r="BD950" s="113"/>
      <c r="BE950" s="113"/>
      <c r="BF950" s="113"/>
      <c r="BG950" s="113"/>
      <c r="BH950" s="113"/>
      <c r="BI950" s="113"/>
    </row>
    <row r="951" spans="1:61" s="45" customFormat="1" ht="24.6" customHeight="1">
      <c r="A951" s="1028" t="s">
        <v>536</v>
      </c>
      <c r="B951" s="780" t="s">
        <v>89</v>
      </c>
      <c r="C951" s="780">
        <v>176</v>
      </c>
      <c r="D951" s="780" t="s">
        <v>15</v>
      </c>
      <c r="E951" s="780">
        <v>6100404</v>
      </c>
      <c r="F951" s="780">
        <v>244</v>
      </c>
      <c r="G951" s="103">
        <v>0</v>
      </c>
      <c r="H951" s="103"/>
      <c r="I951" s="103"/>
      <c r="J951" s="103"/>
      <c r="K951" s="103"/>
      <c r="L951" s="114"/>
      <c r="M951" s="679"/>
      <c r="N951" s="780"/>
      <c r="O951" s="1030" t="s">
        <v>882</v>
      </c>
      <c r="AJ951" s="113"/>
      <c r="AK951" s="113"/>
      <c r="AL951" s="113"/>
      <c r="AM951" s="113"/>
      <c r="AN951" s="113"/>
      <c r="AO951" s="113"/>
      <c r="AP951" s="113"/>
      <c r="AQ951" s="113"/>
      <c r="AR951" s="113"/>
      <c r="AS951" s="113"/>
      <c r="AT951" s="113"/>
      <c r="AU951" s="113"/>
      <c r="AV951" s="113"/>
      <c r="AW951" s="113"/>
      <c r="AX951" s="113"/>
      <c r="AY951" s="113"/>
      <c r="AZ951" s="113"/>
      <c r="BA951" s="113"/>
      <c r="BB951" s="113"/>
      <c r="BC951" s="113"/>
      <c r="BD951" s="113"/>
      <c r="BE951" s="113"/>
      <c r="BF951" s="113"/>
      <c r="BG951" s="113"/>
      <c r="BH951" s="113"/>
      <c r="BI951" s="113"/>
    </row>
    <row r="952" spans="1:61" s="45" customFormat="1" ht="24.6" customHeight="1">
      <c r="A952" s="1036"/>
      <c r="B952" s="780" t="s">
        <v>25</v>
      </c>
      <c r="C952" s="780"/>
      <c r="D952" s="780"/>
      <c r="E952" s="780"/>
      <c r="F952" s="780"/>
      <c r="G952" s="103">
        <v>10000</v>
      </c>
      <c r="H952" s="103"/>
      <c r="I952" s="103"/>
      <c r="J952" s="103"/>
      <c r="K952" s="103">
        <v>10000</v>
      </c>
      <c r="L952" s="114">
        <v>8000</v>
      </c>
      <c r="M952" s="679">
        <v>0</v>
      </c>
      <c r="N952" s="780"/>
      <c r="O952" s="1032"/>
      <c r="AJ952" s="113"/>
      <c r="AK952" s="113"/>
      <c r="AL952" s="113"/>
      <c r="AM952" s="113"/>
      <c r="AN952" s="113"/>
      <c r="AO952" s="113"/>
      <c r="AP952" s="113"/>
      <c r="AQ952" s="113"/>
      <c r="AR952" s="113"/>
      <c r="AS952" s="113"/>
      <c r="AT952" s="113"/>
      <c r="AU952" s="113"/>
      <c r="AV952" s="113"/>
      <c r="AW952" s="113"/>
      <c r="AX952" s="113"/>
      <c r="AY952" s="113"/>
      <c r="AZ952" s="113"/>
      <c r="BA952" s="113"/>
      <c r="BB952" s="113"/>
      <c r="BC952" s="113"/>
      <c r="BD952" s="113"/>
      <c r="BE952" s="113"/>
      <c r="BF952" s="113"/>
      <c r="BG952" s="113"/>
      <c r="BH952" s="113"/>
      <c r="BI952" s="113"/>
    </row>
    <row r="953" spans="1:61" s="45" customFormat="1" ht="24.6" customHeight="1">
      <c r="A953" s="1036"/>
      <c r="B953" s="780" t="s">
        <v>10</v>
      </c>
      <c r="C953" s="780"/>
      <c r="D953" s="780"/>
      <c r="E953" s="780"/>
      <c r="F953" s="780"/>
      <c r="G953" s="103">
        <v>10000</v>
      </c>
      <c r="H953" s="103"/>
      <c r="I953" s="103"/>
      <c r="J953" s="103"/>
      <c r="K953" s="103">
        <v>10000</v>
      </c>
      <c r="L953" s="114">
        <v>8000</v>
      </c>
      <c r="M953" s="679"/>
      <c r="N953" s="780"/>
      <c r="O953" s="1032"/>
      <c r="AJ953" s="113"/>
      <c r="AK953" s="113"/>
      <c r="AL953" s="113"/>
      <c r="AM953" s="113"/>
      <c r="AN953" s="113"/>
      <c r="AO953" s="113"/>
      <c r="AP953" s="113"/>
      <c r="AQ953" s="113"/>
      <c r="AR953" s="113"/>
      <c r="AS953" s="113"/>
      <c r="AT953" s="113"/>
      <c r="AU953" s="113"/>
      <c r="AV953" s="113"/>
      <c r="AW953" s="113"/>
      <c r="AX953" s="113"/>
      <c r="AY953" s="113"/>
      <c r="AZ953" s="113"/>
      <c r="BA953" s="113"/>
      <c r="BB953" s="113"/>
      <c r="BC953" s="113"/>
      <c r="BD953" s="113"/>
      <c r="BE953" s="113"/>
      <c r="BF953" s="113"/>
      <c r="BG953" s="113"/>
      <c r="BH953" s="113"/>
      <c r="BI953" s="113"/>
    </row>
    <row r="954" spans="1:61" ht="21.75" hidden="1" customHeight="1">
      <c r="A954" s="1029"/>
      <c r="B954" s="780" t="s">
        <v>502</v>
      </c>
      <c r="C954" s="780"/>
      <c r="D954" s="780"/>
      <c r="E954" s="780"/>
      <c r="F954" s="780"/>
      <c r="G954" s="103"/>
      <c r="H954" s="103"/>
      <c r="I954" s="103"/>
      <c r="J954" s="103"/>
      <c r="K954" s="103"/>
      <c r="L954" s="103"/>
      <c r="M954" s="679"/>
      <c r="N954" s="780"/>
      <c r="O954" s="1031"/>
    </row>
    <row r="955" spans="1:61" s="45" customFormat="1" ht="24.6" customHeight="1">
      <c r="A955" s="1028" t="s">
        <v>151</v>
      </c>
      <c r="B955" s="780" t="s">
        <v>89</v>
      </c>
      <c r="C955" s="780">
        <v>176</v>
      </c>
      <c r="D955" s="780" t="s">
        <v>15</v>
      </c>
      <c r="E955" s="780">
        <v>6100404</v>
      </c>
      <c r="F955" s="780">
        <v>244</v>
      </c>
      <c r="G955" s="103">
        <f>K955</f>
        <v>0</v>
      </c>
      <c r="H955" s="103"/>
      <c r="I955" s="103"/>
      <c r="J955" s="103"/>
      <c r="K955" s="103"/>
      <c r="L955" s="114"/>
      <c r="M955" s="679"/>
      <c r="N955" s="780"/>
      <c r="O955" s="1030" t="s">
        <v>882</v>
      </c>
      <c r="AJ955" s="113"/>
      <c r="AK955" s="113"/>
      <c r="AL955" s="113"/>
      <c r="AM955" s="113"/>
      <c r="AN955" s="113"/>
      <c r="AO955" s="113"/>
      <c r="AP955" s="113"/>
      <c r="AQ955" s="113"/>
      <c r="AR955" s="113"/>
      <c r="AS955" s="113"/>
      <c r="AT955" s="113"/>
      <c r="AU955" s="113"/>
      <c r="AV955" s="113"/>
      <c r="AW955" s="113"/>
      <c r="AX955" s="113"/>
      <c r="AY955" s="113"/>
      <c r="AZ955" s="113"/>
      <c r="BA955" s="113"/>
      <c r="BB955" s="113"/>
      <c r="BC955" s="113"/>
      <c r="BD955" s="113"/>
      <c r="BE955" s="113"/>
      <c r="BF955" s="113"/>
      <c r="BG955" s="113"/>
      <c r="BH955" s="113"/>
      <c r="BI955" s="113"/>
    </row>
    <row r="956" spans="1:61" s="45" customFormat="1" ht="24.6" customHeight="1">
      <c r="A956" s="1036"/>
      <c r="B956" s="780" t="s">
        <v>25</v>
      </c>
      <c r="C956" s="780"/>
      <c r="D956" s="780"/>
      <c r="E956" s="780"/>
      <c r="F956" s="780"/>
      <c r="G956" s="103">
        <f t="shared" ref="G956:G957" si="299">K956</f>
        <v>0</v>
      </c>
      <c r="H956" s="103"/>
      <c r="I956" s="103"/>
      <c r="J956" s="103"/>
      <c r="K956" s="103"/>
      <c r="L956" s="114">
        <f>L957</f>
        <v>0</v>
      </c>
      <c r="M956" s="678">
        <f>M957</f>
        <v>30000</v>
      </c>
      <c r="N956" s="780"/>
      <c r="O956" s="1032"/>
      <c r="AJ956" s="113"/>
      <c r="AK956" s="113"/>
      <c r="AL956" s="113"/>
      <c r="AM956" s="113"/>
      <c r="AN956" s="113"/>
      <c r="AO956" s="113"/>
      <c r="AP956" s="113"/>
      <c r="AQ956" s="113"/>
      <c r="AR956" s="113"/>
      <c r="AS956" s="113"/>
      <c r="AT956" s="113"/>
      <c r="AU956" s="113"/>
      <c r="AV956" s="113"/>
      <c r="AW956" s="113"/>
      <c r="AX956" s="113"/>
      <c r="AY956" s="113"/>
      <c r="AZ956" s="113"/>
      <c r="BA956" s="113"/>
      <c r="BB956" s="113"/>
      <c r="BC956" s="113"/>
      <c r="BD956" s="113"/>
      <c r="BE956" s="113"/>
      <c r="BF956" s="113"/>
      <c r="BG956" s="113"/>
      <c r="BH956" s="113"/>
      <c r="BI956" s="113"/>
    </row>
    <row r="957" spans="1:61" s="45" customFormat="1" ht="24.6" customHeight="1">
      <c r="A957" s="1036"/>
      <c r="B957" s="780" t="s">
        <v>10</v>
      </c>
      <c r="C957" s="780"/>
      <c r="D957" s="780"/>
      <c r="E957" s="780"/>
      <c r="F957" s="780"/>
      <c r="G957" s="103">
        <f t="shared" si="299"/>
        <v>0</v>
      </c>
      <c r="H957" s="103"/>
      <c r="I957" s="103"/>
      <c r="J957" s="103"/>
      <c r="K957" s="103">
        <v>0</v>
      </c>
      <c r="L957" s="114">
        <v>0</v>
      </c>
      <c r="M957" s="679">
        <v>30000</v>
      </c>
      <c r="N957" s="780"/>
      <c r="O957" s="1032"/>
      <c r="AJ957" s="113"/>
      <c r="AK957" s="113"/>
      <c r="AL957" s="113"/>
      <c r="AM957" s="113"/>
      <c r="AN957" s="113"/>
      <c r="AO957" s="113"/>
      <c r="AP957" s="113"/>
      <c r="AQ957" s="113"/>
      <c r="AR957" s="113"/>
      <c r="AS957" s="113"/>
      <c r="AT957" s="113"/>
      <c r="AU957" s="113"/>
      <c r="AV957" s="113"/>
      <c r="AW957" s="113"/>
      <c r="AX957" s="113"/>
      <c r="AY957" s="113"/>
      <c r="AZ957" s="113"/>
      <c r="BA957" s="113"/>
      <c r="BB957" s="113"/>
      <c r="BC957" s="113"/>
      <c r="BD957" s="113"/>
      <c r="BE957" s="113"/>
      <c r="BF957" s="113"/>
      <c r="BG957" s="113"/>
      <c r="BH957" s="113"/>
      <c r="BI957" s="113"/>
    </row>
    <row r="958" spans="1:61" ht="12.75" hidden="1" customHeight="1">
      <c r="A958" s="1029"/>
      <c r="B958" s="780" t="s">
        <v>502</v>
      </c>
      <c r="C958" s="780"/>
      <c r="D958" s="780"/>
      <c r="E958" s="780"/>
      <c r="F958" s="780"/>
      <c r="G958" s="103"/>
      <c r="H958" s="103"/>
      <c r="I958" s="103"/>
      <c r="J958" s="103"/>
      <c r="K958" s="103"/>
      <c r="L958" s="103"/>
      <c r="M958" s="679"/>
      <c r="N958" s="780"/>
      <c r="O958" s="1031"/>
    </row>
    <row r="959" spans="1:61" s="45" customFormat="1" ht="24.6" customHeight="1">
      <c r="A959" s="1028" t="s">
        <v>1032</v>
      </c>
      <c r="B959" s="780" t="s">
        <v>89</v>
      </c>
      <c r="C959" s="780">
        <v>176</v>
      </c>
      <c r="D959" s="780" t="s">
        <v>15</v>
      </c>
      <c r="E959" s="780">
        <v>6100404</v>
      </c>
      <c r="F959" s="780">
        <v>244</v>
      </c>
      <c r="G959" s="103">
        <f>K959</f>
        <v>0</v>
      </c>
      <c r="H959" s="103"/>
      <c r="I959" s="103"/>
      <c r="J959" s="103"/>
      <c r="K959" s="103"/>
      <c r="L959" s="114">
        <v>0</v>
      </c>
      <c r="M959" s="679">
        <v>6</v>
      </c>
      <c r="N959" s="780"/>
      <c r="O959" s="1030" t="s">
        <v>1033</v>
      </c>
      <c r="AJ959" s="113"/>
      <c r="AK959" s="113"/>
      <c r="AL959" s="113"/>
      <c r="AM959" s="113"/>
      <c r="AN959" s="113"/>
      <c r="AO959" s="113"/>
      <c r="AP959" s="113"/>
      <c r="AQ959" s="113"/>
      <c r="AR959" s="113"/>
      <c r="AS959" s="113"/>
      <c r="AT959" s="113"/>
      <c r="AU959" s="113"/>
      <c r="AV959" s="113"/>
      <c r="AW959" s="113"/>
      <c r="AX959" s="113"/>
      <c r="AY959" s="113"/>
      <c r="AZ959" s="113"/>
      <c r="BA959" s="113"/>
      <c r="BB959" s="113"/>
      <c r="BC959" s="113"/>
      <c r="BD959" s="113"/>
      <c r="BE959" s="113"/>
      <c r="BF959" s="113"/>
      <c r="BG959" s="113"/>
      <c r="BH959" s="113"/>
      <c r="BI959" s="113"/>
    </row>
    <row r="960" spans="1:61" s="45" customFormat="1" ht="24.6" customHeight="1">
      <c r="A960" s="1036"/>
      <c r="B960" s="780" t="s">
        <v>25</v>
      </c>
      <c r="C960" s="780"/>
      <c r="D960" s="780"/>
      <c r="E960" s="780"/>
      <c r="F960" s="780"/>
      <c r="G960" s="103">
        <f>G961</f>
        <v>0</v>
      </c>
      <c r="H960" s="103">
        <f t="shared" ref="H960" si="300">H961</f>
        <v>0</v>
      </c>
      <c r="I960" s="103">
        <f t="shared" ref="I960" si="301">I961</f>
        <v>0</v>
      </c>
      <c r="J960" s="103">
        <f t="shared" ref="J960" si="302">J961</f>
        <v>0</v>
      </c>
      <c r="K960" s="103">
        <f t="shared" ref="K960" si="303">K961</f>
        <v>0</v>
      </c>
      <c r="L960" s="114">
        <f>L961</f>
        <v>0</v>
      </c>
      <c r="M960" s="678">
        <f>M961</f>
        <v>120000</v>
      </c>
      <c r="N960" s="780"/>
      <c r="O960" s="1032"/>
      <c r="AJ960" s="113"/>
      <c r="AK960" s="113"/>
      <c r="AL960" s="113"/>
      <c r="AM960" s="113"/>
      <c r="AN960" s="113"/>
      <c r="AO960" s="113"/>
      <c r="AP960" s="113"/>
      <c r="AQ960" s="113"/>
      <c r="AR960" s="113"/>
      <c r="AS960" s="113"/>
      <c r="AT960" s="113"/>
      <c r="AU960" s="113"/>
      <c r="AV960" s="113"/>
      <c r="AW960" s="113"/>
      <c r="AX960" s="113"/>
      <c r="AY960" s="113"/>
      <c r="AZ960" s="113"/>
      <c r="BA960" s="113"/>
      <c r="BB960" s="113"/>
      <c r="BC960" s="113"/>
      <c r="BD960" s="113"/>
      <c r="BE960" s="113"/>
      <c r="BF960" s="113"/>
      <c r="BG960" s="113"/>
      <c r="BH960" s="113"/>
      <c r="BI960" s="113"/>
    </row>
    <row r="961" spans="1:61" s="45" customFormat="1" ht="24.6" customHeight="1">
      <c r="A961" s="1036"/>
      <c r="B961" s="780" t="s">
        <v>10</v>
      </c>
      <c r="C961" s="780"/>
      <c r="D961" s="780"/>
      <c r="E961" s="780"/>
      <c r="F961" s="780"/>
      <c r="G961" s="103">
        <f t="shared" ref="G961" si="304">K961</f>
        <v>0</v>
      </c>
      <c r="H961" s="103"/>
      <c r="I961" s="103"/>
      <c r="J961" s="103"/>
      <c r="K961" s="103">
        <v>0</v>
      </c>
      <c r="L961" s="114">
        <v>0</v>
      </c>
      <c r="M961" s="679">
        <v>120000</v>
      </c>
      <c r="N961" s="780"/>
      <c r="O961" s="1032"/>
      <c r="AJ961" s="113"/>
      <c r="AK961" s="113"/>
      <c r="AL961" s="113"/>
      <c r="AM961" s="113"/>
      <c r="AN961" s="113"/>
      <c r="AO961" s="113"/>
      <c r="AP961" s="113"/>
      <c r="AQ961" s="113"/>
      <c r="AR961" s="113"/>
      <c r="AS961" s="113"/>
      <c r="AT961" s="113"/>
      <c r="AU961" s="113"/>
      <c r="AV961" s="113"/>
      <c r="AW961" s="113"/>
      <c r="AX961" s="113"/>
      <c r="AY961" s="113"/>
      <c r="AZ961" s="113"/>
      <c r="BA961" s="113"/>
      <c r="BB961" s="113"/>
      <c r="BC961" s="113"/>
      <c r="BD961" s="113"/>
      <c r="BE961" s="113"/>
      <c r="BF961" s="113"/>
      <c r="BG961" s="113"/>
      <c r="BH961" s="113"/>
      <c r="BI961" s="113"/>
    </row>
    <row r="962" spans="1:61" ht="7.5" hidden="1" customHeight="1">
      <c r="A962" s="1029"/>
      <c r="B962" s="780" t="s">
        <v>502</v>
      </c>
      <c r="C962" s="780"/>
      <c r="D962" s="780"/>
      <c r="E962" s="780"/>
      <c r="F962" s="780"/>
      <c r="G962" s="103"/>
      <c r="H962" s="103"/>
      <c r="I962" s="103"/>
      <c r="J962" s="103"/>
      <c r="K962" s="103"/>
      <c r="L962" s="103"/>
      <c r="M962" s="679"/>
      <c r="N962" s="780"/>
      <c r="O962" s="1031"/>
    </row>
    <row r="963" spans="1:61" s="45" customFormat="1" ht="24.6" customHeight="1">
      <c r="A963" s="1028" t="s">
        <v>587</v>
      </c>
      <c r="B963" s="780" t="s">
        <v>89</v>
      </c>
      <c r="C963" s="780">
        <v>176</v>
      </c>
      <c r="D963" s="780" t="s">
        <v>15</v>
      </c>
      <c r="E963" s="780">
        <v>6100404</v>
      </c>
      <c r="F963" s="780">
        <v>244</v>
      </c>
      <c r="G963" s="103">
        <f>K963</f>
        <v>0</v>
      </c>
      <c r="H963" s="103"/>
      <c r="I963" s="103"/>
      <c r="J963" s="103"/>
      <c r="K963" s="103"/>
      <c r="L963" s="114">
        <v>0</v>
      </c>
      <c r="M963" s="679"/>
      <c r="N963" s="780"/>
      <c r="O963" s="1030" t="s">
        <v>882</v>
      </c>
      <c r="AJ963" s="113"/>
      <c r="AK963" s="113"/>
      <c r="AL963" s="113"/>
      <c r="AM963" s="113"/>
      <c r="AN963" s="113"/>
      <c r="AO963" s="113"/>
      <c r="AP963" s="113"/>
      <c r="AQ963" s="113"/>
      <c r="AR963" s="113"/>
      <c r="AS963" s="113"/>
      <c r="AT963" s="113"/>
      <c r="AU963" s="113"/>
      <c r="AV963" s="113"/>
      <c r="AW963" s="113"/>
      <c r="AX963" s="113"/>
      <c r="AY963" s="113"/>
      <c r="AZ963" s="113"/>
      <c r="BA963" s="113"/>
      <c r="BB963" s="113"/>
      <c r="BC963" s="113"/>
      <c r="BD963" s="113"/>
      <c r="BE963" s="113"/>
      <c r="BF963" s="113"/>
      <c r="BG963" s="113"/>
      <c r="BH963" s="113"/>
      <c r="BI963" s="113"/>
    </row>
    <row r="964" spans="1:61" s="45" customFormat="1" ht="24.6" customHeight="1">
      <c r="A964" s="1036"/>
      <c r="B964" s="780" t="s">
        <v>25</v>
      </c>
      <c r="C964" s="780"/>
      <c r="D964" s="780"/>
      <c r="E964" s="780"/>
      <c r="F964" s="780"/>
      <c r="G964" s="103">
        <f>G965</f>
        <v>1000</v>
      </c>
      <c r="H964" s="103">
        <f t="shared" ref="H964:K964" si="305">H965</f>
        <v>0</v>
      </c>
      <c r="I964" s="103">
        <f t="shared" si="305"/>
        <v>0</v>
      </c>
      <c r="J964" s="103">
        <f t="shared" si="305"/>
        <v>0</v>
      </c>
      <c r="K964" s="103">
        <f t="shared" si="305"/>
        <v>1000</v>
      </c>
      <c r="L964" s="114">
        <f>L965</f>
        <v>0</v>
      </c>
      <c r="M964" s="679">
        <v>0</v>
      </c>
      <c r="N964" s="780"/>
      <c r="O964" s="1032"/>
      <c r="AJ964" s="113"/>
      <c r="AK964" s="113"/>
      <c r="AL964" s="113"/>
      <c r="AM964" s="113"/>
      <c r="AN964" s="113"/>
      <c r="AO964" s="113"/>
      <c r="AP964" s="113"/>
      <c r="AQ964" s="113"/>
      <c r="AR964" s="113"/>
      <c r="AS964" s="113"/>
      <c r="AT964" s="113"/>
      <c r="AU964" s="113"/>
      <c r="AV964" s="113"/>
      <c r="AW964" s="113"/>
      <c r="AX964" s="113"/>
      <c r="AY964" s="113"/>
      <c r="AZ964" s="113"/>
      <c r="BA964" s="113"/>
      <c r="BB964" s="113"/>
      <c r="BC964" s="113"/>
      <c r="BD964" s="113"/>
      <c r="BE964" s="113"/>
      <c r="BF964" s="113"/>
      <c r="BG964" s="113"/>
      <c r="BH964" s="113"/>
      <c r="BI964" s="113"/>
    </row>
    <row r="965" spans="1:61" s="45" customFormat="1" ht="24.6" customHeight="1">
      <c r="A965" s="1036"/>
      <c r="B965" s="780" t="s">
        <v>10</v>
      </c>
      <c r="C965" s="780"/>
      <c r="D965" s="780"/>
      <c r="E965" s="780"/>
      <c r="F965" s="780"/>
      <c r="G965" s="103">
        <f t="shared" ref="G965" si="306">K965</f>
        <v>1000</v>
      </c>
      <c r="H965" s="103"/>
      <c r="I965" s="103"/>
      <c r="J965" s="103"/>
      <c r="K965" s="103">
        <v>1000</v>
      </c>
      <c r="L965" s="114">
        <v>0</v>
      </c>
      <c r="M965" s="679"/>
      <c r="N965" s="780"/>
      <c r="O965" s="1032"/>
      <c r="AJ965" s="113"/>
      <c r="AK965" s="113"/>
      <c r="AL965" s="113"/>
      <c r="AM965" s="113"/>
      <c r="AN965" s="113"/>
      <c r="AO965" s="113"/>
      <c r="AP965" s="113"/>
      <c r="AQ965" s="113"/>
      <c r="AR965" s="113"/>
      <c r="AS965" s="113"/>
      <c r="AT965" s="113"/>
      <c r="AU965" s="113"/>
      <c r="AV965" s="113"/>
      <c r="AW965" s="113"/>
      <c r="AX965" s="113"/>
      <c r="AY965" s="113"/>
      <c r="AZ965" s="113"/>
      <c r="BA965" s="113"/>
      <c r="BB965" s="113"/>
      <c r="BC965" s="113"/>
      <c r="BD965" s="113"/>
      <c r="BE965" s="113"/>
      <c r="BF965" s="113"/>
      <c r="BG965" s="113"/>
      <c r="BH965" s="113"/>
      <c r="BI965" s="113"/>
    </row>
    <row r="966" spans="1:61" ht="7.5" hidden="1" customHeight="1">
      <c r="A966" s="1029"/>
      <c r="B966" s="780" t="s">
        <v>502</v>
      </c>
      <c r="C966" s="780"/>
      <c r="D966" s="780"/>
      <c r="E966" s="780"/>
      <c r="F966" s="780"/>
      <c r="G966" s="103"/>
      <c r="H966" s="103"/>
      <c r="I966" s="103"/>
      <c r="J966" s="103"/>
      <c r="K966" s="103"/>
      <c r="L966" s="103"/>
      <c r="M966" s="679"/>
      <c r="N966" s="780"/>
      <c r="O966" s="1031"/>
    </row>
    <row r="967" spans="1:61" ht="26.45" customHeight="1">
      <c r="A967" s="655" t="s">
        <v>879</v>
      </c>
      <c r="B967" s="564" t="s">
        <v>89</v>
      </c>
      <c r="C967" s="564"/>
      <c r="D967" s="564"/>
      <c r="E967" s="564"/>
      <c r="F967" s="564"/>
      <c r="G967" s="103">
        <f>K967</f>
        <v>1.2</v>
      </c>
      <c r="H967" s="103"/>
      <c r="I967" s="103"/>
      <c r="J967" s="103"/>
      <c r="K967" s="103">
        <v>1.2</v>
      </c>
      <c r="L967" s="103"/>
      <c r="M967" s="679">
        <v>1</v>
      </c>
      <c r="N967" s="564"/>
      <c r="O967" s="1030" t="s">
        <v>1069</v>
      </c>
    </row>
    <row r="968" spans="1:61" ht="26.45" customHeight="1">
      <c r="A968" s="713"/>
      <c r="B968" s="564" t="s">
        <v>25</v>
      </c>
      <c r="C968" s="564"/>
      <c r="D968" s="564"/>
      <c r="E968" s="564"/>
      <c r="F968" s="564"/>
      <c r="G968" s="103">
        <f t="shared" ref="G968:G970" si="307">K968</f>
        <v>34332.5</v>
      </c>
      <c r="H968" s="103"/>
      <c r="I968" s="103"/>
      <c r="J968" s="103"/>
      <c r="K968" s="103">
        <f>K969+K970</f>
        <v>34332.5</v>
      </c>
      <c r="L968" s="103">
        <f>L969+L970</f>
        <v>10000</v>
      </c>
      <c r="M968" s="679">
        <f>M969+M970</f>
        <v>12454.2</v>
      </c>
      <c r="N968" s="564"/>
      <c r="O968" s="1032"/>
    </row>
    <row r="969" spans="1:61" ht="26.45" customHeight="1">
      <c r="A969" s="713"/>
      <c r="B969" s="564" t="s">
        <v>10</v>
      </c>
      <c r="C969" s="564"/>
      <c r="D969" s="564"/>
      <c r="E969" s="564"/>
      <c r="F969" s="564"/>
      <c r="G969" s="103">
        <f t="shared" si="307"/>
        <v>34332.5</v>
      </c>
      <c r="H969" s="103"/>
      <c r="I969" s="103"/>
      <c r="J969" s="103"/>
      <c r="K969" s="103">
        <f>14332.5+20000</f>
        <v>34332.5</v>
      </c>
      <c r="L969" s="103">
        <f>18776+1000-18776+9000</f>
        <v>10000</v>
      </c>
      <c r="M969" s="679">
        <v>12454.2</v>
      </c>
      <c r="N969" s="564"/>
      <c r="O969" s="1032"/>
    </row>
    <row r="970" spans="1:61" ht="26.45" customHeight="1">
      <c r="A970" s="77"/>
      <c r="B970" s="564" t="s">
        <v>502</v>
      </c>
      <c r="C970" s="564"/>
      <c r="D970" s="564"/>
      <c r="E970" s="564"/>
      <c r="F970" s="564"/>
      <c r="G970" s="103">
        <f t="shared" si="307"/>
        <v>0</v>
      </c>
      <c r="H970" s="103"/>
      <c r="I970" s="103"/>
      <c r="J970" s="103"/>
      <c r="K970" s="103"/>
      <c r="L970" s="103"/>
      <c r="M970" s="679"/>
      <c r="N970" s="564"/>
      <c r="O970" s="1031"/>
    </row>
    <row r="971" spans="1:61" ht="24.6" customHeight="1">
      <c r="A971" s="1038" t="s">
        <v>153</v>
      </c>
      <c r="B971" s="62" t="s">
        <v>89</v>
      </c>
      <c r="C971" s="62"/>
      <c r="D971" s="62"/>
      <c r="E971" s="62"/>
      <c r="F971" s="62"/>
      <c r="G971" s="102">
        <f>K971</f>
        <v>3</v>
      </c>
      <c r="H971" s="102"/>
      <c r="I971" s="102"/>
      <c r="J971" s="102"/>
      <c r="K971" s="102">
        <f>K981</f>
        <v>3</v>
      </c>
      <c r="L971" s="102">
        <f t="shared" ref="H971:M972" si="308">L973+L975+L977+L979+L981</f>
        <v>0</v>
      </c>
      <c r="M971" s="499">
        <f t="shared" si="308"/>
        <v>1.3</v>
      </c>
      <c r="N971" s="564"/>
      <c r="O971" s="62"/>
    </row>
    <row r="972" spans="1:61" ht="30" customHeight="1">
      <c r="A972" s="1038"/>
      <c r="B972" s="62" t="s">
        <v>248</v>
      </c>
      <c r="C972" s="62"/>
      <c r="D972" s="62"/>
      <c r="E972" s="62"/>
      <c r="F972" s="62"/>
      <c r="G972" s="102">
        <f t="shared" ref="G972:G982" si="309">K972</f>
        <v>20301.900000000001</v>
      </c>
      <c r="H972" s="102">
        <f t="shared" si="308"/>
        <v>0</v>
      </c>
      <c r="I972" s="102">
        <f t="shared" si="308"/>
        <v>0</v>
      </c>
      <c r="J972" s="102">
        <f t="shared" si="308"/>
        <v>0</v>
      </c>
      <c r="K972" s="102">
        <f t="shared" si="308"/>
        <v>20301.900000000001</v>
      </c>
      <c r="L972" s="102">
        <f t="shared" si="308"/>
        <v>0</v>
      </c>
      <c r="M972" s="499">
        <f t="shared" si="308"/>
        <v>16250.8</v>
      </c>
      <c r="N972" s="564"/>
      <c r="O972" s="62"/>
    </row>
    <row r="973" spans="1:61" ht="24.6" hidden="1" customHeight="1">
      <c r="A973" s="1039" t="s">
        <v>152</v>
      </c>
      <c r="B973" s="564" t="s">
        <v>89</v>
      </c>
      <c r="C973" s="564">
        <v>176</v>
      </c>
      <c r="D973" s="564" t="s">
        <v>15</v>
      </c>
      <c r="E973" s="564">
        <v>6100404</v>
      </c>
      <c r="F973" s="564">
        <v>244</v>
      </c>
      <c r="G973" s="102">
        <f t="shared" si="309"/>
        <v>0</v>
      </c>
      <c r="H973" s="103"/>
      <c r="I973" s="103"/>
      <c r="J973" s="103"/>
      <c r="K973" s="103"/>
      <c r="L973" s="103"/>
      <c r="M973" s="679"/>
      <c r="N973" s="564"/>
      <c r="O973" s="1037" t="s">
        <v>788</v>
      </c>
    </row>
    <row r="974" spans="1:61" ht="24" hidden="1" customHeight="1">
      <c r="A974" s="1039"/>
      <c r="B974" s="564" t="s">
        <v>248</v>
      </c>
      <c r="C974" s="564"/>
      <c r="D974" s="564"/>
      <c r="E974" s="564"/>
      <c r="F974" s="564"/>
      <c r="G974" s="102">
        <f t="shared" si="309"/>
        <v>0</v>
      </c>
      <c r="H974" s="103"/>
      <c r="I974" s="103"/>
      <c r="J974" s="103"/>
      <c r="K974" s="103"/>
      <c r="L974" s="103"/>
      <c r="M974" s="679"/>
      <c r="N974" s="564"/>
      <c r="O974" s="1037"/>
    </row>
    <row r="975" spans="1:61" ht="24.6" hidden="1" customHeight="1">
      <c r="A975" s="1039" t="s">
        <v>588</v>
      </c>
      <c r="B975" s="564" t="s">
        <v>89</v>
      </c>
      <c r="C975" s="564">
        <v>176</v>
      </c>
      <c r="D975" s="564" t="s">
        <v>15</v>
      </c>
      <c r="E975" s="564">
        <v>6100404</v>
      </c>
      <c r="F975" s="564">
        <v>244</v>
      </c>
      <c r="G975" s="102">
        <f t="shared" si="309"/>
        <v>0</v>
      </c>
      <c r="H975" s="103"/>
      <c r="I975" s="103"/>
      <c r="J975" s="103"/>
      <c r="K975" s="103"/>
      <c r="L975" s="103"/>
      <c r="M975" s="679"/>
      <c r="N975" s="564"/>
      <c r="O975" s="1037" t="s">
        <v>589</v>
      </c>
    </row>
    <row r="976" spans="1:61" ht="24.6" hidden="1" customHeight="1">
      <c r="A976" s="1039"/>
      <c r="B976" s="564" t="s">
        <v>248</v>
      </c>
      <c r="C976" s="564"/>
      <c r="D976" s="564"/>
      <c r="E976" s="564"/>
      <c r="F976" s="564"/>
      <c r="G976" s="102">
        <f t="shared" si="309"/>
        <v>0</v>
      </c>
      <c r="H976" s="103"/>
      <c r="I976" s="103"/>
      <c r="J976" s="103"/>
      <c r="K976" s="103"/>
      <c r="L976" s="103"/>
      <c r="M976" s="679"/>
      <c r="N976" s="564"/>
      <c r="O976" s="1037"/>
    </row>
    <row r="977" spans="1:61" ht="0.6" hidden="1" customHeight="1">
      <c r="A977" s="1039" t="s">
        <v>123</v>
      </c>
      <c r="B977" s="564" t="s">
        <v>89</v>
      </c>
      <c r="C977" s="564">
        <v>176</v>
      </c>
      <c r="D977" s="564" t="s">
        <v>15</v>
      </c>
      <c r="E977" s="564">
        <v>6100404</v>
      </c>
      <c r="F977" s="564">
        <v>243</v>
      </c>
      <c r="G977" s="102">
        <f t="shared" si="309"/>
        <v>0</v>
      </c>
      <c r="H977" s="103"/>
      <c r="I977" s="103"/>
      <c r="J977" s="103"/>
      <c r="K977" s="103"/>
      <c r="L977" s="103"/>
      <c r="M977" s="679"/>
      <c r="N977" s="564"/>
      <c r="O977" s="1037" t="s">
        <v>256</v>
      </c>
    </row>
    <row r="978" spans="1:61" ht="25.15" hidden="1" customHeight="1">
      <c r="A978" s="1039"/>
      <c r="B978" s="564" t="s">
        <v>248</v>
      </c>
      <c r="C978" s="564"/>
      <c r="D978" s="564"/>
      <c r="E978" s="564"/>
      <c r="F978" s="564"/>
      <c r="G978" s="102">
        <f t="shared" si="309"/>
        <v>0</v>
      </c>
      <c r="H978" s="103"/>
      <c r="I978" s="103"/>
      <c r="J978" s="103"/>
      <c r="K978" s="103"/>
      <c r="L978" s="103"/>
      <c r="M978" s="679"/>
      <c r="N978" s="564"/>
      <c r="O978" s="1037"/>
    </row>
    <row r="979" spans="1:61" ht="25.15" hidden="1" customHeight="1">
      <c r="A979" s="1039" t="s">
        <v>159</v>
      </c>
      <c r="B979" s="564" t="s">
        <v>89</v>
      </c>
      <c r="C979" s="564"/>
      <c r="D979" s="564"/>
      <c r="E979" s="564"/>
      <c r="F979" s="564"/>
      <c r="G979" s="102">
        <f t="shared" si="309"/>
        <v>0</v>
      </c>
      <c r="H979" s="103"/>
      <c r="I979" s="103"/>
      <c r="J979" s="103"/>
      <c r="K979" s="103"/>
      <c r="L979" s="103"/>
      <c r="M979" s="679"/>
      <c r="N979" s="564"/>
      <c r="O979" s="1037" t="s">
        <v>295</v>
      </c>
    </row>
    <row r="980" spans="1:61" s="45" customFormat="1" ht="24.95" hidden="1" customHeight="1">
      <c r="A980" s="1039"/>
      <c r="B980" s="564" t="s">
        <v>248</v>
      </c>
      <c r="C980" s="564"/>
      <c r="D980" s="564"/>
      <c r="E980" s="564"/>
      <c r="F980" s="564"/>
      <c r="G980" s="102">
        <f t="shared" si="309"/>
        <v>0</v>
      </c>
      <c r="H980" s="103"/>
      <c r="I980" s="103"/>
      <c r="J980" s="103"/>
      <c r="K980" s="103"/>
      <c r="L980" s="103"/>
      <c r="M980" s="679"/>
      <c r="N980" s="564"/>
      <c r="O980" s="1037"/>
      <c r="AJ980" s="113"/>
      <c r="AK980" s="113"/>
      <c r="AL980" s="113"/>
      <c r="AM980" s="113"/>
      <c r="AN980" s="113"/>
      <c r="AO980" s="113"/>
      <c r="AP980" s="113"/>
      <c r="AQ980" s="113"/>
      <c r="AR980" s="113"/>
      <c r="AS980" s="113"/>
      <c r="AT980" s="113"/>
      <c r="AU980" s="113"/>
      <c r="AV980" s="113"/>
      <c r="AW980" s="113"/>
      <c r="AX980" s="113"/>
      <c r="AY980" s="113"/>
      <c r="AZ980" s="113"/>
      <c r="BA980" s="113"/>
      <c r="BB980" s="113"/>
      <c r="BC980" s="113"/>
      <c r="BD980" s="113"/>
      <c r="BE980" s="113"/>
      <c r="BF980" s="113"/>
      <c r="BG980" s="113"/>
      <c r="BH980" s="113"/>
      <c r="BI980" s="113"/>
    </row>
    <row r="981" spans="1:61" s="45" customFormat="1" ht="24.95" customHeight="1">
      <c r="A981" s="1050" t="s">
        <v>879</v>
      </c>
      <c r="B981" s="564" t="s">
        <v>89</v>
      </c>
      <c r="C981" s="564"/>
      <c r="D981" s="564"/>
      <c r="E981" s="564"/>
      <c r="F981" s="564"/>
      <c r="G981" s="103">
        <f t="shared" si="309"/>
        <v>3</v>
      </c>
      <c r="H981" s="103"/>
      <c r="I981" s="103"/>
      <c r="J981" s="103"/>
      <c r="K981" s="103">
        <v>3</v>
      </c>
      <c r="L981" s="103"/>
      <c r="M981" s="679">
        <v>1.3</v>
      </c>
      <c r="N981" s="564"/>
      <c r="O981" s="1037" t="s">
        <v>1070</v>
      </c>
      <c r="AJ981" s="113"/>
      <c r="AK981" s="113"/>
      <c r="AL981" s="113"/>
      <c r="AM981" s="113"/>
      <c r="AN981" s="113"/>
      <c r="AO981" s="113"/>
      <c r="AP981" s="113"/>
      <c r="AQ981" s="113"/>
      <c r="AR981" s="113"/>
      <c r="AS981" s="113"/>
      <c r="AT981" s="113"/>
      <c r="AU981" s="113"/>
      <c r="AV981" s="113"/>
      <c r="AW981" s="113"/>
      <c r="AX981" s="113"/>
      <c r="AY981" s="113"/>
      <c r="AZ981" s="113"/>
      <c r="BA981" s="113"/>
      <c r="BB981" s="113"/>
      <c r="BC981" s="113"/>
      <c r="BD981" s="113"/>
      <c r="BE981" s="113"/>
      <c r="BF981" s="113"/>
      <c r="BG981" s="113"/>
      <c r="BH981" s="113"/>
      <c r="BI981" s="113"/>
    </row>
    <row r="982" spans="1:61" ht="24.95" customHeight="1">
      <c r="A982" s="1051"/>
      <c r="B982" s="564" t="s">
        <v>248</v>
      </c>
      <c r="C982" s="564"/>
      <c r="D982" s="564"/>
      <c r="E982" s="564"/>
      <c r="F982" s="564"/>
      <c r="G982" s="103">
        <f t="shared" si="309"/>
        <v>20301.900000000001</v>
      </c>
      <c r="H982" s="103"/>
      <c r="I982" s="103"/>
      <c r="J982" s="103"/>
      <c r="K982" s="103">
        <f>20301.9</f>
        <v>20301.900000000001</v>
      </c>
      <c r="L982" s="103">
        <v>0</v>
      </c>
      <c r="M982" s="679">
        <f>16250.8+0</f>
        <v>16250.8</v>
      </c>
      <c r="N982" s="564"/>
      <c r="O982" s="1037"/>
    </row>
    <row r="983" spans="1:61" ht="24.6" customHeight="1">
      <c r="A983" s="1038" t="s">
        <v>119</v>
      </c>
      <c r="B983" s="62" t="s">
        <v>89</v>
      </c>
      <c r="C983" s="62"/>
      <c r="D983" s="62"/>
      <c r="E983" s="62"/>
      <c r="F983" s="62"/>
      <c r="G983" s="102">
        <f>G985+G987</f>
        <v>1</v>
      </c>
      <c r="H983" s="102">
        <f t="shared" ref="H983:M984" si="310">H985+H987</f>
        <v>0</v>
      </c>
      <c r="I983" s="102">
        <f t="shared" si="310"/>
        <v>0</v>
      </c>
      <c r="J983" s="102">
        <f t="shared" si="310"/>
        <v>0</v>
      </c>
      <c r="K983" s="102">
        <f t="shared" si="310"/>
        <v>1</v>
      </c>
      <c r="L983" s="102">
        <f t="shared" si="310"/>
        <v>0</v>
      </c>
      <c r="M983" s="499">
        <f t="shared" si="310"/>
        <v>0.8</v>
      </c>
      <c r="N983" s="564"/>
      <c r="O983" s="62"/>
    </row>
    <row r="984" spans="1:61" s="45" customFormat="1" ht="24.6" customHeight="1">
      <c r="A984" s="1038"/>
      <c r="B984" s="62" t="s">
        <v>248</v>
      </c>
      <c r="C984" s="62"/>
      <c r="D984" s="62"/>
      <c r="E984" s="62"/>
      <c r="F984" s="62"/>
      <c r="G984" s="102">
        <f>G986+G988</f>
        <v>13262.4</v>
      </c>
      <c r="H984" s="102">
        <f t="shared" si="310"/>
        <v>0</v>
      </c>
      <c r="I984" s="102">
        <f t="shared" si="310"/>
        <v>0</v>
      </c>
      <c r="J984" s="102">
        <f t="shared" si="310"/>
        <v>0</v>
      </c>
      <c r="K984" s="102">
        <f t="shared" si="310"/>
        <v>13262.4</v>
      </c>
      <c r="L984" s="102">
        <f t="shared" si="310"/>
        <v>8000</v>
      </c>
      <c r="M984" s="499">
        <f t="shared" si="310"/>
        <v>10219.5</v>
      </c>
      <c r="N984" s="564"/>
      <c r="O984" s="62"/>
      <c r="AJ984" s="113"/>
      <c r="AK984" s="113"/>
      <c r="AL984" s="113"/>
      <c r="AM984" s="113"/>
      <c r="AN984" s="113"/>
      <c r="AO984" s="113"/>
      <c r="AP984" s="113"/>
      <c r="AQ984" s="113"/>
      <c r="AR984" s="113"/>
      <c r="AS984" s="113"/>
      <c r="AT984" s="113"/>
      <c r="AU984" s="113"/>
      <c r="AV984" s="113"/>
      <c r="AW984" s="113"/>
      <c r="AX984" s="113"/>
      <c r="AY984" s="113"/>
      <c r="AZ984" s="113"/>
      <c r="BA984" s="113"/>
      <c r="BB984" s="113"/>
      <c r="BC984" s="113"/>
      <c r="BD984" s="113"/>
      <c r="BE984" s="113"/>
      <c r="BF984" s="113"/>
      <c r="BG984" s="113"/>
      <c r="BH984" s="113"/>
      <c r="BI984" s="113"/>
    </row>
    <row r="985" spans="1:61" s="45" customFormat="1" ht="24.6" customHeight="1">
      <c r="A985" s="1039" t="s">
        <v>1034</v>
      </c>
      <c r="B985" s="564" t="s">
        <v>89</v>
      </c>
      <c r="C985" s="564">
        <v>176</v>
      </c>
      <c r="D985" s="564" t="s">
        <v>15</v>
      </c>
      <c r="E985" s="564">
        <v>6100404</v>
      </c>
      <c r="F985" s="564">
        <v>244</v>
      </c>
      <c r="G985" s="103">
        <f>K985</f>
        <v>0</v>
      </c>
      <c r="H985" s="103"/>
      <c r="I985" s="103"/>
      <c r="J985" s="103"/>
      <c r="K985" s="103">
        <v>0</v>
      </c>
      <c r="L985" s="103"/>
      <c r="M985" s="679"/>
      <c r="N985" s="564"/>
      <c r="O985" s="1037" t="s">
        <v>881</v>
      </c>
      <c r="AJ985" s="113"/>
      <c r="AK985" s="113"/>
      <c r="AL985" s="113"/>
      <c r="AM985" s="113"/>
      <c r="AN985" s="113"/>
      <c r="AO985" s="113"/>
      <c r="AP985" s="113"/>
      <c r="AQ985" s="113"/>
      <c r="AR985" s="113"/>
      <c r="AS985" s="113"/>
      <c r="AT985" s="113"/>
      <c r="AU985" s="113"/>
      <c r="AV985" s="113"/>
      <c r="AW985" s="113"/>
      <c r="AX985" s="113"/>
      <c r="AY985" s="113"/>
      <c r="AZ985" s="113"/>
      <c r="BA985" s="113"/>
      <c r="BB985" s="113"/>
      <c r="BC985" s="113"/>
      <c r="BD985" s="113"/>
      <c r="BE985" s="113"/>
      <c r="BF985" s="113"/>
      <c r="BG985" s="113"/>
      <c r="BH985" s="113"/>
      <c r="BI985" s="113"/>
    </row>
    <row r="986" spans="1:61" ht="24.6" customHeight="1">
      <c r="A986" s="1039"/>
      <c r="B986" s="564" t="s">
        <v>248</v>
      </c>
      <c r="C986" s="564"/>
      <c r="D986" s="564"/>
      <c r="E986" s="564"/>
      <c r="F986" s="564"/>
      <c r="G986" s="103">
        <f>K986</f>
        <v>1582.4</v>
      </c>
      <c r="H986" s="103"/>
      <c r="I986" s="103"/>
      <c r="J986" s="103"/>
      <c r="K986" s="103">
        <v>1582.4</v>
      </c>
      <c r="L986" s="103"/>
      <c r="M986" s="679"/>
      <c r="N986" s="564"/>
      <c r="O986" s="1037"/>
    </row>
    <row r="987" spans="1:61" ht="24.6" customHeight="1">
      <c r="A987" s="1028" t="s">
        <v>879</v>
      </c>
      <c r="B987" s="564" t="s">
        <v>89</v>
      </c>
      <c r="C987" s="564"/>
      <c r="D987" s="564"/>
      <c r="E987" s="564"/>
      <c r="F987" s="564"/>
      <c r="G987" s="103">
        <f t="shared" ref="G987:G988" si="311">K987</f>
        <v>1</v>
      </c>
      <c r="H987" s="103"/>
      <c r="I987" s="103"/>
      <c r="J987" s="103"/>
      <c r="K987" s="103">
        <v>1</v>
      </c>
      <c r="L987" s="103"/>
      <c r="M987" s="679">
        <v>0.8</v>
      </c>
      <c r="N987" s="564"/>
      <c r="O987" s="1030" t="s">
        <v>1067</v>
      </c>
    </row>
    <row r="988" spans="1:61" ht="24.6" customHeight="1">
      <c r="A988" s="1029"/>
      <c r="B988" s="564" t="s">
        <v>248</v>
      </c>
      <c r="C988" s="564"/>
      <c r="D988" s="564"/>
      <c r="E988" s="564"/>
      <c r="F988" s="564"/>
      <c r="G988" s="103">
        <f t="shared" si="311"/>
        <v>11680</v>
      </c>
      <c r="H988" s="103"/>
      <c r="I988" s="103"/>
      <c r="J988" s="103"/>
      <c r="K988" s="103">
        <v>11680</v>
      </c>
      <c r="L988" s="103">
        <f>16000+6000-16000+2000</f>
        <v>8000</v>
      </c>
      <c r="M988" s="679">
        <v>10219.5</v>
      </c>
      <c r="N988" s="564"/>
      <c r="O988" s="1031"/>
    </row>
    <row r="989" spans="1:61" ht="22.15" customHeight="1">
      <c r="A989" s="1038" t="s">
        <v>124</v>
      </c>
      <c r="B989" s="62" t="s">
        <v>89</v>
      </c>
      <c r="C989" s="62"/>
      <c r="D989" s="62"/>
      <c r="E989" s="62"/>
      <c r="F989" s="62"/>
      <c r="G989" s="102">
        <f>G991+G993+G995+G997+G999</f>
        <v>2</v>
      </c>
      <c r="H989" s="102">
        <f t="shared" ref="H989:M989" si="312">H991+H993+H995+H997+H999</f>
        <v>0</v>
      </c>
      <c r="I989" s="102">
        <f t="shared" si="312"/>
        <v>0</v>
      </c>
      <c r="J989" s="102">
        <f t="shared" si="312"/>
        <v>0</v>
      </c>
      <c r="K989" s="102">
        <f t="shared" si="312"/>
        <v>2</v>
      </c>
      <c r="L989" s="102">
        <f t="shared" si="312"/>
        <v>0</v>
      </c>
      <c r="M989" s="499">
        <f t="shared" si="312"/>
        <v>0.8</v>
      </c>
      <c r="N989" s="564"/>
      <c r="O989" s="62"/>
    </row>
    <row r="990" spans="1:61" ht="27.6" customHeight="1">
      <c r="A990" s="1038"/>
      <c r="B990" s="62" t="s">
        <v>248</v>
      </c>
      <c r="C990" s="62"/>
      <c r="D990" s="62"/>
      <c r="E990" s="62"/>
      <c r="F990" s="62"/>
      <c r="G990" s="102">
        <f>G992+G994+G996+G998+G1000</f>
        <v>25406.400000000001</v>
      </c>
      <c r="H990" s="102">
        <f t="shared" ref="H990:M990" si="313">H992+H994+H996+H998+H1000</f>
        <v>0</v>
      </c>
      <c r="I990" s="102">
        <f t="shared" si="313"/>
        <v>0</v>
      </c>
      <c r="J990" s="102">
        <f t="shared" si="313"/>
        <v>0</v>
      </c>
      <c r="K990" s="102">
        <f t="shared" si="313"/>
        <v>25406.400000000001</v>
      </c>
      <c r="L990" s="102">
        <f t="shared" si="313"/>
        <v>0</v>
      </c>
      <c r="M990" s="102">
        <f t="shared" si="313"/>
        <v>37567.699999999997</v>
      </c>
      <c r="N990" s="564"/>
      <c r="O990" s="62"/>
    </row>
    <row r="991" spans="1:61" ht="24.6" customHeight="1">
      <c r="A991" s="1039" t="s">
        <v>964</v>
      </c>
      <c r="B991" s="564" t="s">
        <v>89</v>
      </c>
      <c r="C991" s="564">
        <v>176</v>
      </c>
      <c r="D991" s="564" t="s">
        <v>15</v>
      </c>
      <c r="E991" s="564">
        <v>6100404</v>
      </c>
      <c r="F991" s="564">
        <v>244</v>
      </c>
      <c r="G991" s="103">
        <f>K991</f>
        <v>0</v>
      </c>
      <c r="H991" s="103"/>
      <c r="I991" s="103"/>
      <c r="J991" s="103"/>
      <c r="K991" s="103"/>
      <c r="L991" s="103"/>
      <c r="M991" s="679"/>
      <c r="N991" s="564"/>
      <c r="O991" s="1037" t="s">
        <v>881</v>
      </c>
    </row>
    <row r="992" spans="1:61" s="45" customFormat="1" ht="24" customHeight="1">
      <c r="A992" s="1039"/>
      <c r="B992" s="564" t="s">
        <v>248</v>
      </c>
      <c r="C992" s="564"/>
      <c r="D992" s="564"/>
      <c r="E992" s="564"/>
      <c r="F992" s="564"/>
      <c r="G992" s="103">
        <f>K992</f>
        <v>0</v>
      </c>
      <c r="H992" s="103"/>
      <c r="I992" s="103"/>
      <c r="J992" s="103"/>
      <c r="K992" s="103"/>
      <c r="L992" s="103"/>
      <c r="M992" s="679">
        <v>1000</v>
      </c>
      <c r="N992" s="564"/>
      <c r="O992" s="1037"/>
      <c r="AJ992" s="113"/>
      <c r="AK992" s="113"/>
      <c r="AL992" s="113"/>
      <c r="AM992" s="113"/>
      <c r="AN992" s="113"/>
      <c r="AO992" s="113"/>
      <c r="AP992" s="113"/>
      <c r="AQ992" s="113"/>
      <c r="AR992" s="113"/>
      <c r="AS992" s="113"/>
      <c r="AT992" s="113"/>
      <c r="AU992" s="113"/>
      <c r="AV992" s="113"/>
      <c r="AW992" s="113"/>
      <c r="AX992" s="113"/>
      <c r="AY992" s="113"/>
      <c r="AZ992" s="113"/>
      <c r="BA992" s="113"/>
      <c r="BB992" s="113"/>
      <c r="BC992" s="113"/>
      <c r="BD992" s="113"/>
      <c r="BE992" s="113"/>
      <c r="BF992" s="113"/>
      <c r="BG992" s="113"/>
      <c r="BH992" s="113"/>
      <c r="BI992" s="113"/>
    </row>
    <row r="993" spans="1:61" s="45" customFormat="1" ht="24.6" customHeight="1">
      <c r="A993" s="1039" t="s">
        <v>594</v>
      </c>
      <c r="B993" s="564" t="s">
        <v>89</v>
      </c>
      <c r="C993" s="564">
        <v>176</v>
      </c>
      <c r="D993" s="564" t="s">
        <v>15</v>
      </c>
      <c r="E993" s="564">
        <v>6100404</v>
      </c>
      <c r="F993" s="564">
        <v>244</v>
      </c>
      <c r="G993" s="103"/>
      <c r="H993" s="103"/>
      <c r="I993" s="103"/>
      <c r="J993" s="103"/>
      <c r="K993" s="103"/>
      <c r="L993" s="103"/>
      <c r="M993" s="679"/>
      <c r="N993" s="564"/>
      <c r="O993" s="1037" t="s">
        <v>881</v>
      </c>
      <c r="AJ993" s="113"/>
      <c r="AK993" s="113"/>
      <c r="AL993" s="113"/>
      <c r="AM993" s="113"/>
      <c r="AN993" s="113"/>
      <c r="AO993" s="113"/>
      <c r="AP993" s="113"/>
      <c r="AQ993" s="113"/>
      <c r="AR993" s="113"/>
      <c r="AS993" s="113"/>
      <c r="AT993" s="113"/>
      <c r="AU993" s="113"/>
      <c r="AV993" s="113"/>
      <c r="AW993" s="113"/>
      <c r="AX993" s="113"/>
      <c r="AY993" s="113"/>
      <c r="AZ993" s="113"/>
      <c r="BA993" s="113"/>
      <c r="BB993" s="113"/>
      <c r="BC993" s="113"/>
      <c r="BD993" s="113"/>
      <c r="BE993" s="113"/>
      <c r="BF993" s="113"/>
      <c r="BG993" s="113"/>
      <c r="BH993" s="113"/>
      <c r="BI993" s="113"/>
    </row>
    <row r="994" spans="1:61" ht="24.6" customHeight="1">
      <c r="A994" s="1039"/>
      <c r="B994" s="564" t="s">
        <v>248</v>
      </c>
      <c r="C994" s="564"/>
      <c r="D994" s="564"/>
      <c r="E994" s="564"/>
      <c r="F994" s="564"/>
      <c r="G994" s="103"/>
      <c r="H994" s="103"/>
      <c r="I994" s="103"/>
      <c r="J994" s="103"/>
      <c r="K994" s="103"/>
      <c r="L994" s="103"/>
      <c r="M994" s="679">
        <v>20000</v>
      </c>
      <c r="N994" s="564"/>
      <c r="O994" s="1037"/>
    </row>
    <row r="995" spans="1:61" ht="24.6" customHeight="1">
      <c r="A995" s="1028" t="s">
        <v>592</v>
      </c>
      <c r="B995" s="564" t="s">
        <v>89</v>
      </c>
      <c r="C995" s="564"/>
      <c r="D995" s="564"/>
      <c r="E995" s="564"/>
      <c r="F995" s="564"/>
      <c r="G995" s="103"/>
      <c r="H995" s="103"/>
      <c r="I995" s="103"/>
      <c r="J995" s="103"/>
      <c r="K995" s="103"/>
      <c r="L995" s="103"/>
      <c r="M995" s="679"/>
      <c r="N995" s="564"/>
      <c r="O995" s="1037" t="s">
        <v>881</v>
      </c>
    </row>
    <row r="996" spans="1:61" ht="24.6" customHeight="1">
      <c r="A996" s="1029"/>
      <c r="B996" s="564" t="s">
        <v>248</v>
      </c>
      <c r="C996" s="564"/>
      <c r="D996" s="564"/>
      <c r="E996" s="564"/>
      <c r="F996" s="564"/>
      <c r="G996" s="103">
        <f>K996</f>
        <v>2000</v>
      </c>
      <c r="H996" s="103"/>
      <c r="I996" s="103"/>
      <c r="J996" s="103"/>
      <c r="K996" s="103">
        <v>2000</v>
      </c>
      <c r="L996" s="103"/>
      <c r="M996" s="679">
        <v>7000</v>
      </c>
      <c r="N996" s="564"/>
      <c r="O996" s="1037"/>
    </row>
    <row r="997" spans="1:61" ht="24.6" customHeight="1">
      <c r="A997" s="1028" t="s">
        <v>593</v>
      </c>
      <c r="B997" s="564" t="s">
        <v>89</v>
      </c>
      <c r="C997" s="564"/>
      <c r="D997" s="564"/>
      <c r="E997" s="564"/>
      <c r="F997" s="564"/>
      <c r="G997" s="103">
        <f t="shared" ref="G997:G1000" si="314">K997</f>
        <v>1</v>
      </c>
      <c r="H997" s="103"/>
      <c r="I997" s="103"/>
      <c r="J997" s="103"/>
      <c r="K997" s="103">
        <v>1</v>
      </c>
      <c r="L997" s="103"/>
      <c r="M997" s="679"/>
      <c r="N997" s="564"/>
      <c r="O997" s="1040" t="s">
        <v>596</v>
      </c>
    </row>
    <row r="998" spans="1:61" ht="24.6" customHeight="1">
      <c r="A998" s="1029"/>
      <c r="B998" s="564" t="s">
        <v>248</v>
      </c>
      <c r="C998" s="564"/>
      <c r="D998" s="564"/>
      <c r="E998" s="564"/>
      <c r="F998" s="564"/>
      <c r="G998" s="103">
        <f t="shared" si="314"/>
        <v>12500</v>
      </c>
      <c r="H998" s="103"/>
      <c r="I998" s="103"/>
      <c r="J998" s="103"/>
      <c r="K998" s="103">
        <v>12500</v>
      </c>
      <c r="L998" s="103"/>
      <c r="M998" s="679"/>
      <c r="N998" s="564"/>
      <c r="O998" s="1040"/>
    </row>
    <row r="999" spans="1:61" ht="24.6" customHeight="1">
      <c r="A999" s="1028" t="s">
        <v>879</v>
      </c>
      <c r="B999" s="564" t="s">
        <v>89</v>
      </c>
      <c r="C999" s="564"/>
      <c r="D999" s="564"/>
      <c r="E999" s="564"/>
      <c r="F999" s="564"/>
      <c r="G999" s="103">
        <f t="shared" si="314"/>
        <v>1</v>
      </c>
      <c r="H999" s="103"/>
      <c r="I999" s="103"/>
      <c r="J999" s="103"/>
      <c r="K999" s="103">
        <v>1</v>
      </c>
      <c r="L999" s="103"/>
      <c r="M999" s="679">
        <v>0.8</v>
      </c>
      <c r="N999" s="564"/>
      <c r="O999" s="1030" t="s">
        <v>1067</v>
      </c>
    </row>
    <row r="1000" spans="1:61" ht="24.6" customHeight="1">
      <c r="A1000" s="1029"/>
      <c r="B1000" s="564" t="s">
        <v>248</v>
      </c>
      <c r="C1000" s="564"/>
      <c r="D1000" s="564"/>
      <c r="E1000" s="564"/>
      <c r="F1000" s="564"/>
      <c r="G1000" s="103">
        <f t="shared" si="314"/>
        <v>10906.4</v>
      </c>
      <c r="H1000" s="103"/>
      <c r="I1000" s="103"/>
      <c r="J1000" s="103"/>
      <c r="K1000" s="103">
        <v>10906.4</v>
      </c>
      <c r="L1000" s="103">
        <v>0</v>
      </c>
      <c r="M1000" s="679">
        <v>9567.7000000000007</v>
      </c>
      <c r="N1000" s="564"/>
      <c r="O1000" s="1031"/>
    </row>
    <row r="1001" spans="1:61" ht="24.95" customHeight="1">
      <c r="A1001" s="985" t="s">
        <v>122</v>
      </c>
      <c r="B1001" s="62" t="s">
        <v>89</v>
      </c>
      <c r="C1001" s="62"/>
      <c r="D1001" s="62"/>
      <c r="E1001" s="62"/>
      <c r="F1001" s="62"/>
      <c r="G1001" s="102">
        <f>G1005+G1013+G1017</f>
        <v>1.2</v>
      </c>
      <c r="H1001" s="102">
        <f t="shared" ref="H1001:M1001" si="315">H1005+H1013+H1017</f>
        <v>0</v>
      </c>
      <c r="I1001" s="102">
        <f t="shared" si="315"/>
        <v>0</v>
      </c>
      <c r="J1001" s="102">
        <f t="shared" si="315"/>
        <v>0</v>
      </c>
      <c r="K1001" s="102">
        <f t="shared" si="315"/>
        <v>1.2</v>
      </c>
      <c r="L1001" s="102">
        <f t="shared" si="315"/>
        <v>0</v>
      </c>
      <c r="M1001" s="499">
        <f t="shared" si="315"/>
        <v>1</v>
      </c>
      <c r="N1001" s="564"/>
      <c r="O1001" s="62"/>
    </row>
    <row r="1002" spans="1:61" s="45" customFormat="1" ht="24.95" customHeight="1">
      <c r="A1002" s="986"/>
      <c r="B1002" s="62" t="s">
        <v>25</v>
      </c>
      <c r="C1002" s="62"/>
      <c r="D1002" s="62"/>
      <c r="E1002" s="62"/>
      <c r="F1002" s="62"/>
      <c r="G1002" s="102">
        <f>G1003+G1004</f>
        <v>48305.9</v>
      </c>
      <c r="H1002" s="102">
        <f t="shared" ref="H1002:M1002" si="316">H1003+H1004</f>
        <v>0</v>
      </c>
      <c r="I1002" s="102">
        <f t="shared" si="316"/>
        <v>0</v>
      </c>
      <c r="J1002" s="102">
        <f t="shared" si="316"/>
        <v>0</v>
      </c>
      <c r="K1002" s="102">
        <f t="shared" si="316"/>
        <v>48305.9</v>
      </c>
      <c r="L1002" s="102">
        <f t="shared" si="316"/>
        <v>0</v>
      </c>
      <c r="M1002" s="499">
        <f t="shared" si="316"/>
        <v>43132.1</v>
      </c>
      <c r="N1002" s="564"/>
      <c r="O1002" s="62"/>
      <c r="AJ1002" s="113"/>
      <c r="AK1002" s="113"/>
      <c r="AL1002" s="113"/>
      <c r="AM1002" s="113"/>
      <c r="AN1002" s="113"/>
      <c r="AO1002" s="113"/>
      <c r="AP1002" s="113"/>
      <c r="AQ1002" s="113"/>
      <c r="AR1002" s="113"/>
      <c r="AS1002" s="113"/>
      <c r="AT1002" s="113"/>
      <c r="AU1002" s="113"/>
      <c r="AV1002" s="113"/>
      <c r="AW1002" s="113"/>
      <c r="AX1002" s="113"/>
      <c r="AY1002" s="113"/>
      <c r="AZ1002" s="113"/>
      <c r="BA1002" s="113"/>
      <c r="BB1002" s="113"/>
      <c r="BC1002" s="113"/>
      <c r="BD1002" s="113"/>
      <c r="BE1002" s="113"/>
      <c r="BF1002" s="113"/>
      <c r="BG1002" s="113"/>
      <c r="BH1002" s="113"/>
      <c r="BI1002" s="113"/>
    </row>
    <row r="1003" spans="1:61" s="45" customFormat="1" ht="24.95" customHeight="1">
      <c r="A1003" s="986"/>
      <c r="B1003" s="62" t="s">
        <v>10</v>
      </c>
      <c r="C1003" s="62"/>
      <c r="D1003" s="62"/>
      <c r="E1003" s="62"/>
      <c r="F1003" s="62"/>
      <c r="G1003" s="102">
        <f t="shared" ref="G1003:L1004" si="317">G1007+G1015+G1019</f>
        <v>48305.9</v>
      </c>
      <c r="H1003" s="102">
        <f t="shared" si="317"/>
        <v>0</v>
      </c>
      <c r="I1003" s="102">
        <f t="shared" si="317"/>
        <v>0</v>
      </c>
      <c r="J1003" s="102">
        <f t="shared" si="317"/>
        <v>0</v>
      </c>
      <c r="K1003" s="102">
        <f t="shared" si="317"/>
        <v>48305.9</v>
      </c>
      <c r="L1003" s="102">
        <f t="shared" si="317"/>
        <v>0</v>
      </c>
      <c r="M1003" s="499">
        <f>M1007+M1015+M1019+M1011</f>
        <v>43132.1</v>
      </c>
      <c r="N1003" s="564"/>
      <c r="O1003" s="62"/>
      <c r="AJ1003" s="113"/>
      <c r="AK1003" s="113"/>
      <c r="AL1003" s="113"/>
      <c r="AM1003" s="113"/>
      <c r="AN1003" s="113"/>
      <c r="AO1003" s="113"/>
      <c r="AP1003" s="113"/>
      <c r="AQ1003" s="113"/>
      <c r="AR1003" s="113"/>
      <c r="AS1003" s="113"/>
      <c r="AT1003" s="113"/>
      <c r="AU1003" s="113"/>
      <c r="AV1003" s="113"/>
      <c r="AW1003" s="113"/>
      <c r="AX1003" s="113"/>
      <c r="AY1003" s="113"/>
      <c r="AZ1003" s="113"/>
      <c r="BA1003" s="113"/>
      <c r="BB1003" s="113"/>
      <c r="BC1003" s="113"/>
      <c r="BD1003" s="113"/>
      <c r="BE1003" s="113"/>
      <c r="BF1003" s="113"/>
      <c r="BG1003" s="113"/>
      <c r="BH1003" s="113"/>
      <c r="BI1003" s="113"/>
    </row>
    <row r="1004" spans="1:61" s="45" customFormat="1" ht="24.95" customHeight="1">
      <c r="A1004" s="987"/>
      <c r="B1004" s="62" t="s">
        <v>502</v>
      </c>
      <c r="C1004" s="62"/>
      <c r="D1004" s="62"/>
      <c r="E1004" s="62"/>
      <c r="F1004" s="62"/>
      <c r="G1004" s="102">
        <f t="shared" si="317"/>
        <v>0</v>
      </c>
      <c r="H1004" s="102">
        <f t="shared" si="317"/>
        <v>0</v>
      </c>
      <c r="I1004" s="102">
        <f t="shared" si="317"/>
        <v>0</v>
      </c>
      <c r="J1004" s="102">
        <f t="shared" si="317"/>
        <v>0</v>
      </c>
      <c r="K1004" s="102">
        <f t="shared" si="317"/>
        <v>0</v>
      </c>
      <c r="L1004" s="102">
        <f t="shared" si="317"/>
        <v>0</v>
      </c>
      <c r="M1004" s="499">
        <f>M1008+M1016+M1020</f>
        <v>0</v>
      </c>
      <c r="N1004" s="564"/>
      <c r="O1004" s="62"/>
      <c r="AJ1004" s="113"/>
      <c r="AK1004" s="113"/>
      <c r="AL1004" s="113"/>
      <c r="AM1004" s="113"/>
      <c r="AN1004" s="113"/>
      <c r="AO1004" s="113"/>
      <c r="AP1004" s="113"/>
      <c r="AQ1004" s="113"/>
      <c r="AR1004" s="113"/>
      <c r="AS1004" s="113"/>
      <c r="AT1004" s="113"/>
      <c r="AU1004" s="113"/>
      <c r="AV1004" s="113"/>
      <c r="AW1004" s="113"/>
      <c r="AX1004" s="113"/>
      <c r="AY1004" s="113"/>
      <c r="AZ1004" s="113"/>
      <c r="BA1004" s="113"/>
      <c r="BB1004" s="113"/>
      <c r="BC1004" s="113"/>
      <c r="BD1004" s="113"/>
      <c r="BE1004" s="113"/>
      <c r="BF1004" s="113"/>
      <c r="BG1004" s="113"/>
      <c r="BH1004" s="113"/>
      <c r="BI1004" s="113"/>
    </row>
    <row r="1005" spans="1:61" s="45" customFormat="1" ht="22.5" customHeight="1">
      <c r="A1005" s="134" t="s">
        <v>281</v>
      </c>
      <c r="B1005" s="564" t="s">
        <v>89</v>
      </c>
      <c r="C1005" s="564">
        <v>176</v>
      </c>
      <c r="D1005" s="564" t="s">
        <v>15</v>
      </c>
      <c r="E1005" s="564">
        <v>6100404</v>
      </c>
      <c r="F1005" s="564">
        <v>244</v>
      </c>
      <c r="G1005" s="103">
        <f>K1005</f>
        <v>0</v>
      </c>
      <c r="H1005" s="103"/>
      <c r="I1005" s="103"/>
      <c r="J1005" s="103"/>
      <c r="K1005" s="103"/>
      <c r="L1005" s="103"/>
      <c r="M1005" s="679"/>
      <c r="N1005" s="564"/>
      <c r="O1005" s="1037" t="s">
        <v>882</v>
      </c>
      <c r="AJ1005" s="113"/>
      <c r="AK1005" s="113"/>
      <c r="AL1005" s="113"/>
      <c r="AM1005" s="113"/>
      <c r="AN1005" s="113"/>
      <c r="AO1005" s="113"/>
      <c r="AP1005" s="113"/>
      <c r="AQ1005" s="113"/>
      <c r="AR1005" s="113"/>
      <c r="AS1005" s="113"/>
      <c r="AT1005" s="113"/>
      <c r="AU1005" s="113"/>
      <c r="AV1005" s="113"/>
      <c r="AW1005" s="113"/>
      <c r="AX1005" s="113"/>
      <c r="AY1005" s="113"/>
      <c r="AZ1005" s="113"/>
      <c r="BA1005" s="113"/>
      <c r="BB1005" s="113"/>
      <c r="BC1005" s="113"/>
      <c r="BD1005" s="113"/>
      <c r="BE1005" s="113"/>
      <c r="BF1005" s="113"/>
      <c r="BG1005" s="113"/>
      <c r="BH1005" s="113"/>
      <c r="BI1005" s="113"/>
    </row>
    <row r="1006" spans="1:61" s="45" customFormat="1" ht="20.25" customHeight="1">
      <c r="A1006" s="135"/>
      <c r="B1006" s="564" t="s">
        <v>25</v>
      </c>
      <c r="C1006" s="564"/>
      <c r="D1006" s="564"/>
      <c r="E1006" s="564"/>
      <c r="F1006" s="564"/>
      <c r="G1006" s="114">
        <f>G1007+G1008</f>
        <v>6167.6</v>
      </c>
      <c r="H1006" s="114">
        <f t="shared" ref="H1006:M1006" si="318">H1007+H1008</f>
        <v>0</v>
      </c>
      <c r="I1006" s="114">
        <f t="shared" si="318"/>
        <v>0</v>
      </c>
      <c r="J1006" s="114">
        <f t="shared" si="318"/>
        <v>0</v>
      </c>
      <c r="K1006" s="114">
        <f t="shared" si="318"/>
        <v>6167.6</v>
      </c>
      <c r="L1006" s="114">
        <f t="shared" si="318"/>
        <v>0</v>
      </c>
      <c r="M1006" s="678">
        <f t="shared" si="318"/>
        <v>0</v>
      </c>
      <c r="N1006" s="564"/>
      <c r="O1006" s="1037"/>
      <c r="AJ1006" s="113"/>
      <c r="AK1006" s="113"/>
      <c r="AL1006" s="113"/>
      <c r="AM1006" s="113"/>
      <c r="AN1006" s="113"/>
      <c r="AO1006" s="113"/>
      <c r="AP1006" s="113"/>
      <c r="AQ1006" s="113"/>
      <c r="AR1006" s="113"/>
      <c r="AS1006" s="113"/>
      <c r="AT1006" s="113"/>
      <c r="AU1006" s="113"/>
      <c r="AV1006" s="113"/>
      <c r="AW1006" s="113"/>
      <c r="AX1006" s="113"/>
      <c r="AY1006" s="113"/>
      <c r="AZ1006" s="113"/>
      <c r="BA1006" s="113"/>
      <c r="BB1006" s="113"/>
      <c r="BC1006" s="113"/>
      <c r="BD1006" s="113"/>
      <c r="BE1006" s="113"/>
      <c r="BF1006" s="113"/>
      <c r="BG1006" s="113"/>
      <c r="BH1006" s="113"/>
      <c r="BI1006" s="113"/>
    </row>
    <row r="1007" spans="1:61" s="45" customFormat="1" ht="21" customHeight="1">
      <c r="A1007" s="135"/>
      <c r="B1007" s="564" t="s">
        <v>10</v>
      </c>
      <c r="C1007" s="564"/>
      <c r="D1007" s="564"/>
      <c r="E1007" s="564"/>
      <c r="F1007" s="564"/>
      <c r="G1007" s="114">
        <f>K1007</f>
        <v>6167.6</v>
      </c>
      <c r="H1007" s="114"/>
      <c r="I1007" s="114"/>
      <c r="J1007" s="114"/>
      <c r="K1007" s="114">
        <v>6167.6</v>
      </c>
      <c r="L1007" s="114"/>
      <c r="M1007" s="679"/>
      <c r="N1007" s="564"/>
      <c r="O1007" s="1037"/>
      <c r="AJ1007" s="113"/>
      <c r="AK1007" s="113"/>
      <c r="AL1007" s="113"/>
      <c r="AM1007" s="113"/>
      <c r="AN1007" s="113"/>
      <c r="AO1007" s="113"/>
      <c r="AP1007" s="113"/>
      <c r="AQ1007" s="113"/>
      <c r="AR1007" s="113"/>
      <c r="AS1007" s="113"/>
      <c r="AT1007" s="113"/>
      <c r="AU1007" s="113"/>
      <c r="AV1007" s="113"/>
      <c r="AW1007" s="113"/>
      <c r="AX1007" s="113"/>
      <c r="AY1007" s="113"/>
      <c r="AZ1007" s="113"/>
      <c r="BA1007" s="113"/>
      <c r="BB1007" s="113"/>
      <c r="BC1007" s="113"/>
      <c r="BD1007" s="113"/>
      <c r="BE1007" s="113"/>
      <c r="BF1007" s="113"/>
      <c r="BG1007" s="113"/>
      <c r="BH1007" s="113"/>
      <c r="BI1007" s="113"/>
    </row>
    <row r="1008" spans="1:61" ht="24.75" customHeight="1">
      <c r="A1008" s="136"/>
      <c r="B1008" s="564" t="s">
        <v>502</v>
      </c>
      <c r="C1008" s="564"/>
      <c r="D1008" s="564"/>
      <c r="E1008" s="564"/>
      <c r="F1008" s="564"/>
      <c r="G1008" s="103"/>
      <c r="H1008" s="103"/>
      <c r="I1008" s="103"/>
      <c r="J1008" s="103"/>
      <c r="K1008" s="103"/>
      <c r="L1008" s="103"/>
      <c r="M1008" s="679"/>
      <c r="N1008" s="564"/>
      <c r="O1008" s="1037"/>
    </row>
    <row r="1009" spans="1:61" ht="23.25" customHeight="1">
      <c r="A1009" s="1028" t="s">
        <v>597</v>
      </c>
      <c r="B1009" s="780" t="s">
        <v>89</v>
      </c>
      <c r="C1009" s="780"/>
      <c r="D1009" s="780"/>
      <c r="E1009" s="780"/>
      <c r="F1009" s="780"/>
      <c r="G1009" s="103">
        <f>K1009</f>
        <v>0</v>
      </c>
      <c r="H1009" s="103"/>
      <c r="I1009" s="103"/>
      <c r="J1009" s="103"/>
      <c r="K1009" s="103"/>
      <c r="L1009" s="103"/>
      <c r="M1009" s="679"/>
      <c r="N1009" s="780"/>
      <c r="O1009" s="1037" t="s">
        <v>882</v>
      </c>
    </row>
    <row r="1010" spans="1:61" ht="22.5" customHeight="1">
      <c r="A1010" s="1036"/>
      <c r="B1010" s="780" t="s">
        <v>25</v>
      </c>
      <c r="C1010" s="780"/>
      <c r="D1010" s="780"/>
      <c r="E1010" s="780"/>
      <c r="F1010" s="780"/>
      <c r="G1010" s="103">
        <f t="shared" ref="G1010:G1012" si="319">K1010</f>
        <v>0</v>
      </c>
      <c r="H1010" s="103"/>
      <c r="I1010" s="103"/>
      <c r="J1010" s="103"/>
      <c r="K1010" s="103">
        <f>K1011+K1012</f>
        <v>0</v>
      </c>
      <c r="L1010" s="103">
        <f t="shared" ref="L1010:M1010" si="320">L1011+L1012</f>
        <v>0</v>
      </c>
      <c r="M1010" s="679">
        <f t="shared" si="320"/>
        <v>15000</v>
      </c>
      <c r="N1010" s="780"/>
      <c r="O1010" s="1037"/>
    </row>
    <row r="1011" spans="1:61" ht="22.5" customHeight="1">
      <c r="A1011" s="1036"/>
      <c r="B1011" s="780" t="s">
        <v>10</v>
      </c>
      <c r="C1011" s="780"/>
      <c r="D1011" s="780"/>
      <c r="E1011" s="780"/>
      <c r="F1011" s="780"/>
      <c r="G1011" s="103">
        <f t="shared" si="319"/>
        <v>0</v>
      </c>
      <c r="H1011" s="103"/>
      <c r="I1011" s="103"/>
      <c r="J1011" s="103"/>
      <c r="K1011" s="103"/>
      <c r="L1011" s="103"/>
      <c r="M1011" s="679">
        <v>15000</v>
      </c>
      <c r="N1011" s="780"/>
      <c r="O1011" s="1037"/>
    </row>
    <row r="1012" spans="1:61" ht="21.75" customHeight="1">
      <c r="A1012" s="1036"/>
      <c r="B1012" s="780" t="s">
        <v>502</v>
      </c>
      <c r="C1012" s="780"/>
      <c r="D1012" s="780"/>
      <c r="E1012" s="780"/>
      <c r="F1012" s="780"/>
      <c r="G1012" s="103">
        <f t="shared" si="319"/>
        <v>0</v>
      </c>
      <c r="H1012" s="103"/>
      <c r="I1012" s="103"/>
      <c r="J1012" s="103"/>
      <c r="K1012" s="103"/>
      <c r="L1012" s="103"/>
      <c r="M1012" s="679"/>
      <c r="N1012" s="780"/>
      <c r="O1012" s="1037"/>
    </row>
    <row r="1013" spans="1:61" ht="23.25" customHeight="1">
      <c r="A1013" s="1028" t="s">
        <v>1035</v>
      </c>
      <c r="B1013" s="564" t="s">
        <v>89</v>
      </c>
      <c r="C1013" s="564"/>
      <c r="D1013" s="564"/>
      <c r="E1013" s="564"/>
      <c r="F1013" s="564"/>
      <c r="G1013" s="103">
        <f>K1013</f>
        <v>0</v>
      </c>
      <c r="H1013" s="103"/>
      <c r="I1013" s="103"/>
      <c r="J1013" s="103"/>
      <c r="K1013" s="103"/>
      <c r="L1013" s="103"/>
      <c r="M1013" s="679"/>
      <c r="N1013" s="564"/>
      <c r="O1013" s="1037" t="s">
        <v>882</v>
      </c>
    </row>
    <row r="1014" spans="1:61" ht="22.5" customHeight="1">
      <c r="A1014" s="1036"/>
      <c r="B1014" s="564" t="s">
        <v>25</v>
      </c>
      <c r="C1014" s="564"/>
      <c r="D1014" s="564"/>
      <c r="E1014" s="564"/>
      <c r="F1014" s="564"/>
      <c r="G1014" s="103">
        <f t="shared" ref="G1014:G1016" si="321">K1014</f>
        <v>0</v>
      </c>
      <c r="H1014" s="103"/>
      <c r="I1014" s="103"/>
      <c r="J1014" s="103"/>
      <c r="K1014" s="103">
        <f>K1015+K1016</f>
        <v>0</v>
      </c>
      <c r="L1014" s="103">
        <f t="shared" ref="L1014:M1014" si="322">L1015+L1016</f>
        <v>0</v>
      </c>
      <c r="M1014" s="679">
        <f t="shared" si="322"/>
        <v>15000</v>
      </c>
      <c r="N1014" s="564"/>
      <c r="O1014" s="1037"/>
    </row>
    <row r="1015" spans="1:61" ht="22.5" customHeight="1">
      <c r="A1015" s="1036"/>
      <c r="B1015" s="564" t="s">
        <v>10</v>
      </c>
      <c r="C1015" s="564"/>
      <c r="D1015" s="564"/>
      <c r="E1015" s="564"/>
      <c r="F1015" s="564"/>
      <c r="G1015" s="103">
        <f t="shared" si="321"/>
        <v>0</v>
      </c>
      <c r="H1015" s="103"/>
      <c r="I1015" s="103"/>
      <c r="J1015" s="103"/>
      <c r="K1015" s="103"/>
      <c r="L1015" s="103"/>
      <c r="M1015" s="679">
        <v>15000</v>
      </c>
      <c r="N1015" s="564"/>
      <c r="O1015" s="1037"/>
    </row>
    <row r="1016" spans="1:61" ht="21.75" customHeight="1">
      <c r="A1016" s="1036"/>
      <c r="B1016" s="564" t="s">
        <v>502</v>
      </c>
      <c r="C1016" s="564"/>
      <c r="D1016" s="564"/>
      <c r="E1016" s="564"/>
      <c r="F1016" s="564"/>
      <c r="G1016" s="103">
        <f t="shared" si="321"/>
        <v>0</v>
      </c>
      <c r="H1016" s="103"/>
      <c r="I1016" s="103"/>
      <c r="J1016" s="103"/>
      <c r="K1016" s="103"/>
      <c r="L1016" s="103"/>
      <c r="M1016" s="679"/>
      <c r="N1016" s="564"/>
      <c r="O1016" s="1037"/>
    </row>
    <row r="1017" spans="1:61" ht="22.5" customHeight="1">
      <c r="A1017" s="1028" t="s">
        <v>879</v>
      </c>
      <c r="B1017" s="564" t="s">
        <v>89</v>
      </c>
      <c r="C1017" s="564"/>
      <c r="D1017" s="564"/>
      <c r="E1017" s="564"/>
      <c r="F1017" s="564"/>
      <c r="G1017" s="103">
        <f>K1017</f>
        <v>1.2</v>
      </c>
      <c r="H1017" s="103"/>
      <c r="I1017" s="103"/>
      <c r="J1017" s="103"/>
      <c r="K1017" s="103">
        <v>1.2</v>
      </c>
      <c r="L1017" s="103"/>
      <c r="M1017" s="679">
        <v>1</v>
      </c>
      <c r="N1017" s="564"/>
      <c r="O1017" s="1030" t="s">
        <v>1071</v>
      </c>
    </row>
    <row r="1018" spans="1:61" ht="24.95" customHeight="1">
      <c r="A1018" s="1036"/>
      <c r="B1018" s="564" t="s">
        <v>25</v>
      </c>
      <c r="C1018" s="564"/>
      <c r="D1018" s="564"/>
      <c r="E1018" s="564"/>
      <c r="F1018" s="564"/>
      <c r="G1018" s="103">
        <f t="shared" ref="G1018:G1019" si="323">K1018</f>
        <v>42138.3</v>
      </c>
      <c r="H1018" s="103"/>
      <c r="I1018" s="103"/>
      <c r="J1018" s="103"/>
      <c r="K1018" s="103">
        <f>K1019</f>
        <v>42138.3</v>
      </c>
      <c r="L1018" s="103">
        <f>L1019</f>
        <v>0</v>
      </c>
      <c r="M1018" s="679">
        <f>M1019+M1020</f>
        <v>13132.1</v>
      </c>
      <c r="N1018" s="564"/>
      <c r="O1018" s="1032"/>
    </row>
    <row r="1019" spans="1:61" ht="24.95" customHeight="1">
      <c r="A1019" s="1036"/>
      <c r="B1019" s="564" t="s">
        <v>10</v>
      </c>
      <c r="C1019" s="564"/>
      <c r="D1019" s="564"/>
      <c r="E1019" s="564"/>
      <c r="F1019" s="564"/>
      <c r="G1019" s="103">
        <f t="shared" si="323"/>
        <v>42138.3</v>
      </c>
      <c r="H1019" s="103"/>
      <c r="I1019" s="103"/>
      <c r="J1019" s="103"/>
      <c r="K1019" s="103">
        <f>15138.3+27000</f>
        <v>42138.3</v>
      </c>
      <c r="L1019" s="103"/>
      <c r="M1019" s="679">
        <v>13132.1</v>
      </c>
      <c r="N1019" s="564"/>
      <c r="O1019" s="1032"/>
    </row>
    <row r="1020" spans="1:61" ht="24.95" customHeight="1">
      <c r="A1020" s="1029"/>
      <c r="B1020" s="564" t="s">
        <v>502</v>
      </c>
      <c r="C1020" s="564"/>
      <c r="D1020" s="564"/>
      <c r="E1020" s="564"/>
      <c r="F1020" s="564"/>
      <c r="G1020" s="103"/>
      <c r="H1020" s="103"/>
      <c r="I1020" s="103"/>
      <c r="J1020" s="103"/>
      <c r="K1020" s="103"/>
      <c r="L1020" s="103"/>
      <c r="M1020" s="679"/>
      <c r="N1020" s="564"/>
      <c r="O1020" s="1031"/>
    </row>
    <row r="1021" spans="1:61" ht="24.95" customHeight="1">
      <c r="A1021" s="985" t="s">
        <v>101</v>
      </c>
      <c r="B1021" s="62" t="s">
        <v>89</v>
      </c>
      <c r="C1021" s="62"/>
      <c r="D1021" s="62"/>
      <c r="E1021" s="62"/>
      <c r="F1021" s="62"/>
      <c r="G1021" s="102">
        <f>G1025+G1029+G1032+G1036+G1038</f>
        <v>1.3</v>
      </c>
      <c r="H1021" s="102">
        <f t="shared" ref="H1021:M1021" si="324">H1025+H1029+H1032+H1036+H1038</f>
        <v>0</v>
      </c>
      <c r="I1021" s="102">
        <f t="shared" si="324"/>
        <v>0</v>
      </c>
      <c r="J1021" s="102">
        <f t="shared" si="324"/>
        <v>0</v>
      </c>
      <c r="K1021" s="102">
        <f t="shared" si="324"/>
        <v>1.3</v>
      </c>
      <c r="L1021" s="102">
        <f t="shared" si="324"/>
        <v>0</v>
      </c>
      <c r="M1021" s="499">
        <f t="shared" si="324"/>
        <v>1</v>
      </c>
      <c r="N1021" s="564"/>
      <c r="O1021" s="62"/>
    </row>
    <row r="1022" spans="1:61" ht="24.95" customHeight="1">
      <c r="A1022" s="986"/>
      <c r="B1022" s="62" t="s">
        <v>25</v>
      </c>
      <c r="C1022" s="62"/>
      <c r="D1022" s="62"/>
      <c r="E1022" s="62"/>
      <c r="F1022" s="62"/>
      <c r="G1022" s="102">
        <f>G1023+G1024</f>
        <v>35903.1</v>
      </c>
      <c r="H1022" s="102">
        <f t="shared" ref="H1022:M1022" si="325">H1023+H1024</f>
        <v>0</v>
      </c>
      <c r="I1022" s="102">
        <f t="shared" si="325"/>
        <v>0</v>
      </c>
      <c r="J1022" s="102">
        <f t="shared" si="325"/>
        <v>0</v>
      </c>
      <c r="K1022" s="102">
        <f t="shared" si="325"/>
        <v>35903.1</v>
      </c>
      <c r="L1022" s="102">
        <f t="shared" si="325"/>
        <v>6840</v>
      </c>
      <c r="M1022" s="499">
        <f t="shared" si="325"/>
        <v>47370.5</v>
      </c>
      <c r="N1022" s="564"/>
      <c r="O1022" s="62"/>
    </row>
    <row r="1023" spans="1:61" ht="24.95" customHeight="1">
      <c r="A1023" s="986"/>
      <c r="B1023" s="62" t="s">
        <v>10</v>
      </c>
      <c r="C1023" s="62"/>
      <c r="D1023" s="62"/>
      <c r="E1023" s="62"/>
      <c r="F1023" s="62"/>
      <c r="G1023" s="102">
        <f>G1027+G1031+G1033+G1037+G1039</f>
        <v>35903.1</v>
      </c>
      <c r="H1023" s="102">
        <f t="shared" ref="H1023:L1023" si="326">H1027+H1031+H1033+H1037+H1039</f>
        <v>0</v>
      </c>
      <c r="I1023" s="102">
        <f t="shared" si="326"/>
        <v>0</v>
      </c>
      <c r="J1023" s="102">
        <f t="shared" si="326"/>
        <v>0</v>
      </c>
      <c r="K1023" s="102">
        <f t="shared" si="326"/>
        <v>35903.1</v>
      </c>
      <c r="L1023" s="102">
        <f t="shared" si="326"/>
        <v>6840</v>
      </c>
      <c r="M1023" s="499">
        <f>M1031+M1033+M1035+M1037+M1039</f>
        <v>47370.5</v>
      </c>
      <c r="N1023" s="564"/>
      <c r="O1023" s="62"/>
    </row>
    <row r="1024" spans="1:61" s="45" customFormat="1" ht="24.95" customHeight="1">
      <c r="A1024" s="987"/>
      <c r="B1024" s="62" t="s">
        <v>502</v>
      </c>
      <c r="C1024" s="62"/>
      <c r="D1024" s="62"/>
      <c r="E1024" s="62"/>
      <c r="F1024" s="62"/>
      <c r="G1024" s="102">
        <f>G1028</f>
        <v>0</v>
      </c>
      <c r="H1024" s="102">
        <f t="shared" ref="H1024:M1024" si="327">H1028</f>
        <v>0</v>
      </c>
      <c r="I1024" s="102">
        <f t="shared" si="327"/>
        <v>0</v>
      </c>
      <c r="J1024" s="102">
        <f t="shared" si="327"/>
        <v>0</v>
      </c>
      <c r="K1024" s="102">
        <f t="shared" si="327"/>
        <v>0</v>
      </c>
      <c r="L1024" s="102">
        <f t="shared" si="327"/>
        <v>0</v>
      </c>
      <c r="M1024" s="499">
        <f t="shared" si="327"/>
        <v>0</v>
      </c>
      <c r="N1024" s="564"/>
      <c r="O1024" s="62"/>
      <c r="AJ1024" s="113"/>
      <c r="AK1024" s="113"/>
      <c r="AL1024" s="113"/>
      <c r="AM1024" s="113"/>
      <c r="AN1024" s="113"/>
      <c r="AO1024" s="113"/>
      <c r="AP1024" s="113"/>
      <c r="AQ1024" s="113"/>
      <c r="AR1024" s="113"/>
      <c r="AS1024" s="113"/>
      <c r="AT1024" s="113"/>
      <c r="AU1024" s="113"/>
      <c r="AV1024" s="113"/>
      <c r="AW1024" s="113"/>
      <c r="AX1024" s="113"/>
      <c r="AY1024" s="113"/>
      <c r="AZ1024" s="113"/>
      <c r="BA1024" s="113"/>
      <c r="BB1024" s="113"/>
      <c r="BC1024" s="113"/>
      <c r="BD1024" s="113"/>
      <c r="BE1024" s="113"/>
      <c r="BF1024" s="113"/>
      <c r="BG1024" s="113"/>
      <c r="BH1024" s="113"/>
      <c r="BI1024" s="113"/>
    </row>
    <row r="1025" spans="1:61" s="45" customFormat="1" ht="24.95" hidden="1" customHeight="1">
      <c r="A1025" s="1039" t="s">
        <v>601</v>
      </c>
      <c r="B1025" s="564" t="s">
        <v>89</v>
      </c>
      <c r="C1025" s="564">
        <v>176</v>
      </c>
      <c r="D1025" s="564" t="s">
        <v>15</v>
      </c>
      <c r="E1025" s="564">
        <v>6100404</v>
      </c>
      <c r="F1025" s="564">
        <v>244</v>
      </c>
      <c r="G1025" s="103">
        <f>K1025</f>
        <v>0</v>
      </c>
      <c r="H1025" s="103"/>
      <c r="I1025" s="103"/>
      <c r="J1025" s="103"/>
      <c r="K1025" s="103"/>
      <c r="L1025" s="103"/>
      <c r="M1025" s="679"/>
      <c r="N1025" s="564"/>
      <c r="O1025" s="1037" t="s">
        <v>520</v>
      </c>
      <c r="AJ1025" s="113"/>
      <c r="AK1025" s="113"/>
      <c r="AL1025" s="113"/>
      <c r="AM1025" s="113"/>
      <c r="AN1025" s="113"/>
      <c r="AO1025" s="113"/>
      <c r="AP1025" s="113"/>
      <c r="AQ1025" s="113"/>
      <c r="AR1025" s="113"/>
      <c r="AS1025" s="113"/>
      <c r="AT1025" s="113"/>
      <c r="AU1025" s="113"/>
      <c r="AV1025" s="113"/>
      <c r="AW1025" s="113"/>
      <c r="AX1025" s="113"/>
      <c r="AY1025" s="113"/>
      <c r="AZ1025" s="113"/>
      <c r="BA1025" s="113"/>
      <c r="BB1025" s="113"/>
      <c r="BC1025" s="113"/>
      <c r="BD1025" s="113"/>
      <c r="BE1025" s="113"/>
      <c r="BF1025" s="113"/>
      <c r="BG1025" s="113"/>
      <c r="BH1025" s="113"/>
      <c r="BI1025" s="113"/>
    </row>
    <row r="1026" spans="1:61" s="45" customFormat="1" ht="24.95" hidden="1" customHeight="1">
      <c r="A1026" s="1039"/>
      <c r="B1026" s="564" t="s">
        <v>25</v>
      </c>
      <c r="C1026" s="564"/>
      <c r="D1026" s="564"/>
      <c r="E1026" s="564"/>
      <c r="F1026" s="564"/>
      <c r="G1026" s="103">
        <f t="shared" ref="G1026:G1027" si="328">K1026</f>
        <v>0</v>
      </c>
      <c r="H1026" s="103"/>
      <c r="I1026" s="103"/>
      <c r="J1026" s="103"/>
      <c r="K1026" s="103">
        <f>K1027+K1028</f>
        <v>0</v>
      </c>
      <c r="L1026" s="103">
        <f>L1027+L1028</f>
        <v>0</v>
      </c>
      <c r="M1026" s="679"/>
      <c r="N1026" s="564"/>
      <c r="O1026" s="1037"/>
      <c r="AJ1026" s="113"/>
      <c r="AK1026" s="113"/>
      <c r="AL1026" s="113"/>
      <c r="AM1026" s="113"/>
      <c r="AN1026" s="113"/>
      <c r="AO1026" s="113"/>
      <c r="AP1026" s="113"/>
      <c r="AQ1026" s="113"/>
      <c r="AR1026" s="113"/>
      <c r="AS1026" s="113"/>
      <c r="AT1026" s="113"/>
      <c r="AU1026" s="113"/>
      <c r="AV1026" s="113"/>
      <c r="AW1026" s="113"/>
      <c r="AX1026" s="113"/>
      <c r="AY1026" s="113"/>
      <c r="AZ1026" s="113"/>
      <c r="BA1026" s="113"/>
      <c r="BB1026" s="113"/>
      <c r="BC1026" s="113"/>
      <c r="BD1026" s="113"/>
      <c r="BE1026" s="113"/>
      <c r="BF1026" s="113"/>
      <c r="BG1026" s="113"/>
      <c r="BH1026" s="113"/>
      <c r="BI1026" s="113"/>
    </row>
    <row r="1027" spans="1:61" s="45" customFormat="1" ht="24.95" hidden="1" customHeight="1">
      <c r="A1027" s="1039"/>
      <c r="B1027" s="564" t="s">
        <v>10</v>
      </c>
      <c r="C1027" s="564"/>
      <c r="D1027" s="564"/>
      <c r="E1027" s="564"/>
      <c r="F1027" s="564"/>
      <c r="G1027" s="103">
        <f t="shared" si="328"/>
        <v>0</v>
      </c>
      <c r="H1027" s="103"/>
      <c r="I1027" s="103"/>
      <c r="J1027" s="103"/>
      <c r="K1027" s="103"/>
      <c r="L1027" s="103"/>
      <c r="M1027" s="679"/>
      <c r="N1027" s="564"/>
      <c r="O1027" s="1037"/>
      <c r="AJ1027" s="113"/>
      <c r="AK1027" s="113"/>
      <c r="AL1027" s="113"/>
      <c r="AM1027" s="113"/>
      <c r="AN1027" s="113"/>
      <c r="AO1027" s="113"/>
      <c r="AP1027" s="113"/>
      <c r="AQ1027" s="113"/>
      <c r="AR1027" s="113"/>
      <c r="AS1027" s="113"/>
      <c r="AT1027" s="113"/>
      <c r="AU1027" s="113"/>
      <c r="AV1027" s="113"/>
      <c r="AW1027" s="113"/>
      <c r="AX1027" s="113"/>
      <c r="AY1027" s="113"/>
      <c r="AZ1027" s="113"/>
      <c r="BA1027" s="113"/>
      <c r="BB1027" s="113"/>
      <c r="BC1027" s="113"/>
      <c r="BD1027" s="113"/>
      <c r="BE1027" s="113"/>
      <c r="BF1027" s="113"/>
      <c r="BG1027" s="113"/>
      <c r="BH1027" s="113"/>
      <c r="BI1027" s="113"/>
    </row>
    <row r="1028" spans="1:61" s="45" customFormat="1" ht="25.15" hidden="1" customHeight="1">
      <c r="A1028" s="1039"/>
      <c r="B1028" s="564" t="s">
        <v>502</v>
      </c>
      <c r="C1028" s="564"/>
      <c r="D1028" s="564"/>
      <c r="E1028" s="564"/>
      <c r="F1028" s="564"/>
      <c r="G1028" s="103">
        <f>K1028</f>
        <v>0</v>
      </c>
      <c r="H1028" s="103"/>
      <c r="I1028" s="103"/>
      <c r="J1028" s="103"/>
      <c r="K1028" s="103"/>
      <c r="L1028" s="103"/>
      <c r="M1028" s="499"/>
      <c r="N1028" s="62"/>
      <c r="O1028" s="1037"/>
      <c r="AJ1028" s="113"/>
      <c r="AK1028" s="113"/>
      <c r="AL1028" s="113"/>
      <c r="AM1028" s="113"/>
      <c r="AN1028" s="113"/>
      <c r="AO1028" s="113"/>
      <c r="AP1028" s="113"/>
      <c r="AQ1028" s="113"/>
      <c r="AR1028" s="113"/>
      <c r="AS1028" s="113"/>
      <c r="AT1028" s="113"/>
      <c r="AU1028" s="113"/>
      <c r="AV1028" s="113"/>
      <c r="AW1028" s="113"/>
      <c r="AX1028" s="113"/>
      <c r="AY1028" s="113"/>
      <c r="AZ1028" s="113"/>
      <c r="BA1028" s="113"/>
      <c r="BB1028" s="113"/>
      <c r="BC1028" s="113"/>
      <c r="BD1028" s="113"/>
      <c r="BE1028" s="113"/>
      <c r="BF1028" s="113"/>
      <c r="BG1028" s="113"/>
      <c r="BH1028" s="113"/>
      <c r="BI1028" s="113"/>
    </row>
    <row r="1029" spans="1:61" s="45" customFormat="1" ht="25.15" customHeight="1">
      <c r="A1029" s="1028" t="s">
        <v>733</v>
      </c>
      <c r="B1029" s="564" t="s">
        <v>89</v>
      </c>
      <c r="C1029" s="564"/>
      <c r="D1029" s="564"/>
      <c r="E1029" s="564"/>
      <c r="F1029" s="564"/>
      <c r="G1029" s="103">
        <f>J1029</f>
        <v>0</v>
      </c>
      <c r="H1029" s="103"/>
      <c r="I1029" s="103"/>
      <c r="J1029" s="103"/>
      <c r="K1029" s="103"/>
      <c r="L1029" s="103"/>
      <c r="M1029" s="679"/>
      <c r="N1029" s="62"/>
      <c r="O1029" s="1037" t="s">
        <v>882</v>
      </c>
      <c r="AJ1029" s="113"/>
      <c r="AK1029" s="113"/>
      <c r="AL1029" s="113"/>
      <c r="AM1029" s="113"/>
      <c r="AN1029" s="113"/>
      <c r="AO1029" s="113"/>
      <c r="AP1029" s="113"/>
      <c r="AQ1029" s="113"/>
      <c r="AR1029" s="113"/>
      <c r="AS1029" s="113"/>
      <c r="AT1029" s="113"/>
      <c r="AU1029" s="113"/>
      <c r="AV1029" s="113"/>
      <c r="AW1029" s="113"/>
      <c r="AX1029" s="113"/>
      <c r="AY1029" s="113"/>
      <c r="AZ1029" s="113"/>
      <c r="BA1029" s="113"/>
      <c r="BB1029" s="113"/>
      <c r="BC1029" s="113"/>
      <c r="BD1029" s="113"/>
      <c r="BE1029" s="113"/>
      <c r="BF1029" s="113"/>
      <c r="BG1029" s="113"/>
      <c r="BH1029" s="113"/>
      <c r="BI1029" s="113"/>
    </row>
    <row r="1030" spans="1:61" s="45" customFormat="1" ht="25.15" customHeight="1">
      <c r="A1030" s="1036"/>
      <c r="B1030" s="564" t="s">
        <v>335</v>
      </c>
      <c r="C1030" s="564"/>
      <c r="D1030" s="564"/>
      <c r="E1030" s="564"/>
      <c r="F1030" s="564"/>
      <c r="G1030" s="103">
        <f>G1031</f>
        <v>0</v>
      </c>
      <c r="H1030" s="103">
        <f t="shared" ref="H1030:K1030" si="329">H1031</f>
        <v>0</v>
      </c>
      <c r="I1030" s="103">
        <f t="shared" si="329"/>
        <v>0</v>
      </c>
      <c r="J1030" s="103">
        <f t="shared" si="329"/>
        <v>0</v>
      </c>
      <c r="K1030" s="103">
        <f t="shared" si="329"/>
        <v>0</v>
      </c>
      <c r="L1030" s="103">
        <f>L1031</f>
        <v>0</v>
      </c>
      <c r="M1030" s="679">
        <f>M1031</f>
        <v>10000</v>
      </c>
      <c r="N1030" s="62"/>
      <c r="O1030" s="1037"/>
      <c r="AJ1030" s="113"/>
      <c r="AK1030" s="113"/>
      <c r="AL1030" s="113"/>
      <c r="AM1030" s="113"/>
      <c r="AN1030" s="113"/>
      <c r="AO1030" s="113"/>
      <c r="AP1030" s="113"/>
      <c r="AQ1030" s="113"/>
      <c r="AR1030" s="113"/>
      <c r="AS1030" s="113"/>
      <c r="AT1030" s="113"/>
      <c r="AU1030" s="113"/>
      <c r="AV1030" s="113"/>
      <c r="AW1030" s="113"/>
      <c r="AX1030" s="113"/>
      <c r="AY1030" s="113"/>
      <c r="AZ1030" s="113"/>
      <c r="BA1030" s="113"/>
      <c r="BB1030" s="113"/>
      <c r="BC1030" s="113"/>
      <c r="BD1030" s="113"/>
      <c r="BE1030" s="113"/>
      <c r="BF1030" s="113"/>
      <c r="BG1030" s="113"/>
      <c r="BH1030" s="113"/>
      <c r="BI1030" s="113"/>
    </row>
    <row r="1031" spans="1:61" s="45" customFormat="1" ht="25.15" customHeight="1">
      <c r="A1031" s="1029"/>
      <c r="B1031" s="564" t="s">
        <v>343</v>
      </c>
      <c r="C1031" s="564"/>
      <c r="D1031" s="564"/>
      <c r="E1031" s="564"/>
      <c r="F1031" s="564"/>
      <c r="G1031" s="103">
        <f>K1031</f>
        <v>0</v>
      </c>
      <c r="H1031" s="103"/>
      <c r="I1031" s="103"/>
      <c r="J1031" s="103"/>
      <c r="K1031" s="103">
        <v>0</v>
      </c>
      <c r="L1031" s="103"/>
      <c r="M1031" s="679">
        <v>10000</v>
      </c>
      <c r="N1031" s="62"/>
      <c r="O1031" s="1037"/>
      <c r="AJ1031" s="113"/>
      <c r="AK1031" s="113"/>
      <c r="AL1031" s="113"/>
      <c r="AM1031" s="113"/>
      <c r="AN1031" s="113"/>
      <c r="AO1031" s="113"/>
      <c r="AP1031" s="113"/>
      <c r="AQ1031" s="113"/>
      <c r="AR1031" s="113"/>
      <c r="AS1031" s="113"/>
      <c r="AT1031" s="113"/>
      <c r="AU1031" s="113"/>
      <c r="AV1031" s="113"/>
      <c r="AW1031" s="113"/>
      <c r="AX1031" s="113"/>
      <c r="AY1031" s="113"/>
      <c r="AZ1031" s="113"/>
      <c r="BA1031" s="113"/>
      <c r="BB1031" s="113"/>
      <c r="BC1031" s="113"/>
      <c r="BD1031" s="113"/>
      <c r="BE1031" s="113"/>
      <c r="BF1031" s="113"/>
      <c r="BG1031" s="113"/>
      <c r="BH1031" s="113"/>
      <c r="BI1031" s="113"/>
    </row>
    <row r="1032" spans="1:61" ht="24.6" customHeight="1">
      <c r="A1032" s="1028" t="s">
        <v>1036</v>
      </c>
      <c r="B1032" s="564" t="s">
        <v>89</v>
      </c>
      <c r="C1032" s="564"/>
      <c r="D1032" s="564"/>
      <c r="E1032" s="564"/>
      <c r="F1032" s="564"/>
      <c r="G1032" s="103">
        <f>J1032</f>
        <v>0</v>
      </c>
      <c r="H1032" s="103"/>
      <c r="I1032" s="103"/>
      <c r="J1032" s="103"/>
      <c r="K1032" s="103"/>
      <c r="L1032" s="103"/>
      <c r="M1032" s="679"/>
      <c r="N1032" s="564"/>
      <c r="O1032" s="1030" t="s">
        <v>882</v>
      </c>
    </row>
    <row r="1033" spans="1:61" ht="24.6" customHeight="1">
      <c r="A1033" s="1036"/>
      <c r="B1033" s="564" t="s">
        <v>248</v>
      </c>
      <c r="C1033" s="564"/>
      <c r="D1033" s="564"/>
      <c r="E1033" s="564"/>
      <c r="F1033" s="564"/>
      <c r="G1033" s="103">
        <f>K1033</f>
        <v>0</v>
      </c>
      <c r="H1033" s="103"/>
      <c r="I1033" s="103"/>
      <c r="J1033" s="103"/>
      <c r="K1033" s="103">
        <v>0</v>
      </c>
      <c r="L1033" s="103"/>
      <c r="M1033" s="679">
        <v>5000</v>
      </c>
      <c r="N1033" s="564"/>
      <c r="O1033" s="1032"/>
    </row>
    <row r="1034" spans="1:61" s="45" customFormat="1" ht="24.6" customHeight="1">
      <c r="A1034" s="1028" t="s">
        <v>600</v>
      </c>
      <c r="B1034" s="780" t="s">
        <v>89</v>
      </c>
      <c r="C1034" s="780"/>
      <c r="D1034" s="780"/>
      <c r="E1034" s="780"/>
      <c r="F1034" s="780"/>
      <c r="G1034" s="103"/>
      <c r="H1034" s="103"/>
      <c r="I1034" s="103"/>
      <c r="J1034" s="103"/>
      <c r="K1034" s="103"/>
      <c r="L1034" s="103"/>
      <c r="M1034" s="679"/>
      <c r="N1034" s="780"/>
      <c r="O1034" s="1030" t="s">
        <v>882</v>
      </c>
      <c r="AJ1034" s="113"/>
      <c r="AK1034" s="113"/>
      <c r="AL1034" s="113"/>
      <c r="AM1034" s="113"/>
      <c r="AN1034" s="113"/>
      <c r="AO1034" s="113"/>
      <c r="AP1034" s="113"/>
      <c r="AQ1034" s="113"/>
      <c r="AR1034" s="113"/>
      <c r="AS1034" s="113"/>
      <c r="AT1034" s="113"/>
      <c r="AU1034" s="113"/>
      <c r="AV1034" s="113"/>
      <c r="AW1034" s="113"/>
      <c r="AX1034" s="113"/>
      <c r="AY1034" s="113"/>
      <c r="AZ1034" s="113"/>
      <c r="BA1034" s="113"/>
      <c r="BB1034" s="113"/>
      <c r="BC1034" s="113"/>
      <c r="BD1034" s="113"/>
      <c r="BE1034" s="113"/>
      <c r="BF1034" s="113"/>
      <c r="BG1034" s="113"/>
      <c r="BH1034" s="113"/>
      <c r="BI1034" s="113"/>
    </row>
    <row r="1035" spans="1:61" ht="24.6" customHeight="1">
      <c r="A1035" s="1029"/>
      <c r="B1035" s="780" t="s">
        <v>248</v>
      </c>
      <c r="C1035" s="780"/>
      <c r="D1035" s="780"/>
      <c r="E1035" s="780"/>
      <c r="F1035" s="780"/>
      <c r="G1035" s="103"/>
      <c r="H1035" s="103"/>
      <c r="I1035" s="103"/>
      <c r="J1035" s="103"/>
      <c r="K1035" s="103"/>
      <c r="L1035" s="103"/>
      <c r="M1035" s="679">
        <v>5000</v>
      </c>
      <c r="N1035" s="780"/>
      <c r="O1035" s="1032"/>
    </row>
    <row r="1036" spans="1:61" s="45" customFormat="1" ht="24.6" customHeight="1">
      <c r="A1036" s="1028" t="s">
        <v>970</v>
      </c>
      <c r="B1036" s="564" t="s">
        <v>89</v>
      </c>
      <c r="C1036" s="564"/>
      <c r="D1036" s="564"/>
      <c r="E1036" s="564"/>
      <c r="F1036" s="564"/>
      <c r="G1036" s="103"/>
      <c r="H1036" s="103"/>
      <c r="I1036" s="103"/>
      <c r="J1036" s="103"/>
      <c r="K1036" s="103"/>
      <c r="L1036" s="103"/>
      <c r="M1036" s="679"/>
      <c r="N1036" s="564"/>
      <c r="O1036" s="1030" t="s">
        <v>882</v>
      </c>
      <c r="AJ1036" s="113"/>
      <c r="AK1036" s="113"/>
      <c r="AL1036" s="113"/>
      <c r="AM1036" s="113"/>
      <c r="AN1036" s="113"/>
      <c r="AO1036" s="113"/>
      <c r="AP1036" s="113"/>
      <c r="AQ1036" s="113"/>
      <c r="AR1036" s="113"/>
      <c r="AS1036" s="113"/>
      <c r="AT1036" s="113"/>
      <c r="AU1036" s="113"/>
      <c r="AV1036" s="113"/>
      <c r="AW1036" s="113"/>
      <c r="AX1036" s="113"/>
      <c r="AY1036" s="113"/>
      <c r="AZ1036" s="113"/>
      <c r="BA1036" s="113"/>
      <c r="BB1036" s="113"/>
      <c r="BC1036" s="113"/>
      <c r="BD1036" s="113"/>
      <c r="BE1036" s="113"/>
      <c r="BF1036" s="113"/>
      <c r="BG1036" s="113"/>
      <c r="BH1036" s="113"/>
      <c r="BI1036" s="113"/>
    </row>
    <row r="1037" spans="1:61" ht="24.6" customHeight="1">
      <c r="A1037" s="1029"/>
      <c r="B1037" s="564" t="s">
        <v>248</v>
      </c>
      <c r="C1037" s="564"/>
      <c r="D1037" s="564"/>
      <c r="E1037" s="564"/>
      <c r="F1037" s="564"/>
      <c r="G1037" s="103"/>
      <c r="H1037" s="103"/>
      <c r="I1037" s="103"/>
      <c r="J1037" s="103"/>
      <c r="K1037" s="103"/>
      <c r="L1037" s="103"/>
      <c r="M1037" s="679">
        <v>5000</v>
      </c>
      <c r="N1037" s="564"/>
      <c r="O1037" s="1032"/>
    </row>
    <row r="1038" spans="1:61" ht="24.6" customHeight="1">
      <c r="A1038" s="1028" t="s">
        <v>879</v>
      </c>
      <c r="B1038" s="564" t="s">
        <v>89</v>
      </c>
      <c r="C1038" s="564"/>
      <c r="D1038" s="564"/>
      <c r="E1038" s="564"/>
      <c r="F1038" s="564"/>
      <c r="G1038" s="103">
        <f>K1038</f>
        <v>1.3</v>
      </c>
      <c r="H1038" s="103"/>
      <c r="I1038" s="103"/>
      <c r="J1038" s="103"/>
      <c r="K1038" s="103">
        <v>1.3</v>
      </c>
      <c r="L1038" s="103"/>
      <c r="M1038" s="679">
        <v>1</v>
      </c>
      <c r="N1038" s="564"/>
      <c r="O1038" s="1030" t="s">
        <v>1072</v>
      </c>
    </row>
    <row r="1039" spans="1:61" ht="24.6" customHeight="1">
      <c r="A1039" s="1029"/>
      <c r="B1039" s="564" t="s">
        <v>248</v>
      </c>
      <c r="C1039" s="564"/>
      <c r="D1039" s="564"/>
      <c r="E1039" s="564"/>
      <c r="F1039" s="564"/>
      <c r="G1039" s="103">
        <f>K1039</f>
        <v>35903.1</v>
      </c>
      <c r="H1039" s="103"/>
      <c r="I1039" s="103"/>
      <c r="J1039" s="103"/>
      <c r="K1039" s="103">
        <f>16043.1+19860</f>
        <v>35903.1</v>
      </c>
      <c r="L1039" s="103">
        <f>17000+10000-17000-3160</f>
        <v>6840</v>
      </c>
      <c r="M1039" s="679">
        <f>13895.4+8475.1</f>
        <v>22370.5</v>
      </c>
      <c r="N1039" s="564"/>
      <c r="O1039" s="1031"/>
    </row>
    <row r="1040" spans="1:61" ht="25.5" customHeight="1">
      <c r="A1040" s="985" t="s">
        <v>155</v>
      </c>
      <c r="B1040" s="62" t="s">
        <v>89</v>
      </c>
      <c r="C1040" s="62"/>
      <c r="D1040" s="62"/>
      <c r="E1040" s="62"/>
      <c r="F1040" s="62"/>
      <c r="G1040" s="102">
        <f>G1044+G1046+G1048+G1050</f>
        <v>1</v>
      </c>
      <c r="H1040" s="102">
        <f t="shared" ref="H1040:M1040" si="330">H1044+H1046+H1048+H1050</f>
        <v>0</v>
      </c>
      <c r="I1040" s="102">
        <f t="shared" si="330"/>
        <v>0</v>
      </c>
      <c r="J1040" s="102">
        <f t="shared" si="330"/>
        <v>0</v>
      </c>
      <c r="K1040" s="102">
        <f t="shared" si="330"/>
        <v>1</v>
      </c>
      <c r="L1040" s="102">
        <f t="shared" si="330"/>
        <v>0</v>
      </c>
      <c r="M1040" s="102">
        <f t="shared" si="330"/>
        <v>0.8</v>
      </c>
      <c r="N1040" s="564"/>
      <c r="O1040" s="62"/>
    </row>
    <row r="1041" spans="1:61" ht="25.5" customHeight="1">
      <c r="A1041" s="986"/>
      <c r="B1041" s="62" t="s">
        <v>25</v>
      </c>
      <c r="C1041" s="62"/>
      <c r="D1041" s="62"/>
      <c r="E1041" s="62"/>
      <c r="F1041" s="62"/>
      <c r="G1041" s="102">
        <f>G1042+G1043</f>
        <v>12797.800000000001</v>
      </c>
      <c r="H1041" s="102">
        <f t="shared" ref="H1041:M1041" si="331">H1042+H1043</f>
        <v>0</v>
      </c>
      <c r="I1041" s="102">
        <f t="shared" si="331"/>
        <v>0</v>
      </c>
      <c r="J1041" s="102">
        <f t="shared" si="331"/>
        <v>0</v>
      </c>
      <c r="K1041" s="102">
        <f t="shared" si="331"/>
        <v>12797.800000000001</v>
      </c>
      <c r="L1041" s="102">
        <f t="shared" si="331"/>
        <v>0</v>
      </c>
      <c r="M1041" s="499">
        <f t="shared" si="331"/>
        <v>63737.4</v>
      </c>
      <c r="N1041" s="564"/>
      <c r="O1041" s="62"/>
    </row>
    <row r="1042" spans="1:61" ht="25.5" customHeight="1">
      <c r="A1042" s="986"/>
      <c r="B1042" s="62" t="s">
        <v>10</v>
      </c>
      <c r="C1042" s="62"/>
      <c r="D1042" s="62"/>
      <c r="E1042" s="62"/>
      <c r="F1042" s="62"/>
      <c r="G1042" s="102">
        <f>G1045+G1047+G1049+G1052</f>
        <v>12797.800000000001</v>
      </c>
      <c r="H1042" s="102">
        <f t="shared" ref="H1042:M1042" si="332">H1045+H1047+H1049+H1052</f>
        <v>0</v>
      </c>
      <c r="I1042" s="102">
        <f t="shared" si="332"/>
        <v>0</v>
      </c>
      <c r="J1042" s="102">
        <f t="shared" si="332"/>
        <v>0</v>
      </c>
      <c r="K1042" s="102">
        <f t="shared" si="332"/>
        <v>12797.800000000001</v>
      </c>
      <c r="L1042" s="102">
        <f t="shared" si="332"/>
        <v>0</v>
      </c>
      <c r="M1042" s="102">
        <f t="shared" si="332"/>
        <v>63737.4</v>
      </c>
      <c r="N1042" s="564"/>
      <c r="O1042" s="62"/>
    </row>
    <row r="1043" spans="1:61" ht="25.5" customHeight="1">
      <c r="A1043" s="987"/>
      <c r="B1043" s="62" t="s">
        <v>502</v>
      </c>
      <c r="C1043" s="62"/>
      <c r="D1043" s="62"/>
      <c r="E1043" s="62"/>
      <c r="F1043" s="62"/>
      <c r="G1043" s="102">
        <f>G1053</f>
        <v>0</v>
      </c>
      <c r="H1043" s="102">
        <f t="shared" ref="H1043:M1043" si="333">H1053</f>
        <v>0</v>
      </c>
      <c r="I1043" s="102">
        <f t="shared" si="333"/>
        <v>0</v>
      </c>
      <c r="J1043" s="102">
        <f t="shared" si="333"/>
        <v>0</v>
      </c>
      <c r="K1043" s="102">
        <f t="shared" si="333"/>
        <v>0</v>
      </c>
      <c r="L1043" s="102">
        <f t="shared" si="333"/>
        <v>0</v>
      </c>
      <c r="M1043" s="499">
        <f t="shared" si="333"/>
        <v>0</v>
      </c>
      <c r="N1043" s="564"/>
      <c r="O1043" s="62"/>
    </row>
    <row r="1044" spans="1:61" ht="25.5" customHeight="1">
      <c r="A1044" s="1039" t="s">
        <v>154</v>
      </c>
      <c r="B1044" s="564" t="s">
        <v>89</v>
      </c>
      <c r="C1044" s="564">
        <v>176</v>
      </c>
      <c r="D1044" s="564" t="s">
        <v>15</v>
      </c>
      <c r="E1044" s="564">
        <v>6100404</v>
      </c>
      <c r="F1044" s="564">
        <v>244</v>
      </c>
      <c r="G1044" s="103">
        <f>K1044</f>
        <v>0</v>
      </c>
      <c r="H1044" s="103"/>
      <c r="I1044" s="103"/>
      <c r="J1044" s="103"/>
      <c r="K1044" s="103"/>
      <c r="L1044" s="103"/>
      <c r="M1044" s="679"/>
      <c r="N1044" s="564"/>
      <c r="O1044" s="1030" t="s">
        <v>882</v>
      </c>
    </row>
    <row r="1045" spans="1:61" s="45" customFormat="1" ht="25.5" customHeight="1">
      <c r="A1045" s="1039"/>
      <c r="B1045" s="564" t="s">
        <v>248</v>
      </c>
      <c r="C1045" s="564"/>
      <c r="D1045" s="564"/>
      <c r="E1045" s="564"/>
      <c r="F1045" s="564"/>
      <c r="G1045" s="103">
        <f>K1045</f>
        <v>576.70000000000005</v>
      </c>
      <c r="H1045" s="103"/>
      <c r="I1045" s="103"/>
      <c r="J1045" s="103"/>
      <c r="K1045" s="103">
        <v>576.70000000000005</v>
      </c>
      <c r="L1045" s="103"/>
      <c r="M1045" s="679">
        <v>33062</v>
      </c>
      <c r="N1045" s="564"/>
      <c r="O1045" s="1032"/>
      <c r="AJ1045" s="113"/>
      <c r="AK1045" s="113"/>
      <c r="AL1045" s="113"/>
      <c r="AM1045" s="113"/>
      <c r="AN1045" s="113"/>
      <c r="AO1045" s="113"/>
      <c r="AP1045" s="113"/>
      <c r="AQ1045" s="113"/>
      <c r="AR1045" s="113"/>
      <c r="AS1045" s="113"/>
      <c r="AT1045" s="113"/>
      <c r="AU1045" s="113"/>
      <c r="AV1045" s="113"/>
      <c r="AW1045" s="113"/>
      <c r="AX1045" s="113"/>
      <c r="AY1045" s="113"/>
      <c r="AZ1045" s="113"/>
      <c r="BA1045" s="113"/>
      <c r="BB1045" s="113"/>
      <c r="BC1045" s="113"/>
      <c r="BD1045" s="113"/>
      <c r="BE1045" s="113"/>
      <c r="BF1045" s="113"/>
      <c r="BG1045" s="113"/>
      <c r="BH1045" s="113"/>
      <c r="BI1045" s="113"/>
    </row>
    <row r="1046" spans="1:61" s="45" customFormat="1" ht="25.5" customHeight="1">
      <c r="A1046" s="1028" t="s">
        <v>972</v>
      </c>
      <c r="B1046" s="791" t="s">
        <v>89</v>
      </c>
      <c r="C1046" s="791">
        <v>176</v>
      </c>
      <c r="D1046" s="791" t="s">
        <v>15</v>
      </c>
      <c r="E1046" s="791">
        <v>6100404</v>
      </c>
      <c r="F1046" s="791">
        <v>244</v>
      </c>
      <c r="G1046" s="103">
        <f>J1046</f>
        <v>0</v>
      </c>
      <c r="H1046" s="103"/>
      <c r="I1046" s="103"/>
      <c r="J1046" s="103"/>
      <c r="K1046" s="103"/>
      <c r="L1046" s="103"/>
      <c r="M1046" s="679"/>
      <c r="N1046" s="791"/>
      <c r="O1046" s="1030" t="s">
        <v>882</v>
      </c>
      <c r="AJ1046" s="113"/>
      <c r="AK1046" s="113"/>
      <c r="AL1046" s="113"/>
      <c r="AM1046" s="113"/>
      <c r="AN1046" s="113"/>
      <c r="AO1046" s="113"/>
      <c r="AP1046" s="113"/>
      <c r="AQ1046" s="113"/>
      <c r="AR1046" s="113"/>
      <c r="AS1046" s="113"/>
      <c r="AT1046" s="113"/>
      <c r="AU1046" s="113"/>
      <c r="AV1046" s="113"/>
      <c r="AW1046" s="113"/>
      <c r="AX1046" s="113"/>
      <c r="AY1046" s="113"/>
      <c r="AZ1046" s="113"/>
      <c r="BA1046" s="113"/>
      <c r="BB1046" s="113"/>
      <c r="BC1046" s="113"/>
      <c r="BD1046" s="113"/>
      <c r="BE1046" s="113"/>
      <c r="BF1046" s="113"/>
      <c r="BG1046" s="113"/>
      <c r="BH1046" s="113"/>
      <c r="BI1046" s="113"/>
    </row>
    <row r="1047" spans="1:61" s="45" customFormat="1" ht="25.5" customHeight="1">
      <c r="A1047" s="1029"/>
      <c r="B1047" s="791" t="s">
        <v>248</v>
      </c>
      <c r="C1047" s="791"/>
      <c r="D1047" s="791"/>
      <c r="E1047" s="791"/>
      <c r="F1047" s="791"/>
      <c r="G1047" s="103"/>
      <c r="H1047" s="103"/>
      <c r="I1047" s="103"/>
      <c r="J1047" s="103"/>
      <c r="K1047" s="103"/>
      <c r="L1047" s="103"/>
      <c r="M1047" s="679">
        <v>10000</v>
      </c>
      <c r="N1047" s="791"/>
      <c r="O1047" s="1032"/>
      <c r="AJ1047" s="113"/>
      <c r="AK1047" s="113"/>
      <c r="AL1047" s="113"/>
      <c r="AM1047" s="113"/>
      <c r="AN1047" s="113"/>
      <c r="AO1047" s="113"/>
      <c r="AP1047" s="113"/>
      <c r="AQ1047" s="113"/>
      <c r="AR1047" s="113"/>
      <c r="AS1047" s="113"/>
      <c r="AT1047" s="113"/>
      <c r="AU1047" s="113"/>
      <c r="AV1047" s="113"/>
      <c r="AW1047" s="113"/>
      <c r="AX1047" s="113"/>
      <c r="AY1047" s="113"/>
      <c r="AZ1047" s="113"/>
      <c r="BA1047" s="113"/>
      <c r="BB1047" s="113"/>
      <c r="BC1047" s="113"/>
      <c r="BD1047" s="113"/>
      <c r="BE1047" s="113"/>
      <c r="BF1047" s="113"/>
      <c r="BG1047" s="113"/>
      <c r="BH1047" s="113"/>
      <c r="BI1047" s="113"/>
    </row>
    <row r="1048" spans="1:61" s="45" customFormat="1" ht="25.5" customHeight="1">
      <c r="A1048" s="1028" t="s">
        <v>973</v>
      </c>
      <c r="B1048" s="564" t="s">
        <v>89</v>
      </c>
      <c r="C1048" s="564">
        <v>176</v>
      </c>
      <c r="D1048" s="564" t="s">
        <v>15</v>
      </c>
      <c r="E1048" s="564">
        <v>6100404</v>
      </c>
      <c r="F1048" s="564">
        <v>244</v>
      </c>
      <c r="G1048" s="103">
        <f>J1048</f>
        <v>0</v>
      </c>
      <c r="H1048" s="103"/>
      <c r="I1048" s="103"/>
      <c r="J1048" s="103"/>
      <c r="K1048" s="103"/>
      <c r="L1048" s="103"/>
      <c r="M1048" s="679"/>
      <c r="N1048" s="564"/>
      <c r="O1048" s="1030" t="s">
        <v>882</v>
      </c>
      <c r="AJ1048" s="113"/>
      <c r="AK1048" s="113"/>
      <c r="AL1048" s="113"/>
      <c r="AM1048" s="113"/>
      <c r="AN1048" s="113"/>
      <c r="AO1048" s="113"/>
      <c r="AP1048" s="113"/>
      <c r="AQ1048" s="113"/>
      <c r="AR1048" s="113"/>
      <c r="AS1048" s="113"/>
      <c r="AT1048" s="113"/>
      <c r="AU1048" s="113"/>
      <c r="AV1048" s="113"/>
      <c r="AW1048" s="113"/>
      <c r="AX1048" s="113"/>
      <c r="AY1048" s="113"/>
      <c r="AZ1048" s="113"/>
      <c r="BA1048" s="113"/>
      <c r="BB1048" s="113"/>
      <c r="BC1048" s="113"/>
      <c r="BD1048" s="113"/>
      <c r="BE1048" s="113"/>
      <c r="BF1048" s="113"/>
      <c r="BG1048" s="113"/>
      <c r="BH1048" s="113"/>
      <c r="BI1048" s="113"/>
    </row>
    <row r="1049" spans="1:61" s="45" customFormat="1" ht="25.5" customHeight="1">
      <c r="A1049" s="1029"/>
      <c r="B1049" s="564" t="s">
        <v>248</v>
      </c>
      <c r="C1049" s="564"/>
      <c r="D1049" s="564"/>
      <c r="E1049" s="564"/>
      <c r="F1049" s="564"/>
      <c r="G1049" s="103"/>
      <c r="H1049" s="103"/>
      <c r="I1049" s="103"/>
      <c r="J1049" s="103"/>
      <c r="K1049" s="103"/>
      <c r="L1049" s="103"/>
      <c r="M1049" s="679">
        <v>10000</v>
      </c>
      <c r="N1049" s="564"/>
      <c r="O1049" s="1032"/>
      <c r="AJ1049" s="113"/>
      <c r="AK1049" s="113"/>
      <c r="AL1049" s="113"/>
      <c r="AM1049" s="113"/>
      <c r="AN1049" s="113"/>
      <c r="AO1049" s="113"/>
      <c r="AP1049" s="113"/>
      <c r="AQ1049" s="113"/>
      <c r="AR1049" s="113"/>
      <c r="AS1049" s="113"/>
      <c r="AT1049" s="113"/>
      <c r="AU1049" s="113"/>
      <c r="AV1049" s="113"/>
      <c r="AW1049" s="113"/>
      <c r="AX1049" s="113"/>
      <c r="AY1049" s="113"/>
      <c r="AZ1049" s="113"/>
      <c r="BA1049" s="113"/>
      <c r="BB1049" s="113"/>
      <c r="BC1049" s="113"/>
      <c r="BD1049" s="113"/>
      <c r="BE1049" s="113"/>
      <c r="BF1049" s="113"/>
      <c r="BG1049" s="113"/>
      <c r="BH1049" s="113"/>
      <c r="BI1049" s="113"/>
    </row>
    <row r="1050" spans="1:61" s="45" customFormat="1" ht="25.5" customHeight="1">
      <c r="A1050" s="1028" t="s">
        <v>879</v>
      </c>
      <c r="B1050" s="564" t="s">
        <v>89</v>
      </c>
      <c r="C1050" s="564"/>
      <c r="D1050" s="564"/>
      <c r="E1050" s="564"/>
      <c r="F1050" s="564"/>
      <c r="G1050" s="103">
        <f>K1050</f>
        <v>1</v>
      </c>
      <c r="H1050" s="103"/>
      <c r="I1050" s="103"/>
      <c r="J1050" s="103"/>
      <c r="K1050" s="103">
        <v>1</v>
      </c>
      <c r="L1050" s="103"/>
      <c r="M1050" s="679">
        <v>0.8</v>
      </c>
      <c r="N1050" s="564"/>
      <c r="O1050" s="1030" t="s">
        <v>1073</v>
      </c>
      <c r="AJ1050" s="113"/>
      <c r="AK1050" s="113"/>
      <c r="AL1050" s="113"/>
      <c r="AM1050" s="113"/>
      <c r="AN1050" s="113"/>
      <c r="AO1050" s="113"/>
      <c r="AP1050" s="113"/>
      <c r="AQ1050" s="113"/>
      <c r="AR1050" s="113"/>
      <c r="AS1050" s="113"/>
      <c r="AT1050" s="113"/>
      <c r="AU1050" s="113"/>
      <c r="AV1050" s="113"/>
      <c r="AW1050" s="113"/>
      <c r="AX1050" s="113"/>
      <c r="AY1050" s="113"/>
      <c r="AZ1050" s="113"/>
      <c r="BA1050" s="113"/>
      <c r="BB1050" s="113"/>
      <c r="BC1050" s="113"/>
      <c r="BD1050" s="113"/>
      <c r="BE1050" s="113"/>
      <c r="BF1050" s="113"/>
      <c r="BG1050" s="113"/>
      <c r="BH1050" s="113"/>
      <c r="BI1050" s="113"/>
    </row>
    <row r="1051" spans="1:61" s="45" customFormat="1" ht="25.5" customHeight="1">
      <c r="A1051" s="1036"/>
      <c r="B1051" s="564" t="s">
        <v>25</v>
      </c>
      <c r="C1051" s="564"/>
      <c r="D1051" s="564"/>
      <c r="E1051" s="564"/>
      <c r="F1051" s="564"/>
      <c r="G1051" s="103">
        <f t="shared" ref="G1051:G1053" si="334">K1051</f>
        <v>12221.1</v>
      </c>
      <c r="H1051" s="103"/>
      <c r="I1051" s="103"/>
      <c r="J1051" s="103"/>
      <c r="K1051" s="103">
        <f>K1052+K1053</f>
        <v>12221.1</v>
      </c>
      <c r="L1051" s="103">
        <f>L1052</f>
        <v>0</v>
      </c>
      <c r="M1051" s="679">
        <f>M1052</f>
        <v>10675.4</v>
      </c>
      <c r="N1051" s="564"/>
      <c r="O1051" s="1032"/>
      <c r="AJ1051" s="113"/>
      <c r="AK1051" s="113"/>
      <c r="AL1051" s="113"/>
      <c r="AM1051" s="113"/>
      <c r="AN1051" s="113"/>
      <c r="AO1051" s="113"/>
      <c r="AP1051" s="113"/>
      <c r="AQ1051" s="113"/>
      <c r="AR1051" s="113"/>
      <c r="AS1051" s="113"/>
      <c r="AT1051" s="113"/>
      <c r="AU1051" s="113"/>
      <c r="AV1051" s="113"/>
      <c r="AW1051" s="113"/>
      <c r="AX1051" s="113"/>
      <c r="AY1051" s="113"/>
      <c r="AZ1051" s="113"/>
      <c r="BA1051" s="113"/>
      <c r="BB1051" s="113"/>
      <c r="BC1051" s="113"/>
      <c r="BD1051" s="113"/>
      <c r="BE1051" s="113"/>
      <c r="BF1051" s="113"/>
      <c r="BG1051" s="113"/>
      <c r="BH1051" s="113"/>
      <c r="BI1051" s="113"/>
    </row>
    <row r="1052" spans="1:61" s="45" customFormat="1" ht="25.5" customHeight="1">
      <c r="A1052" s="1036"/>
      <c r="B1052" s="564" t="s">
        <v>10</v>
      </c>
      <c r="C1052" s="564"/>
      <c r="D1052" s="564"/>
      <c r="E1052" s="564"/>
      <c r="F1052" s="564"/>
      <c r="G1052" s="103">
        <f t="shared" si="334"/>
        <v>12221.1</v>
      </c>
      <c r="H1052" s="103"/>
      <c r="I1052" s="103"/>
      <c r="J1052" s="103"/>
      <c r="K1052" s="103">
        <v>12221.1</v>
      </c>
      <c r="L1052" s="103"/>
      <c r="M1052" s="679">
        <v>10675.4</v>
      </c>
      <c r="N1052" s="564"/>
      <c r="O1052" s="1032"/>
      <c r="AJ1052" s="113"/>
      <c r="AK1052" s="113"/>
      <c r="AL1052" s="113"/>
      <c r="AM1052" s="113"/>
      <c r="AN1052" s="113"/>
      <c r="AO1052" s="113"/>
      <c r="AP1052" s="113"/>
      <c r="AQ1052" s="113"/>
      <c r="AR1052" s="113"/>
      <c r="AS1052" s="113"/>
      <c r="AT1052" s="113"/>
      <c r="AU1052" s="113"/>
      <c r="AV1052" s="113"/>
      <c r="AW1052" s="113"/>
      <c r="AX1052" s="113"/>
      <c r="AY1052" s="113"/>
      <c r="AZ1052" s="113"/>
      <c r="BA1052" s="113"/>
      <c r="BB1052" s="113"/>
      <c r="BC1052" s="113"/>
      <c r="BD1052" s="113"/>
      <c r="BE1052" s="113"/>
      <c r="BF1052" s="113"/>
      <c r="BG1052" s="113"/>
      <c r="BH1052" s="113"/>
      <c r="BI1052" s="113"/>
    </row>
    <row r="1053" spans="1:61" s="45" customFormat="1" ht="25.5" customHeight="1">
      <c r="A1053" s="1029"/>
      <c r="B1053" s="564" t="s">
        <v>502</v>
      </c>
      <c r="C1053" s="564"/>
      <c r="D1053" s="564"/>
      <c r="E1053" s="564"/>
      <c r="F1053" s="564"/>
      <c r="G1053" s="103">
        <f t="shared" si="334"/>
        <v>0</v>
      </c>
      <c r="H1053" s="103"/>
      <c r="I1053" s="103"/>
      <c r="J1053" s="103"/>
      <c r="K1053" s="103"/>
      <c r="L1053" s="103"/>
      <c r="M1053" s="679"/>
      <c r="N1053" s="564"/>
      <c r="O1053" s="1031"/>
      <c r="AJ1053" s="113"/>
      <c r="AK1053" s="113"/>
      <c r="AL1053" s="113"/>
      <c r="AM1053" s="113"/>
      <c r="AN1053" s="113"/>
      <c r="AO1053" s="113"/>
      <c r="AP1053" s="113"/>
      <c r="AQ1053" s="113"/>
      <c r="AR1053" s="113"/>
      <c r="AS1053" s="113"/>
      <c r="AT1053" s="113"/>
      <c r="AU1053" s="113"/>
      <c r="AV1053" s="113"/>
      <c r="AW1053" s="113"/>
      <c r="AX1053" s="113"/>
      <c r="AY1053" s="113"/>
      <c r="AZ1053" s="113"/>
      <c r="BA1053" s="113"/>
      <c r="BB1053" s="113"/>
      <c r="BC1053" s="113"/>
      <c r="BD1053" s="113"/>
      <c r="BE1053" s="113"/>
      <c r="BF1053" s="113"/>
      <c r="BG1053" s="113"/>
      <c r="BH1053" s="113"/>
      <c r="BI1053" s="113"/>
    </row>
    <row r="1054" spans="1:61" s="45" customFormat="1" ht="25.5" customHeight="1">
      <c r="A1054" s="985" t="s">
        <v>125</v>
      </c>
      <c r="B1054" s="62" t="s">
        <v>89</v>
      </c>
      <c r="C1054" s="564"/>
      <c r="D1054" s="564"/>
      <c r="E1054" s="564"/>
      <c r="F1054" s="564"/>
      <c r="G1054" s="102">
        <f>G1058+G1062+G1066+G1070</f>
        <v>3.3</v>
      </c>
      <c r="H1054" s="102">
        <f t="shared" ref="H1054:M1054" si="335">H1058+H1062+H1066+H1070</f>
        <v>0</v>
      </c>
      <c r="I1054" s="102">
        <f t="shared" si="335"/>
        <v>0</v>
      </c>
      <c r="J1054" s="102">
        <f t="shared" si="335"/>
        <v>0</v>
      </c>
      <c r="K1054" s="102">
        <f t="shared" si="335"/>
        <v>3.3</v>
      </c>
      <c r="L1054" s="102">
        <f t="shared" si="335"/>
        <v>0</v>
      </c>
      <c r="M1054" s="102">
        <f t="shared" si="335"/>
        <v>5.4</v>
      </c>
      <c r="N1054" s="564"/>
      <c r="O1054" s="568"/>
      <c r="AJ1054" s="113"/>
      <c r="AK1054" s="113"/>
      <c r="AL1054" s="113"/>
      <c r="AM1054" s="113"/>
      <c r="AN1054" s="113"/>
      <c r="AO1054" s="113"/>
      <c r="AP1054" s="113"/>
      <c r="AQ1054" s="113"/>
      <c r="AR1054" s="113"/>
      <c r="AS1054" s="113"/>
      <c r="AT1054" s="113"/>
      <c r="AU1054" s="113"/>
      <c r="AV1054" s="113"/>
      <c r="AW1054" s="113"/>
      <c r="AX1054" s="113"/>
      <c r="AY1054" s="113"/>
      <c r="AZ1054" s="113"/>
      <c r="BA1054" s="113"/>
      <c r="BB1054" s="113"/>
      <c r="BC1054" s="113"/>
      <c r="BD1054" s="113"/>
      <c r="BE1054" s="113"/>
      <c r="BF1054" s="113"/>
      <c r="BG1054" s="113"/>
      <c r="BH1054" s="113"/>
      <c r="BI1054" s="113"/>
    </row>
    <row r="1055" spans="1:61" s="45" customFormat="1" ht="25.5" customHeight="1">
      <c r="A1055" s="986"/>
      <c r="B1055" s="62" t="s">
        <v>25</v>
      </c>
      <c r="C1055" s="564"/>
      <c r="D1055" s="564"/>
      <c r="E1055" s="564"/>
      <c r="F1055" s="564"/>
      <c r="G1055" s="102">
        <f>G1056+G1057</f>
        <v>72574.7</v>
      </c>
      <c r="H1055" s="102">
        <f t="shared" ref="H1055:M1055" si="336">H1056+H1057</f>
        <v>0</v>
      </c>
      <c r="I1055" s="102">
        <f t="shared" si="336"/>
        <v>0</v>
      </c>
      <c r="J1055" s="102">
        <f t="shared" si="336"/>
        <v>0</v>
      </c>
      <c r="K1055" s="102">
        <f t="shared" si="336"/>
        <v>72574.7</v>
      </c>
      <c r="L1055" s="102">
        <f t="shared" si="336"/>
        <v>10649</v>
      </c>
      <c r="M1055" s="499">
        <f t="shared" si="336"/>
        <v>97405.3</v>
      </c>
      <c r="N1055" s="564"/>
      <c r="O1055" s="568"/>
      <c r="AJ1055" s="113"/>
      <c r="AK1055" s="113"/>
      <c r="AL1055" s="113"/>
      <c r="AM1055" s="113"/>
      <c r="AN1055" s="113"/>
      <c r="AO1055" s="113"/>
      <c r="AP1055" s="113"/>
      <c r="AQ1055" s="113"/>
      <c r="AR1055" s="113"/>
      <c r="AS1055" s="113"/>
      <c r="AT1055" s="113"/>
      <c r="AU1055" s="113"/>
      <c r="AV1055" s="113"/>
      <c r="AW1055" s="113"/>
      <c r="AX1055" s="113"/>
      <c r="AY1055" s="113"/>
      <c r="AZ1055" s="113"/>
      <c r="BA1055" s="113"/>
      <c r="BB1055" s="113"/>
      <c r="BC1055" s="113"/>
      <c r="BD1055" s="113"/>
      <c r="BE1055" s="113"/>
      <c r="BF1055" s="113"/>
      <c r="BG1055" s="113"/>
      <c r="BH1055" s="113"/>
      <c r="BI1055" s="113"/>
    </row>
    <row r="1056" spans="1:61" s="45" customFormat="1" ht="25.5" customHeight="1">
      <c r="A1056" s="986"/>
      <c r="B1056" s="62" t="s">
        <v>10</v>
      </c>
      <c r="C1056" s="564"/>
      <c r="D1056" s="564"/>
      <c r="E1056" s="564"/>
      <c r="F1056" s="564"/>
      <c r="G1056" s="102">
        <f>G1059+G1064+G1068+G1071</f>
        <v>72574.7</v>
      </c>
      <c r="H1056" s="102">
        <f t="shared" ref="H1056:M1056" si="337">H1059+H1064+H1068+H1071</f>
        <v>0</v>
      </c>
      <c r="I1056" s="102">
        <f t="shared" si="337"/>
        <v>0</v>
      </c>
      <c r="J1056" s="102">
        <f t="shared" si="337"/>
        <v>0</v>
      </c>
      <c r="K1056" s="102">
        <f t="shared" si="337"/>
        <v>72574.7</v>
      </c>
      <c r="L1056" s="102">
        <f t="shared" si="337"/>
        <v>10649</v>
      </c>
      <c r="M1056" s="102">
        <f t="shared" si="337"/>
        <v>97405.3</v>
      </c>
      <c r="N1056" s="564"/>
      <c r="O1056" s="568"/>
      <c r="AJ1056" s="113"/>
      <c r="AK1056" s="113"/>
      <c r="AL1056" s="113"/>
      <c r="AM1056" s="113"/>
      <c r="AN1056" s="113"/>
      <c r="AO1056" s="113"/>
      <c r="AP1056" s="113"/>
      <c r="AQ1056" s="113"/>
      <c r="AR1056" s="113"/>
      <c r="AS1056" s="113"/>
      <c r="AT1056" s="113"/>
      <c r="AU1056" s="113"/>
      <c r="AV1056" s="113"/>
      <c r="AW1056" s="113"/>
      <c r="AX1056" s="113"/>
      <c r="AY1056" s="113"/>
      <c r="AZ1056" s="113"/>
      <c r="BA1056" s="113"/>
      <c r="BB1056" s="113"/>
      <c r="BC1056" s="113"/>
      <c r="BD1056" s="113"/>
      <c r="BE1056" s="113"/>
      <c r="BF1056" s="113"/>
      <c r="BG1056" s="113"/>
      <c r="BH1056" s="113"/>
      <c r="BI1056" s="113"/>
    </row>
    <row r="1057" spans="1:61" s="45" customFormat="1" ht="25.5" customHeight="1">
      <c r="A1057" s="987"/>
      <c r="B1057" s="62" t="s">
        <v>502</v>
      </c>
      <c r="C1057" s="564"/>
      <c r="D1057" s="564"/>
      <c r="E1057" s="564"/>
      <c r="F1057" s="564"/>
      <c r="G1057" s="102">
        <f>G1061+G1069</f>
        <v>0</v>
      </c>
      <c r="H1057" s="102">
        <f t="shared" ref="H1057:M1057" si="338">H1061+H1069</f>
        <v>0</v>
      </c>
      <c r="I1057" s="102">
        <f t="shared" si="338"/>
        <v>0</v>
      </c>
      <c r="J1057" s="102">
        <f t="shared" si="338"/>
        <v>0</v>
      </c>
      <c r="K1057" s="102">
        <f t="shared" si="338"/>
        <v>0</v>
      </c>
      <c r="L1057" s="102">
        <f t="shared" si="338"/>
        <v>0</v>
      </c>
      <c r="M1057" s="499">
        <f t="shared" si="338"/>
        <v>0</v>
      </c>
      <c r="N1057" s="564"/>
      <c r="O1057" s="568"/>
      <c r="AJ1057" s="113"/>
      <c r="AK1057" s="113"/>
      <c r="AL1057" s="113"/>
      <c r="AM1057" s="113"/>
      <c r="AN1057" s="113"/>
      <c r="AO1057" s="113"/>
      <c r="AP1057" s="113"/>
      <c r="AQ1057" s="113"/>
      <c r="AR1057" s="113"/>
      <c r="AS1057" s="113"/>
      <c r="AT1057" s="113"/>
      <c r="AU1057" s="113"/>
      <c r="AV1057" s="113"/>
      <c r="AW1057" s="113"/>
      <c r="AX1057" s="113"/>
      <c r="AY1057" s="113"/>
      <c r="AZ1057" s="113"/>
      <c r="BA1057" s="113"/>
      <c r="BB1057" s="113"/>
      <c r="BC1057" s="113"/>
      <c r="BD1057" s="113"/>
      <c r="BE1057" s="113"/>
      <c r="BF1057" s="113"/>
      <c r="BG1057" s="113"/>
      <c r="BH1057" s="113"/>
      <c r="BI1057" s="113"/>
    </row>
    <row r="1058" spans="1:61" s="45" customFormat="1" ht="25.5" customHeight="1">
      <c r="A1058" s="1028" t="s">
        <v>603</v>
      </c>
      <c r="B1058" s="564" t="s">
        <v>89</v>
      </c>
      <c r="C1058" s="564"/>
      <c r="D1058" s="564"/>
      <c r="E1058" s="564"/>
      <c r="F1058" s="564"/>
      <c r="G1058" s="103">
        <f>K1058</f>
        <v>2</v>
      </c>
      <c r="H1058" s="103"/>
      <c r="I1058" s="103"/>
      <c r="J1058" s="103"/>
      <c r="K1058" s="103">
        <v>2</v>
      </c>
      <c r="L1058" s="103"/>
      <c r="M1058" s="679"/>
      <c r="N1058" s="564"/>
      <c r="O1058" s="1059" t="s">
        <v>571</v>
      </c>
      <c r="AJ1058" s="113"/>
      <c r="AK1058" s="113"/>
      <c r="AL1058" s="113"/>
      <c r="AM1058" s="113"/>
      <c r="AN1058" s="113"/>
      <c r="AO1058" s="113"/>
      <c r="AP1058" s="113"/>
      <c r="AQ1058" s="113"/>
      <c r="AR1058" s="113"/>
      <c r="AS1058" s="113"/>
      <c r="AT1058" s="113"/>
      <c r="AU1058" s="113"/>
      <c r="AV1058" s="113"/>
      <c r="AW1058" s="113"/>
      <c r="AX1058" s="113"/>
      <c r="AY1058" s="113"/>
      <c r="AZ1058" s="113"/>
      <c r="BA1058" s="113"/>
      <c r="BB1058" s="113"/>
      <c r="BC1058" s="113"/>
      <c r="BD1058" s="113"/>
      <c r="BE1058" s="113"/>
      <c r="BF1058" s="113"/>
      <c r="BG1058" s="113"/>
      <c r="BH1058" s="113"/>
      <c r="BI1058" s="113"/>
    </row>
    <row r="1059" spans="1:61" s="45" customFormat="1" ht="25.5" customHeight="1">
      <c r="A1059" s="1036"/>
      <c r="B1059" s="564" t="s">
        <v>25</v>
      </c>
      <c r="C1059" s="564"/>
      <c r="D1059" s="564"/>
      <c r="E1059" s="564"/>
      <c r="F1059" s="564"/>
      <c r="G1059" s="103">
        <f t="shared" ref="G1059:G1061" si="339">K1059</f>
        <v>26000</v>
      </c>
      <c r="H1059" s="103"/>
      <c r="I1059" s="103"/>
      <c r="J1059" s="103"/>
      <c r="K1059" s="103">
        <f>K1060+K1061</f>
        <v>26000</v>
      </c>
      <c r="L1059" s="103">
        <f t="shared" ref="L1059:M1059" si="340">L1060+L1061</f>
        <v>0</v>
      </c>
      <c r="M1059" s="679">
        <f t="shared" si="340"/>
        <v>0</v>
      </c>
      <c r="N1059" s="564"/>
      <c r="O1059" s="1060"/>
      <c r="AJ1059" s="113"/>
      <c r="AK1059" s="113"/>
      <c r="AL1059" s="113"/>
      <c r="AM1059" s="113"/>
      <c r="AN1059" s="113"/>
      <c r="AO1059" s="113"/>
      <c r="AP1059" s="113"/>
      <c r="AQ1059" s="113"/>
      <c r="AR1059" s="113"/>
      <c r="AS1059" s="113"/>
      <c r="AT1059" s="113"/>
      <c r="AU1059" s="113"/>
      <c r="AV1059" s="113"/>
      <c r="AW1059" s="113"/>
      <c r="AX1059" s="113"/>
      <c r="AY1059" s="113"/>
      <c r="AZ1059" s="113"/>
      <c r="BA1059" s="113"/>
      <c r="BB1059" s="113"/>
      <c r="BC1059" s="113"/>
      <c r="BD1059" s="113"/>
      <c r="BE1059" s="113"/>
      <c r="BF1059" s="113"/>
      <c r="BG1059" s="113"/>
      <c r="BH1059" s="113"/>
      <c r="BI1059" s="113"/>
    </row>
    <row r="1060" spans="1:61" s="45" customFormat="1" ht="25.5" hidden="1" customHeight="1">
      <c r="A1060" s="1036"/>
      <c r="B1060" s="564" t="s">
        <v>10</v>
      </c>
      <c r="C1060" s="564"/>
      <c r="D1060" s="564"/>
      <c r="E1060" s="564"/>
      <c r="F1060" s="564"/>
      <c r="G1060" s="103">
        <f t="shared" si="339"/>
        <v>26000</v>
      </c>
      <c r="H1060" s="103"/>
      <c r="I1060" s="103"/>
      <c r="J1060" s="103"/>
      <c r="K1060" s="103">
        <v>26000</v>
      </c>
      <c r="L1060" s="103"/>
      <c r="M1060" s="679"/>
      <c r="N1060" s="564"/>
      <c r="O1060" s="1060"/>
      <c r="AJ1060" s="113"/>
      <c r="AK1060" s="113"/>
      <c r="AL1060" s="113"/>
      <c r="AM1060" s="113"/>
      <c r="AN1060" s="113"/>
      <c r="AO1060" s="113"/>
      <c r="AP1060" s="113"/>
      <c r="AQ1060" s="113"/>
      <c r="AR1060" s="113"/>
      <c r="AS1060" s="113"/>
      <c r="AT1060" s="113"/>
      <c r="AU1060" s="113"/>
      <c r="AV1060" s="113"/>
      <c r="AW1060" s="113"/>
      <c r="AX1060" s="113"/>
      <c r="AY1060" s="113"/>
      <c r="AZ1060" s="113"/>
      <c r="BA1060" s="113"/>
      <c r="BB1060" s="113"/>
      <c r="BC1060" s="113"/>
      <c r="BD1060" s="113"/>
      <c r="BE1060" s="113"/>
      <c r="BF1060" s="113"/>
      <c r="BG1060" s="113"/>
      <c r="BH1060" s="113"/>
      <c r="BI1060" s="113"/>
    </row>
    <row r="1061" spans="1:61" s="45" customFormat="1" ht="25.5" customHeight="1">
      <c r="A1061" s="1029"/>
      <c r="B1061" s="564" t="s">
        <v>502</v>
      </c>
      <c r="C1061" s="564"/>
      <c r="D1061" s="564"/>
      <c r="E1061" s="564"/>
      <c r="F1061" s="564"/>
      <c r="G1061" s="103">
        <f t="shared" si="339"/>
        <v>0</v>
      </c>
      <c r="H1061" s="103"/>
      <c r="I1061" s="103"/>
      <c r="J1061" s="103"/>
      <c r="K1061" s="103"/>
      <c r="L1061" s="103"/>
      <c r="M1061" s="679"/>
      <c r="N1061" s="564"/>
      <c r="O1061" s="1061"/>
      <c r="AJ1061" s="113"/>
      <c r="AK1061" s="113"/>
      <c r="AL1061" s="113"/>
      <c r="AM1061" s="113"/>
      <c r="AN1061" s="113"/>
      <c r="AO1061" s="113"/>
      <c r="AP1061" s="113"/>
      <c r="AQ1061" s="113"/>
      <c r="AR1061" s="113"/>
      <c r="AS1061" s="113"/>
      <c r="AT1061" s="113"/>
      <c r="AU1061" s="113"/>
      <c r="AV1061" s="113"/>
      <c r="AW1061" s="113"/>
      <c r="AX1061" s="113"/>
      <c r="AY1061" s="113"/>
      <c r="AZ1061" s="113"/>
      <c r="BA1061" s="113"/>
      <c r="BB1061" s="113"/>
      <c r="BC1061" s="113"/>
      <c r="BD1061" s="113"/>
      <c r="BE1061" s="113"/>
      <c r="BF1061" s="113"/>
      <c r="BG1061" s="113"/>
      <c r="BH1061" s="113"/>
      <c r="BI1061" s="113"/>
    </row>
    <row r="1062" spans="1:61" s="45" customFormat="1" ht="25.5" customHeight="1">
      <c r="A1062" s="1028" t="s">
        <v>604</v>
      </c>
      <c r="B1062" s="780" t="s">
        <v>89</v>
      </c>
      <c r="C1062" s="780"/>
      <c r="D1062" s="780"/>
      <c r="E1062" s="780"/>
      <c r="F1062" s="780"/>
      <c r="G1062" s="103">
        <f>K1062</f>
        <v>0</v>
      </c>
      <c r="H1062" s="103"/>
      <c r="I1062" s="103"/>
      <c r="J1062" s="103"/>
      <c r="K1062" s="103"/>
      <c r="L1062" s="103"/>
      <c r="M1062" s="679"/>
      <c r="N1062" s="780"/>
      <c r="O1062" s="1030" t="s">
        <v>882</v>
      </c>
      <c r="AJ1062" s="113"/>
      <c r="AK1062" s="113"/>
      <c r="AL1062" s="113"/>
      <c r="AM1062" s="113"/>
      <c r="AN1062" s="113"/>
      <c r="AO1062" s="113"/>
      <c r="AP1062" s="113"/>
      <c r="AQ1062" s="113"/>
      <c r="AR1062" s="113"/>
      <c r="AS1062" s="113"/>
      <c r="AT1062" s="113"/>
      <c r="AU1062" s="113"/>
      <c r="AV1062" s="113"/>
      <c r="AW1062" s="113"/>
      <c r="AX1062" s="113"/>
      <c r="AY1062" s="113"/>
      <c r="AZ1062" s="113"/>
      <c r="BA1062" s="113"/>
      <c r="BB1062" s="113"/>
      <c r="BC1062" s="113"/>
      <c r="BD1062" s="113"/>
      <c r="BE1062" s="113"/>
      <c r="BF1062" s="113"/>
      <c r="BG1062" s="113"/>
      <c r="BH1062" s="113"/>
      <c r="BI1062" s="113"/>
    </row>
    <row r="1063" spans="1:61" s="45" customFormat="1" ht="25.5" customHeight="1">
      <c r="A1063" s="1036"/>
      <c r="B1063" s="780" t="s">
        <v>25</v>
      </c>
      <c r="C1063" s="780"/>
      <c r="D1063" s="780"/>
      <c r="E1063" s="780"/>
      <c r="F1063" s="780"/>
      <c r="G1063" s="103">
        <f t="shared" ref="G1063:G1065" si="341">K1063</f>
        <v>30000</v>
      </c>
      <c r="H1063" s="103"/>
      <c r="I1063" s="103"/>
      <c r="J1063" s="103"/>
      <c r="K1063" s="103">
        <f>K1064+K1065</f>
        <v>30000</v>
      </c>
      <c r="L1063" s="103">
        <f t="shared" ref="L1063:M1063" si="342">L1064+L1065</f>
        <v>0</v>
      </c>
      <c r="M1063" s="679">
        <f t="shared" si="342"/>
        <v>23062</v>
      </c>
      <c r="N1063" s="780"/>
      <c r="O1063" s="1032"/>
      <c r="AJ1063" s="113"/>
      <c r="AK1063" s="113"/>
      <c r="AL1063" s="113"/>
      <c r="AM1063" s="113"/>
      <c r="AN1063" s="113"/>
      <c r="AO1063" s="113"/>
      <c r="AP1063" s="113"/>
      <c r="AQ1063" s="113"/>
      <c r="AR1063" s="113"/>
      <c r="AS1063" s="113"/>
      <c r="AT1063" s="113"/>
      <c r="AU1063" s="113"/>
      <c r="AV1063" s="113"/>
      <c r="AW1063" s="113"/>
      <c r="AX1063" s="113"/>
      <c r="AY1063" s="113"/>
      <c r="AZ1063" s="113"/>
      <c r="BA1063" s="113"/>
      <c r="BB1063" s="113"/>
      <c r="BC1063" s="113"/>
      <c r="BD1063" s="113"/>
      <c r="BE1063" s="113"/>
      <c r="BF1063" s="113"/>
      <c r="BG1063" s="113"/>
      <c r="BH1063" s="113"/>
      <c r="BI1063" s="113"/>
    </row>
    <row r="1064" spans="1:61" s="45" customFormat="1" ht="25.5" customHeight="1">
      <c r="A1064" s="1036"/>
      <c r="B1064" s="780" t="s">
        <v>10</v>
      </c>
      <c r="C1064" s="780"/>
      <c r="D1064" s="780"/>
      <c r="E1064" s="780"/>
      <c r="F1064" s="780"/>
      <c r="G1064" s="103">
        <f t="shared" si="341"/>
        <v>30000</v>
      </c>
      <c r="H1064" s="103"/>
      <c r="I1064" s="103"/>
      <c r="J1064" s="103"/>
      <c r="K1064" s="103">
        <v>30000</v>
      </c>
      <c r="L1064" s="103"/>
      <c r="M1064" s="679">
        <v>23062</v>
      </c>
      <c r="N1064" s="780"/>
      <c r="O1064" s="1032"/>
      <c r="AJ1064" s="113"/>
      <c r="AK1064" s="113"/>
      <c r="AL1064" s="113"/>
      <c r="AM1064" s="113"/>
      <c r="AN1064" s="113"/>
      <c r="AO1064" s="113"/>
      <c r="AP1064" s="113"/>
      <c r="AQ1064" s="113"/>
      <c r="AR1064" s="113"/>
      <c r="AS1064" s="113"/>
      <c r="AT1064" s="113"/>
      <c r="AU1064" s="113"/>
      <c r="AV1064" s="113"/>
      <c r="AW1064" s="113"/>
      <c r="AX1064" s="113"/>
      <c r="AY1064" s="113"/>
      <c r="AZ1064" s="113"/>
      <c r="BA1064" s="113"/>
      <c r="BB1064" s="113"/>
      <c r="BC1064" s="113"/>
      <c r="BD1064" s="113"/>
      <c r="BE1064" s="113"/>
      <c r="BF1064" s="113"/>
      <c r="BG1064" s="113"/>
      <c r="BH1064" s="113"/>
      <c r="BI1064" s="113"/>
    </row>
    <row r="1065" spans="1:61" s="45" customFormat="1" ht="25.5" hidden="1" customHeight="1">
      <c r="A1065" s="1029"/>
      <c r="B1065" s="780" t="s">
        <v>502</v>
      </c>
      <c r="C1065" s="780"/>
      <c r="D1065" s="780"/>
      <c r="E1065" s="780"/>
      <c r="F1065" s="780"/>
      <c r="G1065" s="103">
        <f t="shared" si="341"/>
        <v>0</v>
      </c>
      <c r="H1065" s="103"/>
      <c r="I1065" s="103"/>
      <c r="J1065" s="103"/>
      <c r="K1065" s="103"/>
      <c r="L1065" s="103"/>
      <c r="M1065" s="679"/>
      <c r="N1065" s="780"/>
      <c r="O1065" s="1031"/>
      <c r="AJ1065" s="113"/>
      <c r="AK1065" s="113"/>
      <c r="AL1065" s="113"/>
      <c r="AM1065" s="113"/>
      <c r="AN1065" s="113"/>
      <c r="AO1065" s="113"/>
      <c r="AP1065" s="113"/>
      <c r="AQ1065" s="113"/>
      <c r="AR1065" s="113"/>
      <c r="AS1065" s="113"/>
      <c r="AT1065" s="113"/>
      <c r="AU1065" s="113"/>
      <c r="AV1065" s="113"/>
      <c r="AW1065" s="113"/>
      <c r="AX1065" s="113"/>
      <c r="AY1065" s="113"/>
      <c r="AZ1065" s="113"/>
      <c r="BA1065" s="113"/>
      <c r="BB1065" s="113"/>
      <c r="BC1065" s="113"/>
      <c r="BD1065" s="113"/>
      <c r="BE1065" s="113"/>
      <c r="BF1065" s="113"/>
      <c r="BG1065" s="113"/>
      <c r="BH1065" s="113"/>
      <c r="BI1065" s="113"/>
    </row>
    <row r="1066" spans="1:61" s="45" customFormat="1" ht="25.5" customHeight="1">
      <c r="A1066" s="1028" t="s">
        <v>605</v>
      </c>
      <c r="B1066" s="564" t="s">
        <v>89</v>
      </c>
      <c r="C1066" s="564"/>
      <c r="D1066" s="564"/>
      <c r="E1066" s="564"/>
      <c r="F1066" s="564"/>
      <c r="G1066" s="103">
        <f>K1066</f>
        <v>0</v>
      </c>
      <c r="H1066" s="103"/>
      <c r="I1066" s="103"/>
      <c r="J1066" s="103"/>
      <c r="K1066" s="103"/>
      <c r="L1066" s="103"/>
      <c r="M1066" s="679">
        <v>4.3</v>
      </c>
      <c r="N1066" s="564"/>
      <c r="O1066" s="1059" t="s">
        <v>876</v>
      </c>
      <c r="AJ1066" s="113"/>
      <c r="AK1066" s="113"/>
      <c r="AL1066" s="113"/>
      <c r="AM1066" s="113"/>
      <c r="AN1066" s="113"/>
      <c r="AO1066" s="113"/>
      <c r="AP1066" s="113"/>
      <c r="AQ1066" s="113"/>
      <c r="AR1066" s="113"/>
      <c r="AS1066" s="113"/>
      <c r="AT1066" s="113"/>
      <c r="AU1066" s="113"/>
      <c r="AV1066" s="113"/>
      <c r="AW1066" s="113"/>
      <c r="AX1066" s="113"/>
      <c r="AY1066" s="113"/>
      <c r="AZ1066" s="113"/>
      <c r="BA1066" s="113"/>
      <c r="BB1066" s="113"/>
      <c r="BC1066" s="113"/>
      <c r="BD1066" s="113"/>
      <c r="BE1066" s="113"/>
      <c r="BF1066" s="113"/>
      <c r="BG1066" s="113"/>
      <c r="BH1066" s="113"/>
      <c r="BI1066" s="113"/>
    </row>
    <row r="1067" spans="1:61" s="45" customFormat="1" ht="25.5" customHeight="1">
      <c r="A1067" s="1036"/>
      <c r="B1067" s="564" t="s">
        <v>25</v>
      </c>
      <c r="C1067" s="564"/>
      <c r="D1067" s="564"/>
      <c r="E1067" s="564"/>
      <c r="F1067" s="564"/>
      <c r="G1067" s="103">
        <f t="shared" ref="G1067:G1069" si="343">K1067</f>
        <v>0</v>
      </c>
      <c r="H1067" s="103"/>
      <c r="I1067" s="103"/>
      <c r="J1067" s="103"/>
      <c r="K1067" s="103">
        <f>K1068+K1069</f>
        <v>0</v>
      </c>
      <c r="L1067" s="103">
        <f t="shared" ref="L1067:M1067" si="344">L1068+L1069</f>
        <v>0</v>
      </c>
      <c r="M1067" s="679">
        <f t="shared" si="344"/>
        <v>60000</v>
      </c>
      <c r="N1067" s="564"/>
      <c r="O1067" s="1060"/>
      <c r="AJ1067" s="113"/>
      <c r="AK1067" s="113"/>
      <c r="AL1067" s="113"/>
      <c r="AM1067" s="113"/>
      <c r="AN1067" s="113"/>
      <c r="AO1067" s="113"/>
      <c r="AP1067" s="113"/>
      <c r="AQ1067" s="113"/>
      <c r="AR1067" s="113"/>
      <c r="AS1067" s="113"/>
      <c r="AT1067" s="113"/>
      <c r="AU1067" s="113"/>
      <c r="AV1067" s="113"/>
      <c r="AW1067" s="113"/>
      <c r="AX1067" s="113"/>
      <c r="AY1067" s="113"/>
      <c r="AZ1067" s="113"/>
      <c r="BA1067" s="113"/>
      <c r="BB1067" s="113"/>
      <c r="BC1067" s="113"/>
      <c r="BD1067" s="113"/>
      <c r="BE1067" s="113"/>
      <c r="BF1067" s="113"/>
      <c r="BG1067" s="113"/>
      <c r="BH1067" s="113"/>
      <c r="BI1067" s="113"/>
    </row>
    <row r="1068" spans="1:61" s="45" customFormat="1" ht="25.5" customHeight="1">
      <c r="A1068" s="1036"/>
      <c r="B1068" s="564" t="s">
        <v>10</v>
      </c>
      <c r="C1068" s="564"/>
      <c r="D1068" s="564"/>
      <c r="E1068" s="564"/>
      <c r="F1068" s="564"/>
      <c r="G1068" s="103">
        <f t="shared" si="343"/>
        <v>0</v>
      </c>
      <c r="H1068" s="103"/>
      <c r="I1068" s="103"/>
      <c r="J1068" s="103"/>
      <c r="K1068" s="103">
        <v>0</v>
      </c>
      <c r="L1068" s="103"/>
      <c r="M1068" s="679">
        <v>60000</v>
      </c>
      <c r="N1068" s="564"/>
      <c r="O1068" s="1060"/>
      <c r="AJ1068" s="113"/>
      <c r="AK1068" s="113"/>
      <c r="AL1068" s="113"/>
      <c r="AM1068" s="113"/>
      <c r="AN1068" s="113"/>
      <c r="AO1068" s="113"/>
      <c r="AP1068" s="113"/>
      <c r="AQ1068" s="113"/>
      <c r="AR1068" s="113"/>
      <c r="AS1068" s="113"/>
      <c r="AT1068" s="113"/>
      <c r="AU1068" s="113"/>
      <c r="AV1068" s="113"/>
      <c r="AW1068" s="113"/>
      <c r="AX1068" s="113"/>
      <c r="AY1068" s="113"/>
      <c r="AZ1068" s="113"/>
      <c r="BA1068" s="113"/>
      <c r="BB1068" s="113"/>
      <c r="BC1068" s="113"/>
      <c r="BD1068" s="113"/>
      <c r="BE1068" s="113"/>
      <c r="BF1068" s="113"/>
      <c r="BG1068" s="113"/>
      <c r="BH1068" s="113"/>
      <c r="BI1068" s="113"/>
    </row>
    <row r="1069" spans="1:61" s="45" customFormat="1" ht="25.5" hidden="1" customHeight="1">
      <c r="A1069" s="1029"/>
      <c r="B1069" s="564" t="s">
        <v>502</v>
      </c>
      <c r="C1069" s="564"/>
      <c r="D1069" s="564"/>
      <c r="E1069" s="564"/>
      <c r="F1069" s="564"/>
      <c r="G1069" s="103">
        <f t="shared" si="343"/>
        <v>0</v>
      </c>
      <c r="H1069" s="103"/>
      <c r="I1069" s="103"/>
      <c r="J1069" s="103"/>
      <c r="K1069" s="103"/>
      <c r="L1069" s="103"/>
      <c r="M1069" s="679"/>
      <c r="N1069" s="564"/>
      <c r="O1069" s="1061"/>
      <c r="AJ1069" s="113"/>
      <c r="AK1069" s="113"/>
      <c r="AL1069" s="113"/>
      <c r="AM1069" s="113"/>
      <c r="AN1069" s="113"/>
      <c r="AO1069" s="113"/>
      <c r="AP1069" s="113"/>
      <c r="AQ1069" s="113"/>
      <c r="AR1069" s="113"/>
      <c r="AS1069" s="113"/>
      <c r="AT1069" s="113"/>
      <c r="AU1069" s="113"/>
      <c r="AV1069" s="113"/>
      <c r="AW1069" s="113"/>
      <c r="AX1069" s="113"/>
      <c r="AY1069" s="113"/>
      <c r="AZ1069" s="113"/>
      <c r="BA1069" s="113"/>
      <c r="BB1069" s="113"/>
      <c r="BC1069" s="113"/>
      <c r="BD1069" s="113"/>
      <c r="BE1069" s="113"/>
      <c r="BF1069" s="113"/>
      <c r="BG1069" s="113"/>
      <c r="BH1069" s="113"/>
      <c r="BI1069" s="113"/>
    </row>
    <row r="1070" spans="1:61" s="45" customFormat="1" ht="25.5" customHeight="1">
      <c r="A1070" s="1028" t="s">
        <v>879</v>
      </c>
      <c r="B1070" s="564" t="s">
        <v>89</v>
      </c>
      <c r="C1070" s="564"/>
      <c r="D1070" s="564"/>
      <c r="E1070" s="564"/>
      <c r="F1070" s="564"/>
      <c r="G1070" s="103">
        <f>K1070</f>
        <v>1.3</v>
      </c>
      <c r="H1070" s="103"/>
      <c r="I1070" s="103"/>
      <c r="J1070" s="103"/>
      <c r="K1070" s="103">
        <v>1.3</v>
      </c>
      <c r="L1070" s="103"/>
      <c r="M1070" s="679">
        <v>1.1000000000000001</v>
      </c>
      <c r="N1070" s="564"/>
      <c r="O1070" s="1030" t="s">
        <v>1074</v>
      </c>
      <c r="AJ1070" s="113"/>
      <c r="AK1070" s="113"/>
      <c r="AL1070" s="113"/>
      <c r="AM1070" s="113"/>
      <c r="AN1070" s="113"/>
      <c r="AO1070" s="113"/>
      <c r="AP1070" s="113"/>
      <c r="AQ1070" s="113"/>
      <c r="AR1070" s="113"/>
      <c r="AS1070" s="113"/>
      <c r="AT1070" s="113"/>
      <c r="AU1070" s="113"/>
      <c r="AV1070" s="113"/>
      <c r="AW1070" s="113"/>
      <c r="AX1070" s="113"/>
      <c r="AY1070" s="113"/>
      <c r="AZ1070" s="113"/>
      <c r="BA1070" s="113"/>
      <c r="BB1070" s="113"/>
      <c r="BC1070" s="113"/>
      <c r="BD1070" s="113"/>
      <c r="BE1070" s="113"/>
      <c r="BF1070" s="113"/>
      <c r="BG1070" s="113"/>
      <c r="BH1070" s="113"/>
      <c r="BI1070" s="113"/>
    </row>
    <row r="1071" spans="1:61" s="45" customFormat="1" ht="25.5" customHeight="1">
      <c r="A1071" s="1029"/>
      <c r="B1071" s="564" t="s">
        <v>248</v>
      </c>
      <c r="C1071" s="564"/>
      <c r="D1071" s="564"/>
      <c r="E1071" s="564"/>
      <c r="F1071" s="564"/>
      <c r="G1071" s="103">
        <f>K1071</f>
        <v>16574.7</v>
      </c>
      <c r="H1071" s="103"/>
      <c r="I1071" s="103"/>
      <c r="J1071" s="103"/>
      <c r="K1071" s="103">
        <v>16574.7</v>
      </c>
      <c r="L1071" s="103">
        <f>19000+4824-19000+5825</f>
        <v>10649</v>
      </c>
      <c r="M1071" s="679">
        <v>14343.3</v>
      </c>
      <c r="N1071" s="564"/>
      <c r="O1071" s="1031"/>
      <c r="AJ1071" s="113"/>
      <c r="AK1071" s="113"/>
      <c r="AL1071" s="113"/>
      <c r="AM1071" s="113"/>
      <c r="AN1071" s="113"/>
      <c r="AO1071" s="113"/>
      <c r="AP1071" s="113"/>
      <c r="AQ1071" s="113"/>
      <c r="AR1071" s="113"/>
      <c r="AS1071" s="113"/>
      <c r="AT1071" s="113"/>
      <c r="AU1071" s="113"/>
      <c r="AV1071" s="113"/>
      <c r="AW1071" s="113"/>
      <c r="AX1071" s="113"/>
      <c r="AY1071" s="113"/>
      <c r="AZ1071" s="113"/>
      <c r="BA1071" s="113"/>
      <c r="BB1071" s="113"/>
      <c r="BC1071" s="113"/>
      <c r="BD1071" s="113"/>
      <c r="BE1071" s="113"/>
      <c r="BF1071" s="113"/>
      <c r="BG1071" s="113"/>
      <c r="BH1071" s="113"/>
      <c r="BI1071" s="113"/>
    </row>
    <row r="1072" spans="1:61" ht="21.75" customHeight="1">
      <c r="A1072" s="1038" t="s">
        <v>127</v>
      </c>
      <c r="B1072" s="62" t="s">
        <v>89</v>
      </c>
      <c r="C1072" s="62"/>
      <c r="D1072" s="62"/>
      <c r="E1072" s="62"/>
      <c r="F1072" s="62"/>
      <c r="G1072" s="102">
        <f>G1074+G1076+G1078+G1080+G1082+G1084+G1086</f>
        <v>1.2</v>
      </c>
      <c r="H1072" s="102">
        <f t="shared" ref="H1072:M1073" si="345">H1074+H1076+H1078+H1080+H1082+H1084+H1086</f>
        <v>0</v>
      </c>
      <c r="I1072" s="102">
        <f t="shared" si="345"/>
        <v>0</v>
      </c>
      <c r="J1072" s="102">
        <f t="shared" si="345"/>
        <v>0</v>
      </c>
      <c r="K1072" s="102">
        <f t="shared" si="345"/>
        <v>1.2</v>
      </c>
      <c r="L1072" s="102">
        <f t="shared" si="345"/>
        <v>0</v>
      </c>
      <c r="M1072" s="499">
        <f t="shared" si="345"/>
        <v>11</v>
      </c>
      <c r="N1072" s="564"/>
      <c r="O1072" s="62"/>
    </row>
    <row r="1073" spans="1:61" s="45" customFormat="1" ht="22.5" customHeight="1">
      <c r="A1073" s="1038"/>
      <c r="B1073" s="62" t="s">
        <v>248</v>
      </c>
      <c r="C1073" s="62"/>
      <c r="D1073" s="62"/>
      <c r="E1073" s="62"/>
      <c r="F1073" s="62"/>
      <c r="G1073" s="102">
        <f>G1075+G1077+G1079+G1081+G1083+G1085+G1087</f>
        <v>34160.300000000003</v>
      </c>
      <c r="H1073" s="102">
        <f t="shared" si="345"/>
        <v>0</v>
      </c>
      <c r="I1073" s="102">
        <f t="shared" si="345"/>
        <v>0</v>
      </c>
      <c r="J1073" s="102">
        <f t="shared" si="345"/>
        <v>0</v>
      </c>
      <c r="K1073" s="102">
        <f t="shared" si="345"/>
        <v>34160.300000000003</v>
      </c>
      <c r="L1073" s="102">
        <f t="shared" si="345"/>
        <v>8000</v>
      </c>
      <c r="M1073" s="499">
        <f t="shared" si="345"/>
        <v>163309.1</v>
      </c>
      <c r="N1073" s="564"/>
      <c r="O1073" s="62"/>
      <c r="AJ1073" s="113"/>
      <c r="AK1073" s="113"/>
      <c r="AL1073" s="113"/>
      <c r="AM1073" s="113"/>
      <c r="AN1073" s="113"/>
      <c r="AO1073" s="113"/>
      <c r="AP1073" s="113"/>
      <c r="AQ1073" s="113"/>
      <c r="AR1073" s="113"/>
      <c r="AS1073" s="113"/>
      <c r="AT1073" s="113"/>
      <c r="AU1073" s="113"/>
      <c r="AV1073" s="113"/>
      <c r="AW1073" s="113"/>
      <c r="AX1073" s="113"/>
      <c r="AY1073" s="113"/>
      <c r="AZ1073" s="113"/>
      <c r="BA1073" s="113"/>
      <c r="BB1073" s="113"/>
      <c r="BC1073" s="113"/>
      <c r="BD1073" s="113"/>
      <c r="BE1073" s="113"/>
      <c r="BF1073" s="113"/>
      <c r="BG1073" s="113"/>
      <c r="BH1073" s="113"/>
      <c r="BI1073" s="113"/>
    </row>
    <row r="1074" spans="1:61" ht="25.5" customHeight="1">
      <c r="A1074" s="1039" t="s">
        <v>581</v>
      </c>
      <c r="B1074" s="564" t="s">
        <v>89</v>
      </c>
      <c r="C1074" s="564">
        <v>176</v>
      </c>
      <c r="D1074" s="564" t="s">
        <v>15</v>
      </c>
      <c r="E1074" s="564">
        <v>6100404</v>
      </c>
      <c r="F1074" s="564">
        <v>244</v>
      </c>
      <c r="G1074" s="103"/>
      <c r="H1074" s="103"/>
      <c r="I1074" s="103"/>
      <c r="J1074" s="103"/>
      <c r="K1074" s="103"/>
      <c r="L1074" s="103"/>
      <c r="M1074" s="679">
        <v>10</v>
      </c>
      <c r="N1074" s="564"/>
      <c r="O1074" s="1030" t="s">
        <v>641</v>
      </c>
    </row>
    <row r="1075" spans="1:61" s="45" customFormat="1" ht="24.75" customHeight="1">
      <c r="A1075" s="1039"/>
      <c r="B1075" s="564" t="s">
        <v>248</v>
      </c>
      <c r="C1075" s="564"/>
      <c r="D1075" s="564"/>
      <c r="E1075" s="564"/>
      <c r="F1075" s="564"/>
      <c r="G1075" s="103"/>
      <c r="H1075" s="103"/>
      <c r="I1075" s="103"/>
      <c r="J1075" s="103"/>
      <c r="K1075" s="103"/>
      <c r="L1075" s="103"/>
      <c r="M1075" s="679">
        <v>100000</v>
      </c>
      <c r="N1075" s="564"/>
      <c r="O1075" s="1031"/>
      <c r="AJ1075" s="113"/>
      <c r="AK1075" s="113"/>
      <c r="AL1075" s="113"/>
      <c r="AM1075" s="113"/>
      <c r="AN1075" s="113"/>
      <c r="AO1075" s="113"/>
      <c r="AP1075" s="113"/>
      <c r="AQ1075" s="113"/>
      <c r="AR1075" s="113"/>
      <c r="AS1075" s="113"/>
      <c r="AT1075" s="113"/>
      <c r="AU1075" s="113"/>
      <c r="AV1075" s="113"/>
      <c r="AW1075" s="113"/>
      <c r="AX1075" s="113"/>
      <c r="AY1075" s="113"/>
      <c r="AZ1075" s="113"/>
      <c r="BA1075" s="113"/>
      <c r="BB1075" s="113"/>
      <c r="BC1075" s="113"/>
      <c r="BD1075" s="113"/>
      <c r="BE1075" s="113"/>
      <c r="BF1075" s="113"/>
      <c r="BG1075" s="113"/>
      <c r="BH1075" s="113"/>
      <c r="BI1075" s="113"/>
    </row>
    <row r="1076" spans="1:61" s="45" customFormat="1" ht="24.75" hidden="1" customHeight="1">
      <c r="A1076" s="1028" t="s">
        <v>575</v>
      </c>
      <c r="B1076" s="564" t="s">
        <v>89</v>
      </c>
      <c r="C1076" s="564"/>
      <c r="D1076" s="564"/>
      <c r="E1076" s="564"/>
      <c r="F1076" s="564"/>
      <c r="G1076" s="103"/>
      <c r="H1076" s="103"/>
      <c r="I1076" s="103"/>
      <c r="J1076" s="103"/>
      <c r="K1076" s="103"/>
      <c r="L1076" s="103"/>
      <c r="M1076" s="679"/>
      <c r="N1076" s="564"/>
      <c r="O1076" s="1030" t="s">
        <v>613</v>
      </c>
      <c r="AJ1076" s="113"/>
      <c r="AK1076" s="113"/>
      <c r="AL1076" s="113"/>
      <c r="AM1076" s="113"/>
      <c r="AN1076" s="113"/>
      <c r="AO1076" s="113"/>
      <c r="AP1076" s="113"/>
      <c r="AQ1076" s="113"/>
      <c r="AR1076" s="113"/>
      <c r="AS1076" s="113"/>
      <c r="AT1076" s="113"/>
      <c r="AU1076" s="113"/>
      <c r="AV1076" s="113"/>
      <c r="AW1076" s="113"/>
      <c r="AX1076" s="113"/>
      <c r="AY1076" s="113"/>
      <c r="AZ1076" s="113"/>
      <c r="BA1076" s="113"/>
      <c r="BB1076" s="113"/>
      <c r="BC1076" s="113"/>
      <c r="BD1076" s="113"/>
      <c r="BE1076" s="113"/>
      <c r="BF1076" s="113"/>
      <c r="BG1076" s="113"/>
      <c r="BH1076" s="113"/>
      <c r="BI1076" s="113"/>
    </row>
    <row r="1077" spans="1:61" s="45" customFormat="1" ht="25.5" hidden="1" customHeight="1">
      <c r="A1077" s="1029"/>
      <c r="B1077" s="564" t="s">
        <v>248</v>
      </c>
      <c r="C1077" s="564"/>
      <c r="D1077" s="564"/>
      <c r="E1077" s="564"/>
      <c r="F1077" s="564"/>
      <c r="G1077" s="103"/>
      <c r="H1077" s="103"/>
      <c r="I1077" s="103"/>
      <c r="J1077" s="103"/>
      <c r="K1077" s="103"/>
      <c r="L1077" s="103"/>
      <c r="M1077" s="679"/>
      <c r="N1077" s="564"/>
      <c r="O1077" s="1031"/>
      <c r="AJ1077" s="113"/>
      <c r="AK1077" s="113"/>
      <c r="AL1077" s="113"/>
      <c r="AM1077" s="113"/>
      <c r="AN1077" s="113"/>
      <c r="AO1077" s="113"/>
      <c r="AP1077" s="113"/>
      <c r="AQ1077" s="113"/>
      <c r="AR1077" s="113"/>
      <c r="AS1077" s="113"/>
      <c r="AT1077" s="113"/>
      <c r="AU1077" s="113"/>
      <c r="AV1077" s="113"/>
      <c r="AW1077" s="113"/>
      <c r="AX1077" s="113"/>
      <c r="AY1077" s="113"/>
      <c r="AZ1077" s="113"/>
      <c r="BA1077" s="113"/>
      <c r="BB1077" s="113"/>
      <c r="BC1077" s="113"/>
      <c r="BD1077" s="113"/>
      <c r="BE1077" s="113"/>
      <c r="BF1077" s="113"/>
      <c r="BG1077" s="113"/>
      <c r="BH1077" s="113"/>
      <c r="BI1077" s="113"/>
    </row>
    <row r="1078" spans="1:61" s="45" customFormat="1" ht="23.25" hidden="1" customHeight="1">
      <c r="A1078" s="1028" t="s">
        <v>608</v>
      </c>
      <c r="B1078" s="564" t="s">
        <v>89</v>
      </c>
      <c r="C1078" s="564"/>
      <c r="D1078" s="564"/>
      <c r="E1078" s="564"/>
      <c r="F1078" s="564"/>
      <c r="G1078" s="103"/>
      <c r="H1078" s="103"/>
      <c r="I1078" s="103"/>
      <c r="J1078" s="103"/>
      <c r="K1078" s="103"/>
      <c r="L1078" s="103"/>
      <c r="M1078" s="679"/>
      <c r="N1078" s="564"/>
      <c r="O1078" s="1030" t="s">
        <v>614</v>
      </c>
      <c r="AJ1078" s="113"/>
      <c r="AK1078" s="113"/>
      <c r="AL1078" s="113"/>
      <c r="AM1078" s="113"/>
      <c r="AN1078" s="113"/>
      <c r="AO1078" s="113"/>
      <c r="AP1078" s="113"/>
      <c r="AQ1078" s="113"/>
      <c r="AR1078" s="113"/>
      <c r="AS1078" s="113"/>
      <c r="AT1078" s="113"/>
      <c r="AU1078" s="113"/>
      <c r="AV1078" s="113"/>
      <c r="AW1078" s="113"/>
      <c r="AX1078" s="113"/>
      <c r="AY1078" s="113"/>
      <c r="AZ1078" s="113"/>
      <c r="BA1078" s="113"/>
      <c r="BB1078" s="113"/>
      <c r="BC1078" s="113"/>
      <c r="BD1078" s="113"/>
      <c r="BE1078" s="113"/>
      <c r="BF1078" s="113"/>
      <c r="BG1078" s="113"/>
      <c r="BH1078" s="113"/>
      <c r="BI1078" s="113"/>
    </row>
    <row r="1079" spans="1:61" s="45" customFormat="1" ht="27" hidden="1" customHeight="1">
      <c r="A1079" s="1029"/>
      <c r="B1079" s="564" t="s">
        <v>248</v>
      </c>
      <c r="C1079" s="564"/>
      <c r="D1079" s="564"/>
      <c r="E1079" s="564"/>
      <c r="F1079" s="564"/>
      <c r="G1079" s="103"/>
      <c r="H1079" s="103"/>
      <c r="I1079" s="103"/>
      <c r="J1079" s="103"/>
      <c r="K1079" s="103"/>
      <c r="L1079" s="103"/>
      <c r="M1079" s="679"/>
      <c r="N1079" s="564"/>
      <c r="O1079" s="1031"/>
      <c r="AJ1079" s="113"/>
      <c r="AK1079" s="113"/>
      <c r="AL1079" s="113"/>
      <c r="AM1079" s="113"/>
      <c r="AN1079" s="113"/>
      <c r="AO1079" s="113"/>
      <c r="AP1079" s="113"/>
      <c r="AQ1079" s="113"/>
      <c r="AR1079" s="113"/>
      <c r="AS1079" s="113"/>
      <c r="AT1079" s="113"/>
      <c r="AU1079" s="113"/>
      <c r="AV1079" s="113"/>
      <c r="AW1079" s="113"/>
      <c r="AX1079" s="113"/>
      <c r="AY1079" s="113"/>
      <c r="AZ1079" s="113"/>
      <c r="BA1079" s="113"/>
      <c r="BB1079" s="113"/>
      <c r="BC1079" s="113"/>
      <c r="BD1079" s="113"/>
      <c r="BE1079" s="113"/>
      <c r="BF1079" s="113"/>
      <c r="BG1079" s="113"/>
      <c r="BH1079" s="113"/>
      <c r="BI1079" s="113"/>
    </row>
    <row r="1080" spans="1:61" s="45" customFormat="1" ht="23.25" hidden="1" customHeight="1">
      <c r="A1080" s="1039" t="s">
        <v>609</v>
      </c>
      <c r="B1080" s="564" t="s">
        <v>89</v>
      </c>
      <c r="C1080" s="564"/>
      <c r="D1080" s="564"/>
      <c r="E1080" s="564"/>
      <c r="F1080" s="564"/>
      <c r="G1080" s="103"/>
      <c r="H1080" s="103"/>
      <c r="I1080" s="103"/>
      <c r="J1080" s="103"/>
      <c r="K1080" s="103"/>
      <c r="L1080" s="103"/>
      <c r="M1080" s="679"/>
      <c r="N1080" s="564"/>
      <c r="O1080" s="1030" t="s">
        <v>615</v>
      </c>
      <c r="AJ1080" s="113"/>
      <c r="AK1080" s="113"/>
      <c r="AL1080" s="113"/>
      <c r="AM1080" s="113"/>
      <c r="AN1080" s="113"/>
      <c r="AO1080" s="113"/>
      <c r="AP1080" s="113"/>
      <c r="AQ1080" s="113"/>
      <c r="AR1080" s="113"/>
      <c r="AS1080" s="113"/>
      <c r="AT1080" s="113"/>
      <c r="AU1080" s="113"/>
      <c r="AV1080" s="113"/>
      <c r="AW1080" s="113"/>
      <c r="AX1080" s="113"/>
      <c r="AY1080" s="113"/>
      <c r="AZ1080" s="113"/>
      <c r="BA1080" s="113"/>
      <c r="BB1080" s="113"/>
      <c r="BC1080" s="113"/>
      <c r="BD1080" s="113"/>
      <c r="BE1080" s="113"/>
      <c r="BF1080" s="113"/>
      <c r="BG1080" s="113"/>
      <c r="BH1080" s="113"/>
      <c r="BI1080" s="113"/>
    </row>
    <row r="1081" spans="1:61" s="45" customFormat="1" ht="24.75" hidden="1" customHeight="1">
      <c r="A1081" s="1039"/>
      <c r="B1081" s="564" t="s">
        <v>248</v>
      </c>
      <c r="C1081" s="564"/>
      <c r="D1081" s="564"/>
      <c r="E1081" s="564"/>
      <c r="F1081" s="564"/>
      <c r="G1081" s="103"/>
      <c r="H1081" s="103"/>
      <c r="I1081" s="103"/>
      <c r="J1081" s="103"/>
      <c r="K1081" s="103"/>
      <c r="L1081" s="103"/>
      <c r="M1081" s="679"/>
      <c r="N1081" s="564"/>
      <c r="O1081" s="1031"/>
      <c r="AJ1081" s="113"/>
      <c r="AK1081" s="113"/>
      <c r="AL1081" s="113"/>
      <c r="AM1081" s="113"/>
      <c r="AN1081" s="113"/>
      <c r="AO1081" s="113"/>
      <c r="AP1081" s="113"/>
      <c r="AQ1081" s="113"/>
      <c r="AR1081" s="113"/>
      <c r="AS1081" s="113"/>
      <c r="AT1081" s="113"/>
      <c r="AU1081" s="113"/>
      <c r="AV1081" s="113"/>
      <c r="AW1081" s="113"/>
      <c r="AX1081" s="113"/>
      <c r="AY1081" s="113"/>
      <c r="AZ1081" s="113"/>
      <c r="BA1081" s="113"/>
      <c r="BB1081" s="113"/>
      <c r="BC1081" s="113"/>
      <c r="BD1081" s="113"/>
      <c r="BE1081" s="113"/>
      <c r="BF1081" s="113"/>
      <c r="BG1081" s="113"/>
      <c r="BH1081" s="113"/>
      <c r="BI1081" s="113"/>
    </row>
    <row r="1082" spans="1:61" s="45" customFormat="1" ht="21.75" customHeight="1">
      <c r="A1082" s="1039" t="s">
        <v>610</v>
      </c>
      <c r="B1082" s="564" t="s">
        <v>89</v>
      </c>
      <c r="C1082" s="564"/>
      <c r="D1082" s="564"/>
      <c r="E1082" s="564"/>
      <c r="F1082" s="564"/>
      <c r="G1082" s="103">
        <f>K1082</f>
        <v>0</v>
      </c>
      <c r="H1082" s="103"/>
      <c r="I1082" s="103"/>
      <c r="J1082" s="103"/>
      <c r="K1082" s="103"/>
      <c r="L1082" s="103"/>
      <c r="M1082" s="679"/>
      <c r="N1082" s="564"/>
      <c r="O1082" s="1030" t="s">
        <v>616</v>
      </c>
      <c r="AJ1082" s="113"/>
      <c r="AK1082" s="113"/>
      <c r="AL1082" s="113"/>
      <c r="AM1082" s="113"/>
      <c r="AN1082" s="113"/>
      <c r="AO1082" s="113"/>
      <c r="AP1082" s="113"/>
      <c r="AQ1082" s="113"/>
      <c r="AR1082" s="113"/>
      <c r="AS1082" s="113"/>
      <c r="AT1082" s="113"/>
      <c r="AU1082" s="113"/>
      <c r="AV1082" s="113"/>
      <c r="AW1082" s="113"/>
      <c r="AX1082" s="113"/>
      <c r="AY1082" s="113"/>
      <c r="AZ1082" s="113"/>
      <c r="BA1082" s="113"/>
      <c r="BB1082" s="113"/>
      <c r="BC1082" s="113"/>
      <c r="BD1082" s="113"/>
      <c r="BE1082" s="113"/>
      <c r="BF1082" s="113"/>
      <c r="BG1082" s="113"/>
      <c r="BH1082" s="113"/>
      <c r="BI1082" s="113"/>
    </row>
    <row r="1083" spans="1:61" s="45" customFormat="1" ht="30" customHeight="1">
      <c r="A1083" s="1039"/>
      <c r="B1083" s="564" t="s">
        <v>248</v>
      </c>
      <c r="C1083" s="564"/>
      <c r="D1083" s="564"/>
      <c r="E1083" s="564"/>
      <c r="F1083" s="564"/>
      <c r="G1083" s="103">
        <f>K1083</f>
        <v>1000</v>
      </c>
      <c r="H1083" s="103"/>
      <c r="I1083" s="103"/>
      <c r="J1083" s="103"/>
      <c r="K1083" s="103">
        <v>1000</v>
      </c>
      <c r="L1083" s="103"/>
      <c r="M1083" s="679"/>
      <c r="N1083" s="564"/>
      <c r="O1083" s="1031"/>
      <c r="AJ1083" s="113"/>
      <c r="AK1083" s="113"/>
      <c r="AL1083" s="113"/>
      <c r="AM1083" s="113"/>
      <c r="AN1083" s="113"/>
      <c r="AO1083" s="113"/>
      <c r="AP1083" s="113"/>
      <c r="AQ1083" s="113"/>
      <c r="AR1083" s="113"/>
      <c r="AS1083" s="113"/>
      <c r="AT1083" s="113"/>
      <c r="AU1083" s="113"/>
      <c r="AV1083" s="113"/>
      <c r="AW1083" s="113"/>
      <c r="AX1083" s="113"/>
      <c r="AY1083" s="113"/>
      <c r="AZ1083" s="113"/>
      <c r="BA1083" s="113"/>
      <c r="BB1083" s="113"/>
      <c r="BC1083" s="113"/>
      <c r="BD1083" s="113"/>
      <c r="BE1083" s="113"/>
      <c r="BF1083" s="113"/>
      <c r="BG1083" s="113"/>
      <c r="BH1083" s="113"/>
      <c r="BI1083" s="113"/>
    </row>
    <row r="1084" spans="1:61" s="45" customFormat="1" ht="21" hidden="1" customHeight="1">
      <c r="A1084" s="1028" t="s">
        <v>611</v>
      </c>
      <c r="B1084" s="564" t="s">
        <v>89</v>
      </c>
      <c r="C1084" s="564"/>
      <c r="D1084" s="564"/>
      <c r="E1084" s="564"/>
      <c r="F1084" s="564"/>
      <c r="G1084" s="103"/>
      <c r="H1084" s="103"/>
      <c r="I1084" s="103"/>
      <c r="J1084" s="103"/>
      <c r="K1084" s="103"/>
      <c r="L1084" s="103"/>
      <c r="M1084" s="679"/>
      <c r="N1084" s="564"/>
      <c r="O1084" s="1030" t="s">
        <v>614</v>
      </c>
      <c r="AJ1084" s="113"/>
      <c r="AK1084" s="113"/>
      <c r="AL1084" s="113"/>
      <c r="AM1084" s="113"/>
      <c r="AN1084" s="113"/>
      <c r="AO1084" s="113"/>
      <c r="AP1084" s="113"/>
      <c r="AQ1084" s="113"/>
      <c r="AR1084" s="113"/>
      <c r="AS1084" s="113"/>
      <c r="AT1084" s="113"/>
      <c r="AU1084" s="113"/>
      <c r="AV1084" s="113"/>
      <c r="AW1084" s="113"/>
      <c r="AX1084" s="113"/>
      <c r="AY1084" s="113"/>
      <c r="AZ1084" s="113"/>
      <c r="BA1084" s="113"/>
      <c r="BB1084" s="113"/>
      <c r="BC1084" s="113"/>
      <c r="BD1084" s="113"/>
      <c r="BE1084" s="113"/>
      <c r="BF1084" s="113"/>
      <c r="BG1084" s="113"/>
      <c r="BH1084" s="113"/>
      <c r="BI1084" s="113"/>
    </row>
    <row r="1085" spans="1:61" s="45" customFormat="1" ht="30" hidden="1" customHeight="1">
      <c r="A1085" s="1029"/>
      <c r="B1085" s="564" t="s">
        <v>248</v>
      </c>
      <c r="C1085" s="564"/>
      <c r="D1085" s="564"/>
      <c r="E1085" s="564"/>
      <c r="F1085" s="564"/>
      <c r="G1085" s="103"/>
      <c r="H1085" s="103"/>
      <c r="I1085" s="103"/>
      <c r="J1085" s="103"/>
      <c r="K1085" s="103"/>
      <c r="L1085" s="103"/>
      <c r="M1085" s="679"/>
      <c r="N1085" s="564"/>
      <c r="O1085" s="1031"/>
      <c r="AJ1085" s="113"/>
      <c r="AK1085" s="113"/>
      <c r="AL1085" s="113"/>
      <c r="AM1085" s="113"/>
      <c r="AN1085" s="113"/>
      <c r="AO1085" s="113"/>
      <c r="AP1085" s="113"/>
      <c r="AQ1085" s="113"/>
      <c r="AR1085" s="113"/>
      <c r="AS1085" s="113"/>
      <c r="AT1085" s="113"/>
      <c r="AU1085" s="113"/>
      <c r="AV1085" s="113"/>
      <c r="AW1085" s="113"/>
      <c r="AX1085" s="113"/>
      <c r="AY1085" s="113"/>
      <c r="AZ1085" s="113"/>
      <c r="BA1085" s="113"/>
      <c r="BB1085" s="113"/>
      <c r="BC1085" s="113"/>
      <c r="BD1085" s="113"/>
      <c r="BE1085" s="113"/>
      <c r="BF1085" s="113"/>
      <c r="BG1085" s="113"/>
      <c r="BH1085" s="113"/>
      <c r="BI1085" s="113"/>
    </row>
    <row r="1086" spans="1:61" s="45" customFormat="1" ht="22.5" customHeight="1">
      <c r="A1086" s="1028" t="s">
        <v>879</v>
      </c>
      <c r="B1086" s="564" t="s">
        <v>89</v>
      </c>
      <c r="C1086" s="564"/>
      <c r="D1086" s="564"/>
      <c r="E1086" s="564"/>
      <c r="F1086" s="564"/>
      <c r="G1086" s="103">
        <f>K1086</f>
        <v>1.2</v>
      </c>
      <c r="H1086" s="103"/>
      <c r="I1086" s="103"/>
      <c r="J1086" s="103"/>
      <c r="K1086" s="103">
        <v>1.2</v>
      </c>
      <c r="L1086" s="103"/>
      <c r="M1086" s="679">
        <v>1</v>
      </c>
      <c r="N1086" s="564"/>
      <c r="O1086" s="1030" t="s">
        <v>1075</v>
      </c>
      <c r="AJ1086" s="113"/>
      <c r="AK1086" s="113"/>
      <c r="AL1086" s="113"/>
      <c r="AM1086" s="113"/>
      <c r="AN1086" s="113"/>
      <c r="AO1086" s="113"/>
      <c r="AP1086" s="113"/>
      <c r="AQ1086" s="113"/>
      <c r="AR1086" s="113"/>
      <c r="AS1086" s="113"/>
      <c r="AT1086" s="113"/>
      <c r="AU1086" s="113"/>
      <c r="AV1086" s="113"/>
      <c r="AW1086" s="113"/>
      <c r="AX1086" s="113"/>
      <c r="AY1086" s="113"/>
      <c r="AZ1086" s="113"/>
      <c r="BA1086" s="113"/>
      <c r="BB1086" s="113"/>
      <c r="BC1086" s="113"/>
      <c r="BD1086" s="113"/>
      <c r="BE1086" s="113"/>
      <c r="BF1086" s="113"/>
      <c r="BG1086" s="113"/>
      <c r="BH1086" s="113"/>
      <c r="BI1086" s="113"/>
    </row>
    <row r="1087" spans="1:61" s="45" customFormat="1" ht="30" customHeight="1">
      <c r="A1087" s="1029"/>
      <c r="B1087" s="564" t="s">
        <v>248</v>
      </c>
      <c r="C1087" s="564"/>
      <c r="D1087" s="564"/>
      <c r="E1087" s="564"/>
      <c r="F1087" s="564"/>
      <c r="G1087" s="103">
        <f>K1087</f>
        <v>33160.300000000003</v>
      </c>
      <c r="H1087" s="103"/>
      <c r="I1087" s="103"/>
      <c r="J1087" s="103"/>
      <c r="K1087" s="103">
        <f>14160.3+19000</f>
        <v>33160.300000000003</v>
      </c>
      <c r="L1087" s="103">
        <f>18000+8576-18000-576</f>
        <v>8000</v>
      </c>
      <c r="M1087" s="679">
        <f>12309.1+51000</f>
        <v>63309.1</v>
      </c>
      <c r="N1087" s="564"/>
      <c r="O1087" s="1031"/>
      <c r="AJ1087" s="113"/>
      <c r="AK1087" s="113"/>
      <c r="AL1087" s="113"/>
      <c r="AM1087" s="113"/>
      <c r="AN1087" s="113"/>
      <c r="AO1087" s="113"/>
      <c r="AP1087" s="113"/>
      <c r="AQ1087" s="113"/>
      <c r="AR1087" s="113"/>
      <c r="AS1087" s="113"/>
      <c r="AT1087" s="113"/>
      <c r="AU1087" s="113"/>
      <c r="AV1087" s="113"/>
      <c r="AW1087" s="113"/>
      <c r="AX1087" s="113"/>
      <c r="AY1087" s="113"/>
      <c r="AZ1087" s="113"/>
      <c r="BA1087" s="113"/>
      <c r="BB1087" s="113"/>
      <c r="BC1087" s="113"/>
      <c r="BD1087" s="113"/>
      <c r="BE1087" s="113"/>
      <c r="BF1087" s="113"/>
      <c r="BG1087" s="113"/>
      <c r="BH1087" s="113"/>
      <c r="BI1087" s="113"/>
    </row>
    <row r="1088" spans="1:61" s="45" customFormat="1" ht="30" hidden="1" customHeight="1">
      <c r="A1088" s="1078"/>
      <c r="B1088" s="564"/>
      <c r="C1088" s="564"/>
      <c r="D1088" s="564"/>
      <c r="E1088" s="564"/>
      <c r="F1088" s="564"/>
      <c r="G1088" s="103"/>
      <c r="H1088" s="103"/>
      <c r="I1088" s="103"/>
      <c r="J1088" s="103"/>
      <c r="K1088" s="103"/>
      <c r="L1088" s="103"/>
      <c r="M1088" s="679"/>
      <c r="N1088" s="564"/>
      <c r="O1088" s="1030" t="s">
        <v>607</v>
      </c>
      <c r="AJ1088" s="113"/>
      <c r="AK1088" s="113"/>
      <c r="AL1088" s="113"/>
      <c r="AM1088" s="113"/>
      <c r="AN1088" s="113"/>
      <c r="AO1088" s="113"/>
      <c r="AP1088" s="113"/>
      <c r="AQ1088" s="113"/>
      <c r="AR1088" s="113"/>
      <c r="AS1088" s="113"/>
      <c r="AT1088" s="113"/>
      <c r="AU1088" s="113"/>
      <c r="AV1088" s="113"/>
      <c r="AW1088" s="113"/>
      <c r="AX1088" s="113"/>
      <c r="AY1088" s="113"/>
      <c r="AZ1088" s="113"/>
      <c r="BA1088" s="113"/>
      <c r="BB1088" s="113"/>
      <c r="BC1088" s="113"/>
      <c r="BD1088" s="113"/>
      <c r="BE1088" s="113"/>
      <c r="BF1088" s="113"/>
      <c r="BG1088" s="113"/>
      <c r="BH1088" s="113"/>
      <c r="BI1088" s="113"/>
    </row>
    <row r="1089" spans="1:61" s="45" customFormat="1" ht="30" hidden="1" customHeight="1">
      <c r="A1089" s="1080"/>
      <c r="B1089" s="564"/>
      <c r="C1089" s="564"/>
      <c r="D1089" s="564"/>
      <c r="E1089" s="564"/>
      <c r="F1089" s="564"/>
      <c r="G1089" s="103"/>
      <c r="H1089" s="103"/>
      <c r="I1089" s="103"/>
      <c r="J1089" s="103"/>
      <c r="K1089" s="103"/>
      <c r="L1089" s="103"/>
      <c r="M1089" s="679"/>
      <c r="N1089" s="564"/>
      <c r="O1089" s="1031"/>
      <c r="AJ1089" s="113"/>
      <c r="AK1089" s="113"/>
      <c r="AL1089" s="113"/>
      <c r="AM1089" s="113"/>
      <c r="AN1089" s="113"/>
      <c r="AO1089" s="113"/>
      <c r="AP1089" s="113"/>
      <c r="AQ1089" s="113"/>
      <c r="AR1089" s="113"/>
      <c r="AS1089" s="113"/>
      <c r="AT1089" s="113"/>
      <c r="AU1089" s="113"/>
      <c r="AV1089" s="113"/>
      <c r="AW1089" s="113"/>
      <c r="AX1089" s="113"/>
      <c r="AY1089" s="113"/>
      <c r="AZ1089" s="113"/>
      <c r="BA1089" s="113"/>
      <c r="BB1089" s="113"/>
      <c r="BC1089" s="113"/>
      <c r="BD1089" s="113"/>
      <c r="BE1089" s="113"/>
      <c r="BF1089" s="113"/>
      <c r="BG1089" s="113"/>
      <c r="BH1089" s="113"/>
      <c r="BI1089" s="113"/>
    </row>
    <row r="1090" spans="1:61" s="45" customFormat="1" ht="21" customHeight="1">
      <c r="A1090" s="985" t="s">
        <v>129</v>
      </c>
      <c r="B1090" s="62" t="s">
        <v>89</v>
      </c>
      <c r="C1090" s="564"/>
      <c r="D1090" s="564"/>
      <c r="E1090" s="564"/>
      <c r="F1090" s="564"/>
      <c r="G1090" s="102">
        <f>G1094+G1098+G1102</f>
        <v>5.5</v>
      </c>
      <c r="H1090" s="102">
        <f t="shared" ref="H1090:M1090" si="346">H1094+H1098+H1102</f>
        <v>0</v>
      </c>
      <c r="I1090" s="102">
        <f t="shared" si="346"/>
        <v>0</v>
      </c>
      <c r="J1090" s="102">
        <f t="shared" si="346"/>
        <v>0</v>
      </c>
      <c r="K1090" s="102">
        <f t="shared" si="346"/>
        <v>5.5</v>
      </c>
      <c r="L1090" s="102">
        <f t="shared" si="346"/>
        <v>0</v>
      </c>
      <c r="M1090" s="102">
        <f t="shared" si="346"/>
        <v>12.1</v>
      </c>
      <c r="N1090" s="564"/>
      <c r="O1090" s="564"/>
      <c r="AJ1090" s="113"/>
      <c r="AK1090" s="113"/>
      <c r="AL1090" s="113"/>
      <c r="AM1090" s="113"/>
      <c r="AN1090" s="113"/>
      <c r="AO1090" s="113"/>
      <c r="AP1090" s="113"/>
      <c r="AQ1090" s="113"/>
      <c r="AR1090" s="113"/>
      <c r="AS1090" s="113"/>
      <c r="AT1090" s="113"/>
      <c r="AU1090" s="113"/>
      <c r="AV1090" s="113"/>
      <c r="AW1090" s="113"/>
      <c r="AX1090" s="113"/>
      <c r="AY1090" s="113"/>
      <c r="AZ1090" s="113"/>
      <c r="BA1090" s="113"/>
      <c r="BB1090" s="113"/>
      <c r="BC1090" s="113"/>
      <c r="BD1090" s="113"/>
      <c r="BE1090" s="113"/>
      <c r="BF1090" s="113"/>
      <c r="BG1090" s="113"/>
      <c r="BH1090" s="113"/>
      <c r="BI1090" s="113"/>
    </row>
    <row r="1091" spans="1:61" s="45" customFormat="1" ht="21" customHeight="1">
      <c r="A1091" s="986"/>
      <c r="B1091" s="62" t="s">
        <v>25</v>
      </c>
      <c r="C1091" s="564"/>
      <c r="D1091" s="564"/>
      <c r="E1091" s="564"/>
      <c r="F1091" s="564"/>
      <c r="G1091" s="102">
        <f>G1099+G1103</f>
        <v>16709.5</v>
      </c>
      <c r="H1091" s="102">
        <f t="shared" ref="H1091:M1091" si="347">H1099+H1103</f>
        <v>0</v>
      </c>
      <c r="I1091" s="102">
        <f t="shared" si="347"/>
        <v>0</v>
      </c>
      <c r="J1091" s="102">
        <f t="shared" si="347"/>
        <v>0</v>
      </c>
      <c r="K1091" s="102">
        <f t="shared" si="347"/>
        <v>16709.5</v>
      </c>
      <c r="L1091" s="102">
        <f t="shared" si="347"/>
        <v>0</v>
      </c>
      <c r="M1091" s="102">
        <f t="shared" si="347"/>
        <v>234560.59999999998</v>
      </c>
      <c r="N1091" s="564"/>
      <c r="O1091" s="564"/>
      <c r="AJ1091" s="113"/>
      <c r="AK1091" s="113"/>
      <c r="AL1091" s="113"/>
      <c r="AM1091" s="113"/>
      <c r="AN1091" s="113"/>
      <c r="AO1091" s="113"/>
      <c r="AP1091" s="113"/>
      <c r="AQ1091" s="113"/>
      <c r="AR1091" s="113"/>
      <c r="AS1091" s="113"/>
      <c r="AT1091" s="113"/>
      <c r="AU1091" s="113"/>
      <c r="AV1091" s="113"/>
      <c r="AW1091" s="113"/>
      <c r="AX1091" s="113"/>
      <c r="AY1091" s="113"/>
      <c r="AZ1091" s="113"/>
      <c r="BA1091" s="113"/>
      <c r="BB1091" s="113"/>
      <c r="BC1091" s="113"/>
      <c r="BD1091" s="113"/>
      <c r="BE1091" s="113"/>
      <c r="BF1091" s="113"/>
      <c r="BG1091" s="113"/>
      <c r="BH1091" s="113"/>
      <c r="BI1091" s="113"/>
    </row>
    <row r="1092" spans="1:61" s="45" customFormat="1" ht="20.25" customHeight="1">
      <c r="A1092" s="986"/>
      <c r="B1092" s="62" t="s">
        <v>10</v>
      </c>
      <c r="C1092" s="564"/>
      <c r="D1092" s="564"/>
      <c r="E1092" s="564"/>
      <c r="F1092" s="564"/>
      <c r="G1092" s="102">
        <f>G1096+G1100+G1103</f>
        <v>76570.2</v>
      </c>
      <c r="H1092" s="102">
        <f t="shared" ref="H1092:M1092" si="348">H1096+H1100+H1103</f>
        <v>0</v>
      </c>
      <c r="I1092" s="102">
        <f t="shared" si="348"/>
        <v>0</v>
      </c>
      <c r="J1092" s="102">
        <f t="shared" si="348"/>
        <v>0</v>
      </c>
      <c r="K1092" s="102">
        <f t="shared" si="348"/>
        <v>76570.2</v>
      </c>
      <c r="L1092" s="102">
        <f t="shared" si="348"/>
        <v>0</v>
      </c>
      <c r="M1092" s="102">
        <f t="shared" si="348"/>
        <v>234560.59999999998</v>
      </c>
      <c r="N1092" s="564"/>
      <c r="O1092" s="564"/>
      <c r="AJ1092" s="113"/>
      <c r="AK1092" s="113"/>
      <c r="AL1092" s="113"/>
      <c r="AM1092" s="113"/>
      <c r="AN1092" s="113"/>
      <c r="AO1092" s="113"/>
      <c r="AP1092" s="113"/>
      <c r="AQ1092" s="113"/>
      <c r="AR1092" s="113"/>
      <c r="AS1092" s="113"/>
      <c r="AT1092" s="113"/>
      <c r="AU1092" s="113"/>
      <c r="AV1092" s="113"/>
      <c r="AW1092" s="113"/>
      <c r="AX1092" s="113"/>
      <c r="AY1092" s="113"/>
      <c r="AZ1092" s="113"/>
      <c r="BA1092" s="113"/>
      <c r="BB1092" s="113"/>
      <c r="BC1092" s="113"/>
      <c r="BD1092" s="113"/>
      <c r="BE1092" s="113"/>
      <c r="BF1092" s="113"/>
      <c r="BG1092" s="113"/>
      <c r="BH1092" s="113"/>
      <c r="BI1092" s="113"/>
    </row>
    <row r="1093" spans="1:61" s="45" customFormat="1" ht="19.5" customHeight="1">
      <c r="A1093" s="987"/>
      <c r="B1093" s="62" t="s">
        <v>502</v>
      </c>
      <c r="C1093" s="62"/>
      <c r="D1093" s="62"/>
      <c r="E1093" s="62"/>
      <c r="F1093" s="62"/>
      <c r="G1093" s="102">
        <f t="shared" ref="G1093:G1101" si="349">K1093</f>
        <v>0</v>
      </c>
      <c r="H1093" s="102">
        <f t="shared" ref="H1093:J1093" si="350">H1101</f>
        <v>0</v>
      </c>
      <c r="I1093" s="102">
        <f t="shared" si="350"/>
        <v>0</v>
      </c>
      <c r="J1093" s="102">
        <f t="shared" si="350"/>
        <v>0</v>
      </c>
      <c r="K1093" s="102">
        <f>K1101</f>
        <v>0</v>
      </c>
      <c r="L1093" s="102">
        <f>L1101</f>
        <v>0</v>
      </c>
      <c r="M1093" s="499">
        <f>M1101</f>
        <v>0</v>
      </c>
      <c r="N1093" s="564"/>
      <c r="O1093" s="62"/>
      <c r="AJ1093" s="113"/>
      <c r="AK1093" s="113"/>
      <c r="AL1093" s="113"/>
      <c r="AM1093" s="113"/>
      <c r="AN1093" s="113"/>
      <c r="AO1093" s="113"/>
      <c r="AP1093" s="113"/>
      <c r="AQ1093" s="113"/>
      <c r="AR1093" s="113"/>
      <c r="AS1093" s="113"/>
      <c r="AT1093" s="113"/>
      <c r="AU1093" s="113"/>
      <c r="AV1093" s="113"/>
      <c r="AW1093" s="113"/>
      <c r="AX1093" s="113"/>
      <c r="AY1093" s="113"/>
      <c r="AZ1093" s="113"/>
      <c r="BA1093" s="113"/>
      <c r="BB1093" s="113"/>
      <c r="BC1093" s="113"/>
      <c r="BD1093" s="113"/>
      <c r="BE1093" s="113"/>
      <c r="BF1093" s="113"/>
      <c r="BG1093" s="113"/>
      <c r="BH1093" s="113"/>
      <c r="BI1093" s="113"/>
    </row>
    <row r="1094" spans="1:61" s="45" customFormat="1" ht="26.25" customHeight="1">
      <c r="A1094" s="1028" t="s">
        <v>157</v>
      </c>
      <c r="B1094" s="780" t="s">
        <v>89</v>
      </c>
      <c r="C1094" s="781"/>
      <c r="D1094" s="781"/>
      <c r="E1094" s="781"/>
      <c r="F1094" s="781"/>
      <c r="G1094" s="103">
        <f t="shared" ref="G1094:G1097" si="351">K1094</f>
        <v>4</v>
      </c>
      <c r="H1094" s="103"/>
      <c r="I1094" s="103"/>
      <c r="J1094" s="103"/>
      <c r="K1094" s="103">
        <v>4</v>
      </c>
      <c r="L1094" s="103"/>
      <c r="M1094" s="679"/>
      <c r="N1094" s="780"/>
      <c r="O1094" s="1030" t="s">
        <v>1037</v>
      </c>
      <c r="AJ1094" s="113"/>
      <c r="AK1094" s="113"/>
      <c r="AL1094" s="113"/>
      <c r="AM1094" s="113"/>
      <c r="AN1094" s="113"/>
      <c r="AO1094" s="113"/>
      <c r="AP1094" s="113"/>
      <c r="AQ1094" s="113"/>
      <c r="AR1094" s="113"/>
      <c r="AS1094" s="113"/>
      <c r="AT1094" s="113"/>
      <c r="AU1094" s="113"/>
      <c r="AV1094" s="113"/>
      <c r="AW1094" s="113"/>
      <c r="AX1094" s="113"/>
      <c r="AY1094" s="113"/>
      <c r="AZ1094" s="113"/>
      <c r="BA1094" s="113"/>
      <c r="BB1094" s="113"/>
      <c r="BC1094" s="113"/>
      <c r="BD1094" s="113"/>
      <c r="BE1094" s="113"/>
      <c r="BF1094" s="113"/>
      <c r="BG1094" s="113"/>
      <c r="BH1094" s="113"/>
      <c r="BI1094" s="113"/>
    </row>
    <row r="1095" spans="1:61" s="45" customFormat="1" ht="23.25" customHeight="1">
      <c r="A1095" s="1036"/>
      <c r="B1095" s="780" t="s">
        <v>25</v>
      </c>
      <c r="C1095" s="781"/>
      <c r="D1095" s="781"/>
      <c r="E1095" s="781"/>
      <c r="F1095" s="781"/>
      <c r="G1095" s="103">
        <f t="shared" si="351"/>
        <v>59860.7</v>
      </c>
      <c r="H1095" s="103"/>
      <c r="I1095" s="103"/>
      <c r="J1095" s="103"/>
      <c r="K1095" s="103">
        <f>K1096+K1097</f>
        <v>59860.7</v>
      </c>
      <c r="L1095" s="103">
        <f>L1096+L1097</f>
        <v>0</v>
      </c>
      <c r="M1095" s="679">
        <f>M1096+M1097</f>
        <v>0</v>
      </c>
      <c r="N1095" s="780"/>
      <c r="O1095" s="1032"/>
      <c r="AJ1095" s="113"/>
      <c r="AK1095" s="113"/>
      <c r="AL1095" s="113"/>
      <c r="AM1095" s="113"/>
      <c r="AN1095" s="113"/>
      <c r="AO1095" s="113"/>
      <c r="AP1095" s="113"/>
      <c r="AQ1095" s="113"/>
      <c r="AR1095" s="113"/>
      <c r="AS1095" s="113"/>
      <c r="AT1095" s="113"/>
      <c r="AU1095" s="113"/>
      <c r="AV1095" s="113"/>
      <c r="AW1095" s="113"/>
      <c r="AX1095" s="113"/>
      <c r="AY1095" s="113"/>
      <c r="AZ1095" s="113"/>
      <c r="BA1095" s="113"/>
      <c r="BB1095" s="113"/>
      <c r="BC1095" s="113"/>
      <c r="BD1095" s="113"/>
      <c r="BE1095" s="113"/>
      <c r="BF1095" s="113"/>
      <c r="BG1095" s="113"/>
      <c r="BH1095" s="113"/>
      <c r="BI1095" s="113"/>
    </row>
    <row r="1096" spans="1:61" s="45" customFormat="1" ht="26.25" customHeight="1">
      <c r="A1096" s="1036"/>
      <c r="B1096" s="780" t="s">
        <v>10</v>
      </c>
      <c r="C1096" s="781"/>
      <c r="D1096" s="781"/>
      <c r="E1096" s="781"/>
      <c r="F1096" s="781"/>
      <c r="G1096" s="103">
        <f t="shared" si="351"/>
        <v>59860.7</v>
      </c>
      <c r="H1096" s="103"/>
      <c r="I1096" s="103"/>
      <c r="J1096" s="103"/>
      <c r="K1096" s="103">
        <f>1765.6+58095.1</f>
        <v>59860.7</v>
      </c>
      <c r="L1096" s="103"/>
      <c r="M1096" s="679"/>
      <c r="N1096" s="780"/>
      <c r="O1096" s="1032"/>
      <c r="AJ1096" s="113"/>
      <c r="AK1096" s="113"/>
      <c r="AL1096" s="113"/>
      <c r="AM1096" s="113"/>
      <c r="AN1096" s="113"/>
      <c r="AO1096" s="113"/>
      <c r="AP1096" s="113"/>
      <c r="AQ1096" s="113"/>
      <c r="AR1096" s="113"/>
      <c r="AS1096" s="113"/>
      <c r="AT1096" s="113"/>
      <c r="AU1096" s="113"/>
      <c r="AV1096" s="113"/>
      <c r="AW1096" s="113"/>
      <c r="AX1096" s="113"/>
      <c r="AY1096" s="113"/>
      <c r="AZ1096" s="113"/>
      <c r="BA1096" s="113"/>
      <c r="BB1096" s="113"/>
      <c r="BC1096" s="113"/>
      <c r="BD1096" s="113"/>
      <c r="BE1096" s="113"/>
      <c r="BF1096" s="113"/>
      <c r="BG1096" s="113"/>
      <c r="BH1096" s="113"/>
      <c r="BI1096" s="113"/>
    </row>
    <row r="1097" spans="1:61" ht="26.25" hidden="1" customHeight="1">
      <c r="A1097" s="1029"/>
      <c r="B1097" s="780" t="s">
        <v>502</v>
      </c>
      <c r="C1097" s="780">
        <v>176</v>
      </c>
      <c r="D1097" s="780" t="s">
        <v>15</v>
      </c>
      <c r="E1097" s="780">
        <v>6100404</v>
      </c>
      <c r="F1097" s="780">
        <v>244</v>
      </c>
      <c r="G1097" s="103">
        <f t="shared" si="351"/>
        <v>0</v>
      </c>
      <c r="H1097" s="103"/>
      <c r="I1097" s="103"/>
      <c r="J1097" s="103"/>
      <c r="K1097" s="103"/>
      <c r="L1097" s="103"/>
      <c r="M1097" s="679"/>
      <c r="N1097" s="780"/>
      <c r="O1097" s="1031"/>
    </row>
    <row r="1098" spans="1:61" s="45" customFormat="1" ht="26.25" customHeight="1">
      <c r="A1098" s="1028" t="s">
        <v>1038</v>
      </c>
      <c r="B1098" s="780" t="s">
        <v>89</v>
      </c>
      <c r="C1098" s="781"/>
      <c r="D1098" s="781"/>
      <c r="E1098" s="781"/>
      <c r="F1098" s="781"/>
      <c r="G1098" s="103">
        <f t="shared" si="349"/>
        <v>0</v>
      </c>
      <c r="H1098" s="103"/>
      <c r="I1098" s="103"/>
      <c r="J1098" s="103"/>
      <c r="K1098" s="103">
        <v>0</v>
      </c>
      <c r="L1098" s="103"/>
      <c r="M1098" s="679">
        <v>11</v>
      </c>
      <c r="N1098" s="780"/>
      <c r="O1098" s="1030" t="s">
        <v>1039</v>
      </c>
      <c r="AJ1098" s="113"/>
      <c r="AK1098" s="113"/>
      <c r="AL1098" s="113"/>
      <c r="AM1098" s="113"/>
      <c r="AN1098" s="113"/>
      <c r="AO1098" s="113"/>
      <c r="AP1098" s="113"/>
      <c r="AQ1098" s="113"/>
      <c r="AR1098" s="113"/>
      <c r="AS1098" s="113"/>
      <c r="AT1098" s="113"/>
      <c r="AU1098" s="113"/>
      <c r="AV1098" s="113"/>
      <c r="AW1098" s="113"/>
      <c r="AX1098" s="113"/>
      <c r="AY1098" s="113"/>
      <c r="AZ1098" s="113"/>
      <c r="BA1098" s="113"/>
      <c r="BB1098" s="113"/>
      <c r="BC1098" s="113"/>
      <c r="BD1098" s="113"/>
      <c r="BE1098" s="113"/>
      <c r="BF1098" s="113"/>
      <c r="BG1098" s="113"/>
      <c r="BH1098" s="113"/>
      <c r="BI1098" s="113"/>
    </row>
    <row r="1099" spans="1:61" s="45" customFormat="1" ht="23.25" customHeight="1">
      <c r="A1099" s="1036"/>
      <c r="B1099" s="780" t="s">
        <v>25</v>
      </c>
      <c r="C1099" s="781"/>
      <c r="D1099" s="781"/>
      <c r="E1099" s="781"/>
      <c r="F1099" s="781"/>
      <c r="G1099" s="103">
        <f t="shared" si="349"/>
        <v>0</v>
      </c>
      <c r="H1099" s="103"/>
      <c r="I1099" s="103"/>
      <c r="J1099" s="103"/>
      <c r="K1099" s="103">
        <f>K1100</f>
        <v>0</v>
      </c>
      <c r="L1099" s="103">
        <f>L1100+L1101</f>
        <v>0</v>
      </c>
      <c r="M1099" s="679">
        <f>M1100+M1101</f>
        <v>220103.8</v>
      </c>
      <c r="N1099" s="780"/>
      <c r="O1099" s="1032"/>
      <c r="AJ1099" s="113"/>
      <c r="AK1099" s="113"/>
      <c r="AL1099" s="113"/>
      <c r="AM1099" s="113"/>
      <c r="AN1099" s="113"/>
      <c r="AO1099" s="113"/>
      <c r="AP1099" s="113"/>
      <c r="AQ1099" s="113"/>
      <c r="AR1099" s="113"/>
      <c r="AS1099" s="113"/>
      <c r="AT1099" s="113"/>
      <c r="AU1099" s="113"/>
      <c r="AV1099" s="113"/>
      <c r="AW1099" s="113"/>
      <c r="AX1099" s="113"/>
      <c r="AY1099" s="113"/>
      <c r="AZ1099" s="113"/>
      <c r="BA1099" s="113"/>
      <c r="BB1099" s="113"/>
      <c r="BC1099" s="113"/>
      <c r="BD1099" s="113"/>
      <c r="BE1099" s="113"/>
      <c r="BF1099" s="113"/>
      <c r="BG1099" s="113"/>
      <c r="BH1099" s="113"/>
      <c r="BI1099" s="113"/>
    </row>
    <row r="1100" spans="1:61" s="45" customFormat="1" ht="26.25" customHeight="1">
      <c r="A1100" s="1036"/>
      <c r="B1100" s="780" t="s">
        <v>10</v>
      </c>
      <c r="C1100" s="781"/>
      <c r="D1100" s="781"/>
      <c r="E1100" s="781"/>
      <c r="F1100" s="781"/>
      <c r="G1100" s="103">
        <f t="shared" si="349"/>
        <v>0</v>
      </c>
      <c r="H1100" s="103"/>
      <c r="I1100" s="103"/>
      <c r="J1100" s="103"/>
      <c r="K1100" s="103">
        <v>0</v>
      </c>
      <c r="L1100" s="103"/>
      <c r="M1100" s="679">
        <v>220103.8</v>
      </c>
      <c r="N1100" s="780"/>
      <c r="O1100" s="1032"/>
      <c r="AJ1100" s="113"/>
      <c r="AK1100" s="113"/>
      <c r="AL1100" s="113"/>
      <c r="AM1100" s="113"/>
      <c r="AN1100" s="113"/>
      <c r="AO1100" s="113"/>
      <c r="AP1100" s="113"/>
      <c r="AQ1100" s="113"/>
      <c r="AR1100" s="113"/>
      <c r="AS1100" s="113"/>
      <c r="AT1100" s="113"/>
      <c r="AU1100" s="113"/>
      <c r="AV1100" s="113"/>
      <c r="AW1100" s="113"/>
      <c r="AX1100" s="113"/>
      <c r="AY1100" s="113"/>
      <c r="AZ1100" s="113"/>
      <c r="BA1100" s="113"/>
      <c r="BB1100" s="113"/>
      <c r="BC1100" s="113"/>
      <c r="BD1100" s="113"/>
      <c r="BE1100" s="113"/>
      <c r="BF1100" s="113"/>
      <c r="BG1100" s="113"/>
      <c r="BH1100" s="113"/>
      <c r="BI1100" s="113"/>
    </row>
    <row r="1101" spans="1:61" ht="26.25" hidden="1" customHeight="1">
      <c r="A1101" s="1029"/>
      <c r="B1101" s="780" t="s">
        <v>502</v>
      </c>
      <c r="C1101" s="780">
        <v>176</v>
      </c>
      <c r="D1101" s="780" t="s">
        <v>15</v>
      </c>
      <c r="E1101" s="780">
        <v>6100404</v>
      </c>
      <c r="F1101" s="780">
        <v>244</v>
      </c>
      <c r="G1101" s="103">
        <f t="shared" si="349"/>
        <v>0</v>
      </c>
      <c r="H1101" s="103"/>
      <c r="I1101" s="103"/>
      <c r="J1101" s="103"/>
      <c r="K1101" s="103"/>
      <c r="L1101" s="103"/>
      <c r="M1101" s="679"/>
      <c r="N1101" s="780"/>
      <c r="O1101" s="1031"/>
    </row>
    <row r="1102" spans="1:61" ht="26.25" customHeight="1">
      <c r="A1102" s="1028" t="s">
        <v>879</v>
      </c>
      <c r="B1102" s="710" t="s">
        <v>89</v>
      </c>
      <c r="C1102" s="710"/>
      <c r="D1102" s="710"/>
      <c r="E1102" s="710"/>
      <c r="F1102" s="710"/>
      <c r="G1102" s="103">
        <f>K1102</f>
        <v>1.5</v>
      </c>
      <c r="H1102" s="103"/>
      <c r="I1102" s="103"/>
      <c r="J1102" s="103"/>
      <c r="K1102" s="103">
        <v>1.5</v>
      </c>
      <c r="L1102" s="103"/>
      <c r="M1102" s="679">
        <v>1.1000000000000001</v>
      </c>
      <c r="N1102" s="710"/>
      <c r="O1102" s="1030" t="s">
        <v>1076</v>
      </c>
    </row>
    <row r="1103" spans="1:61" ht="26.25" customHeight="1">
      <c r="A1103" s="1029"/>
      <c r="B1103" s="710" t="s">
        <v>248</v>
      </c>
      <c r="C1103" s="710"/>
      <c r="D1103" s="710"/>
      <c r="E1103" s="710"/>
      <c r="F1103" s="710"/>
      <c r="G1103" s="103">
        <f>K1103</f>
        <v>16709.5</v>
      </c>
      <c r="H1103" s="103"/>
      <c r="I1103" s="103"/>
      <c r="J1103" s="103"/>
      <c r="K1103" s="103">
        <v>16709.5</v>
      </c>
      <c r="L1103" s="103"/>
      <c r="M1103" s="679">
        <v>14456.8</v>
      </c>
      <c r="N1103" s="710"/>
      <c r="O1103" s="1031"/>
    </row>
    <row r="1104" spans="1:61" ht="24.75" customHeight="1">
      <c r="A1104" s="1038" t="s">
        <v>102</v>
      </c>
      <c r="B1104" s="62" t="s">
        <v>89</v>
      </c>
      <c r="C1104" s="711" t="s">
        <v>89</v>
      </c>
      <c r="D1104" s="711" t="s">
        <v>89</v>
      </c>
      <c r="E1104" s="711" t="s">
        <v>89</v>
      </c>
      <c r="F1104" s="711" t="s">
        <v>89</v>
      </c>
      <c r="G1104" s="101">
        <f>G1110</f>
        <v>1.3</v>
      </c>
      <c r="H1104" s="101">
        <f t="shared" ref="H1104:L1104" si="352">H1110</f>
        <v>0</v>
      </c>
      <c r="I1104" s="101">
        <f t="shared" si="352"/>
        <v>0</v>
      </c>
      <c r="J1104" s="101">
        <f t="shared" si="352"/>
        <v>0</v>
      </c>
      <c r="K1104" s="101">
        <f t="shared" si="352"/>
        <v>1.3</v>
      </c>
      <c r="L1104" s="101">
        <f t="shared" si="352"/>
        <v>0</v>
      </c>
      <c r="M1104" s="499">
        <f>M1106+M1108+M1110</f>
        <v>6.1</v>
      </c>
      <c r="N1104" s="564"/>
      <c r="O1104" s="62"/>
    </row>
    <row r="1105" spans="1:61" ht="24.75" customHeight="1">
      <c r="A1105" s="1038"/>
      <c r="B1105" s="62" t="s">
        <v>248</v>
      </c>
      <c r="C1105" s="62"/>
      <c r="D1105" s="62"/>
      <c r="E1105" s="62"/>
      <c r="F1105" s="62"/>
      <c r="G1105" s="102">
        <f>G1107+G1109+G1111</f>
        <v>17111.900000000001</v>
      </c>
      <c r="H1105" s="102">
        <f t="shared" ref="H1105:M1105" si="353">H1107+H1109+H1111</f>
        <v>0</v>
      </c>
      <c r="I1105" s="102">
        <f t="shared" si="353"/>
        <v>0</v>
      </c>
      <c r="J1105" s="102">
        <f t="shared" si="353"/>
        <v>0</v>
      </c>
      <c r="K1105" s="102">
        <f t="shared" si="353"/>
        <v>17111.900000000001</v>
      </c>
      <c r="L1105" s="102">
        <f t="shared" si="353"/>
        <v>0</v>
      </c>
      <c r="M1105" s="102">
        <f t="shared" si="353"/>
        <v>113953.4</v>
      </c>
      <c r="N1105" s="564"/>
      <c r="O1105" s="62"/>
    </row>
    <row r="1106" spans="1:61" ht="24" customHeight="1">
      <c r="A1106" s="1039" t="s">
        <v>1040</v>
      </c>
      <c r="B1106" s="564" t="s">
        <v>89</v>
      </c>
      <c r="C1106" s="564">
        <v>176</v>
      </c>
      <c r="D1106" s="564" t="s">
        <v>15</v>
      </c>
      <c r="E1106" s="564">
        <v>6100404</v>
      </c>
      <c r="F1106" s="564">
        <v>244</v>
      </c>
      <c r="G1106" s="103"/>
      <c r="H1106" s="103"/>
      <c r="I1106" s="103"/>
      <c r="J1106" s="103"/>
      <c r="K1106" s="103"/>
      <c r="L1106" s="103"/>
      <c r="M1106" s="679">
        <v>5</v>
      </c>
      <c r="N1106" s="564"/>
      <c r="O1106" s="1037" t="s">
        <v>644</v>
      </c>
    </row>
    <row r="1107" spans="1:61" s="45" customFormat="1" ht="24" customHeight="1">
      <c r="A1107" s="1039"/>
      <c r="B1107" s="564" t="s">
        <v>248</v>
      </c>
      <c r="C1107" s="564"/>
      <c r="D1107" s="564"/>
      <c r="E1107" s="564"/>
      <c r="F1107" s="564"/>
      <c r="G1107" s="103"/>
      <c r="H1107" s="103"/>
      <c r="I1107" s="103"/>
      <c r="J1107" s="103"/>
      <c r="K1107" s="103"/>
      <c r="L1107" s="103"/>
      <c r="M1107" s="679">
        <v>100000</v>
      </c>
      <c r="N1107" s="564"/>
      <c r="O1107" s="1037"/>
      <c r="AJ1107" s="113"/>
      <c r="AK1107" s="113"/>
      <c r="AL1107" s="113"/>
      <c r="AM1107" s="113"/>
      <c r="AN1107" s="113"/>
      <c r="AO1107" s="113"/>
      <c r="AP1107" s="113"/>
      <c r="AQ1107" s="113"/>
      <c r="AR1107" s="113"/>
      <c r="AS1107" s="113"/>
      <c r="AT1107" s="113"/>
      <c r="AU1107" s="113"/>
      <c r="AV1107" s="113"/>
      <c r="AW1107" s="113"/>
      <c r="AX1107" s="113"/>
      <c r="AY1107" s="113"/>
      <c r="AZ1107" s="113"/>
      <c r="BA1107" s="113"/>
      <c r="BB1107" s="113"/>
      <c r="BC1107" s="113"/>
      <c r="BD1107" s="113"/>
      <c r="BE1107" s="113"/>
      <c r="BF1107" s="113"/>
      <c r="BG1107" s="113"/>
      <c r="BH1107" s="113"/>
      <c r="BI1107" s="113"/>
    </row>
    <row r="1108" spans="1:61" s="45" customFormat="1" ht="24.6" customHeight="1">
      <c r="A1108" s="1028" t="s">
        <v>617</v>
      </c>
      <c r="B1108" s="564" t="s">
        <v>89</v>
      </c>
      <c r="C1108" s="564"/>
      <c r="D1108" s="564"/>
      <c r="E1108" s="564"/>
      <c r="F1108" s="564"/>
      <c r="G1108" s="103"/>
      <c r="H1108" s="103"/>
      <c r="I1108" s="103"/>
      <c r="J1108" s="103"/>
      <c r="K1108" s="103"/>
      <c r="L1108" s="103"/>
      <c r="M1108" s="679"/>
      <c r="N1108" s="564"/>
      <c r="O1108" s="1037" t="s">
        <v>882</v>
      </c>
      <c r="AJ1108" s="113"/>
      <c r="AK1108" s="113"/>
      <c r="AL1108" s="113"/>
      <c r="AM1108" s="113"/>
      <c r="AN1108" s="113"/>
      <c r="AO1108" s="113"/>
      <c r="AP1108" s="113"/>
      <c r="AQ1108" s="113"/>
      <c r="AR1108" s="113"/>
      <c r="AS1108" s="113"/>
      <c r="AT1108" s="113"/>
      <c r="AU1108" s="113"/>
      <c r="AV1108" s="113"/>
      <c r="AW1108" s="113"/>
      <c r="AX1108" s="113"/>
      <c r="AY1108" s="113"/>
      <c r="AZ1108" s="113"/>
      <c r="BA1108" s="113"/>
      <c r="BB1108" s="113"/>
      <c r="BC1108" s="113"/>
      <c r="BD1108" s="113"/>
      <c r="BE1108" s="113"/>
      <c r="BF1108" s="113"/>
      <c r="BG1108" s="113"/>
      <c r="BH1108" s="113"/>
      <c r="BI1108" s="113"/>
    </row>
    <row r="1109" spans="1:61" ht="24.6" customHeight="1">
      <c r="A1109" s="1029"/>
      <c r="B1109" s="564" t="s">
        <v>248</v>
      </c>
      <c r="C1109" s="564"/>
      <c r="D1109" s="564"/>
      <c r="E1109" s="564"/>
      <c r="F1109" s="564"/>
      <c r="G1109" s="103">
        <f>K1109</f>
        <v>1000</v>
      </c>
      <c r="H1109" s="103"/>
      <c r="I1109" s="103"/>
      <c r="J1109" s="103"/>
      <c r="K1109" s="103">
        <v>1000</v>
      </c>
      <c r="L1109" s="103"/>
      <c r="M1109" s="679"/>
      <c r="N1109" s="564"/>
      <c r="O1109" s="1037"/>
    </row>
    <row r="1110" spans="1:61" ht="24.6" customHeight="1">
      <c r="A1110" s="1028" t="s">
        <v>879</v>
      </c>
      <c r="B1110" s="564" t="s">
        <v>89</v>
      </c>
      <c r="C1110" s="564"/>
      <c r="D1110" s="564"/>
      <c r="E1110" s="564"/>
      <c r="F1110" s="564"/>
      <c r="G1110" s="103">
        <f>K1110</f>
        <v>1.3</v>
      </c>
      <c r="H1110" s="103"/>
      <c r="I1110" s="103"/>
      <c r="J1110" s="103"/>
      <c r="K1110" s="103">
        <v>1.3</v>
      </c>
      <c r="L1110" s="103"/>
      <c r="M1110" s="679">
        <v>1.1000000000000001</v>
      </c>
      <c r="N1110" s="564"/>
      <c r="O1110" s="1030" t="s">
        <v>1074</v>
      </c>
    </row>
    <row r="1111" spans="1:61" ht="24.6" customHeight="1">
      <c r="A1111" s="1029"/>
      <c r="B1111" s="564" t="s">
        <v>248</v>
      </c>
      <c r="C1111" s="564"/>
      <c r="D1111" s="564"/>
      <c r="E1111" s="564"/>
      <c r="F1111" s="564"/>
      <c r="G1111" s="103">
        <f>K1111</f>
        <v>16111.9</v>
      </c>
      <c r="H1111" s="103"/>
      <c r="I1111" s="103"/>
      <c r="J1111" s="103"/>
      <c r="K1111" s="103">
        <f>16111.9</f>
        <v>16111.9</v>
      </c>
      <c r="L1111" s="103"/>
      <c r="M1111" s="679">
        <v>13953.4</v>
      </c>
      <c r="N1111" s="564"/>
      <c r="O1111" s="1031"/>
    </row>
    <row r="1112" spans="1:61" ht="24.6" customHeight="1">
      <c r="A1112" s="1038" t="s">
        <v>132</v>
      </c>
      <c r="B1112" s="62" t="s">
        <v>89</v>
      </c>
      <c r="C1112" s="62"/>
      <c r="D1112" s="62"/>
      <c r="E1112" s="62"/>
      <c r="F1112" s="62"/>
      <c r="G1112" s="102">
        <f>G1118+G1120+G1124</f>
        <v>1</v>
      </c>
      <c r="H1112" s="102">
        <f t="shared" ref="H1112:M1112" si="354">H1118+H1120+H1124</f>
        <v>0</v>
      </c>
      <c r="I1112" s="102">
        <f t="shared" si="354"/>
        <v>0</v>
      </c>
      <c r="J1112" s="102">
        <f t="shared" si="354"/>
        <v>0</v>
      </c>
      <c r="K1112" s="102">
        <f t="shared" si="354"/>
        <v>1</v>
      </c>
      <c r="L1112" s="102">
        <f t="shared" si="354"/>
        <v>0</v>
      </c>
      <c r="M1112" s="499">
        <f t="shared" si="354"/>
        <v>1</v>
      </c>
      <c r="N1112" s="564"/>
      <c r="O1112" s="62"/>
    </row>
    <row r="1113" spans="1:61" ht="24.6" customHeight="1">
      <c r="A1113" s="1038"/>
      <c r="B1113" s="62" t="s">
        <v>25</v>
      </c>
      <c r="C1113" s="62"/>
      <c r="D1113" s="62"/>
      <c r="E1113" s="62"/>
      <c r="F1113" s="62"/>
      <c r="G1113" s="102">
        <f>G1114+G1115</f>
        <v>12155.4</v>
      </c>
      <c r="H1113" s="102">
        <f t="shared" ref="H1113:M1113" si="355">H1114+H1115</f>
        <v>0</v>
      </c>
      <c r="I1113" s="102">
        <f t="shared" si="355"/>
        <v>0</v>
      </c>
      <c r="J1113" s="102">
        <f t="shared" si="355"/>
        <v>0</v>
      </c>
      <c r="K1113" s="102">
        <f t="shared" si="355"/>
        <v>12155.4</v>
      </c>
      <c r="L1113" s="102">
        <f t="shared" si="355"/>
        <v>4000</v>
      </c>
      <c r="M1113" s="499">
        <f t="shared" si="355"/>
        <v>66620.100000000006</v>
      </c>
      <c r="N1113" s="564"/>
      <c r="O1113" s="62"/>
    </row>
    <row r="1114" spans="1:61" ht="24.6" customHeight="1">
      <c r="A1114" s="1038"/>
      <c r="B1114" s="62" t="s">
        <v>10</v>
      </c>
      <c r="C1114" s="62"/>
      <c r="D1114" s="62"/>
      <c r="E1114" s="62"/>
      <c r="F1114" s="62"/>
      <c r="G1114" s="102">
        <f>G1119+G1122+G1125</f>
        <v>12155.4</v>
      </c>
      <c r="H1114" s="102">
        <f t="shared" ref="H1114:M1114" si="356">H1119+H1122+H1125</f>
        <v>0</v>
      </c>
      <c r="I1114" s="102">
        <f t="shared" si="356"/>
        <v>0</v>
      </c>
      <c r="J1114" s="102">
        <f t="shared" si="356"/>
        <v>0</v>
      </c>
      <c r="K1114" s="102">
        <f t="shared" si="356"/>
        <v>12155.4</v>
      </c>
      <c r="L1114" s="102">
        <f>L1119+L1122+L1125+L1117</f>
        <v>4000</v>
      </c>
      <c r="M1114" s="102">
        <f t="shared" si="356"/>
        <v>66620.100000000006</v>
      </c>
      <c r="N1114" s="564"/>
      <c r="O1114" s="62"/>
    </row>
    <row r="1115" spans="1:61" s="45" customFormat="1" ht="24.6" customHeight="1">
      <c r="A1115" s="1038"/>
      <c r="B1115" s="62" t="s">
        <v>502</v>
      </c>
      <c r="C1115" s="62"/>
      <c r="D1115" s="62"/>
      <c r="E1115" s="62"/>
      <c r="F1115" s="62"/>
      <c r="G1115" s="102">
        <f>G1123</f>
        <v>0</v>
      </c>
      <c r="H1115" s="102">
        <f t="shared" ref="H1115:M1115" si="357">H1123</f>
        <v>0</v>
      </c>
      <c r="I1115" s="102">
        <f t="shared" si="357"/>
        <v>0</v>
      </c>
      <c r="J1115" s="102">
        <f t="shared" si="357"/>
        <v>0</v>
      </c>
      <c r="K1115" s="102">
        <f t="shared" si="357"/>
        <v>0</v>
      </c>
      <c r="L1115" s="102">
        <f t="shared" si="357"/>
        <v>0</v>
      </c>
      <c r="M1115" s="499">
        <f t="shared" si="357"/>
        <v>0</v>
      </c>
      <c r="N1115" s="564"/>
      <c r="O1115" s="62"/>
      <c r="AJ1115" s="113"/>
      <c r="AK1115" s="113"/>
      <c r="AL1115" s="113"/>
      <c r="AM1115" s="113"/>
      <c r="AN1115" s="113"/>
      <c r="AO1115" s="113"/>
      <c r="AP1115" s="113"/>
      <c r="AQ1115" s="113"/>
      <c r="AR1115" s="113"/>
      <c r="AS1115" s="113"/>
      <c r="AT1115" s="113"/>
      <c r="AU1115" s="113"/>
      <c r="AV1115" s="113"/>
      <c r="AW1115" s="113"/>
      <c r="AX1115" s="113"/>
      <c r="AY1115" s="113"/>
      <c r="AZ1115" s="113"/>
      <c r="BA1115" s="113"/>
      <c r="BB1115" s="113"/>
      <c r="BC1115" s="113"/>
      <c r="BD1115" s="113"/>
      <c r="BE1115" s="113"/>
      <c r="BF1115" s="113"/>
      <c r="BG1115" s="113"/>
      <c r="BH1115" s="113"/>
      <c r="BI1115" s="113"/>
    </row>
    <row r="1116" spans="1:61" s="45" customFormat="1" ht="24.6" customHeight="1">
      <c r="A1116" s="1039" t="s">
        <v>538</v>
      </c>
      <c r="B1116" s="780" t="s">
        <v>89</v>
      </c>
      <c r="C1116" s="780">
        <v>176</v>
      </c>
      <c r="D1116" s="780" t="s">
        <v>15</v>
      </c>
      <c r="E1116" s="780">
        <v>6100404</v>
      </c>
      <c r="F1116" s="780">
        <v>244</v>
      </c>
      <c r="G1116" s="102">
        <f t="shared" ref="G1116:G1117" si="358">K1116</f>
        <v>0</v>
      </c>
      <c r="H1116" s="103"/>
      <c r="I1116" s="103"/>
      <c r="J1116" s="103"/>
      <c r="K1116" s="103"/>
      <c r="L1116" s="103"/>
      <c r="M1116" s="679"/>
      <c r="N1116" s="780"/>
      <c r="O1116" s="1037" t="s">
        <v>882</v>
      </c>
      <c r="AJ1116" s="113"/>
      <c r="AK1116" s="113"/>
      <c r="AL1116" s="113"/>
      <c r="AM1116" s="113"/>
      <c r="AN1116" s="113"/>
      <c r="AO1116" s="113"/>
      <c r="AP1116" s="113"/>
      <c r="AQ1116" s="113"/>
      <c r="AR1116" s="113"/>
      <c r="AS1116" s="113"/>
      <c r="AT1116" s="113"/>
      <c r="AU1116" s="113"/>
      <c r="AV1116" s="113"/>
      <c r="AW1116" s="113"/>
      <c r="AX1116" s="113"/>
      <c r="AY1116" s="113"/>
      <c r="AZ1116" s="113"/>
      <c r="BA1116" s="113"/>
      <c r="BB1116" s="113"/>
      <c r="BC1116" s="113"/>
      <c r="BD1116" s="113"/>
      <c r="BE1116" s="113"/>
      <c r="BF1116" s="113"/>
      <c r="BG1116" s="113"/>
      <c r="BH1116" s="113"/>
      <c r="BI1116" s="113"/>
    </row>
    <row r="1117" spans="1:61" ht="24.6" customHeight="1">
      <c r="A1117" s="1039"/>
      <c r="B1117" s="780" t="s">
        <v>248</v>
      </c>
      <c r="C1117" s="780"/>
      <c r="D1117" s="780"/>
      <c r="E1117" s="780"/>
      <c r="F1117" s="780"/>
      <c r="G1117" s="102">
        <f t="shared" si="358"/>
        <v>0</v>
      </c>
      <c r="H1117" s="103"/>
      <c r="I1117" s="103"/>
      <c r="J1117" s="103"/>
      <c r="K1117" s="103"/>
      <c r="L1117" s="103">
        <v>2500</v>
      </c>
      <c r="M1117" s="679"/>
      <c r="N1117" s="780"/>
      <c r="O1117" s="1037"/>
    </row>
    <row r="1118" spans="1:61" s="45" customFormat="1" ht="24.6" customHeight="1">
      <c r="A1118" s="1039" t="s">
        <v>979</v>
      </c>
      <c r="B1118" s="564" t="s">
        <v>89</v>
      </c>
      <c r="C1118" s="564">
        <v>176</v>
      </c>
      <c r="D1118" s="564" t="s">
        <v>15</v>
      </c>
      <c r="E1118" s="564">
        <v>6100404</v>
      </c>
      <c r="F1118" s="564">
        <v>244</v>
      </c>
      <c r="G1118" s="102">
        <f t="shared" ref="G1118:G1125" si="359">K1118</f>
        <v>0</v>
      </c>
      <c r="H1118" s="103"/>
      <c r="I1118" s="103"/>
      <c r="J1118" s="103"/>
      <c r="K1118" s="103"/>
      <c r="L1118" s="103"/>
      <c r="M1118" s="679"/>
      <c r="N1118" s="564"/>
      <c r="O1118" s="1037" t="s">
        <v>882</v>
      </c>
      <c r="AJ1118" s="113"/>
      <c r="AK1118" s="113"/>
      <c r="AL1118" s="113"/>
      <c r="AM1118" s="113"/>
      <c r="AN1118" s="113"/>
      <c r="AO1118" s="113"/>
      <c r="AP1118" s="113"/>
      <c r="AQ1118" s="113"/>
      <c r="AR1118" s="113"/>
      <c r="AS1118" s="113"/>
      <c r="AT1118" s="113"/>
      <c r="AU1118" s="113"/>
      <c r="AV1118" s="113"/>
      <c r="AW1118" s="113"/>
      <c r="AX1118" s="113"/>
      <c r="AY1118" s="113"/>
      <c r="AZ1118" s="113"/>
      <c r="BA1118" s="113"/>
      <c r="BB1118" s="113"/>
      <c r="BC1118" s="113"/>
      <c r="BD1118" s="113"/>
      <c r="BE1118" s="113"/>
      <c r="BF1118" s="113"/>
      <c r="BG1118" s="113"/>
      <c r="BH1118" s="113"/>
      <c r="BI1118" s="113"/>
    </row>
    <row r="1119" spans="1:61" ht="24.6" customHeight="1">
      <c r="A1119" s="1039"/>
      <c r="B1119" s="564" t="s">
        <v>248</v>
      </c>
      <c r="C1119" s="564"/>
      <c r="D1119" s="564"/>
      <c r="E1119" s="564"/>
      <c r="F1119" s="564"/>
      <c r="G1119" s="102">
        <f t="shared" si="359"/>
        <v>0</v>
      </c>
      <c r="H1119" s="103"/>
      <c r="I1119" s="103"/>
      <c r="J1119" s="103"/>
      <c r="K1119" s="103"/>
      <c r="L1119" s="103"/>
      <c r="M1119" s="679">
        <v>20000</v>
      </c>
      <c r="N1119" s="564"/>
      <c r="O1119" s="1037"/>
    </row>
    <row r="1120" spans="1:61" ht="24.6" customHeight="1">
      <c r="A1120" s="1028" t="s">
        <v>619</v>
      </c>
      <c r="B1120" s="564" t="s">
        <v>89</v>
      </c>
      <c r="C1120" s="564"/>
      <c r="D1120" s="564"/>
      <c r="E1120" s="564"/>
      <c r="F1120" s="564"/>
      <c r="G1120" s="103">
        <f t="shared" si="359"/>
        <v>0</v>
      </c>
      <c r="H1120" s="103"/>
      <c r="I1120" s="103"/>
      <c r="J1120" s="103"/>
      <c r="K1120" s="103"/>
      <c r="L1120" s="103"/>
      <c r="M1120" s="679"/>
      <c r="N1120" s="564"/>
      <c r="O1120" s="1030" t="s">
        <v>882</v>
      </c>
    </row>
    <row r="1121" spans="1:61" ht="24.6" customHeight="1">
      <c r="A1121" s="1036"/>
      <c r="B1121" s="564" t="s">
        <v>25</v>
      </c>
      <c r="C1121" s="564"/>
      <c r="D1121" s="564"/>
      <c r="E1121" s="564"/>
      <c r="F1121" s="564"/>
      <c r="G1121" s="103">
        <f t="shared" si="359"/>
        <v>0</v>
      </c>
      <c r="H1121" s="103"/>
      <c r="I1121" s="103"/>
      <c r="J1121" s="103"/>
      <c r="K1121" s="103">
        <f>K1122+K1123</f>
        <v>0</v>
      </c>
      <c r="L1121" s="103">
        <f t="shared" ref="L1121:M1121" si="360">L1122+L1123</f>
        <v>1500</v>
      </c>
      <c r="M1121" s="679">
        <f t="shared" si="360"/>
        <v>0</v>
      </c>
      <c r="N1121" s="564"/>
      <c r="O1121" s="1032"/>
    </row>
    <row r="1122" spans="1:61" ht="24.6" customHeight="1">
      <c r="A1122" s="1036"/>
      <c r="B1122" s="564" t="s">
        <v>10</v>
      </c>
      <c r="C1122" s="564"/>
      <c r="D1122" s="564"/>
      <c r="E1122" s="564"/>
      <c r="F1122" s="564"/>
      <c r="G1122" s="103">
        <f t="shared" si="359"/>
        <v>0</v>
      </c>
      <c r="H1122" s="103"/>
      <c r="I1122" s="103"/>
      <c r="J1122" s="103"/>
      <c r="K1122" s="103"/>
      <c r="L1122" s="103">
        <v>1500</v>
      </c>
      <c r="M1122" s="679"/>
      <c r="N1122" s="564"/>
      <c r="O1122" s="1032"/>
    </row>
    <row r="1123" spans="1:61" ht="24.6" customHeight="1">
      <c r="A1123" s="1029"/>
      <c r="B1123" s="564" t="s">
        <v>502</v>
      </c>
      <c r="C1123" s="564"/>
      <c r="D1123" s="564"/>
      <c r="E1123" s="564"/>
      <c r="F1123" s="564"/>
      <c r="G1123" s="103">
        <f t="shared" si="359"/>
        <v>0</v>
      </c>
      <c r="H1123" s="103"/>
      <c r="I1123" s="103"/>
      <c r="J1123" s="103"/>
      <c r="K1123" s="103"/>
      <c r="L1123" s="103"/>
      <c r="M1123" s="679"/>
      <c r="N1123" s="564"/>
      <c r="O1123" s="1031"/>
    </row>
    <row r="1124" spans="1:61" ht="24.6" customHeight="1">
      <c r="A1124" s="1028" t="s">
        <v>879</v>
      </c>
      <c r="B1124" s="564" t="s">
        <v>89</v>
      </c>
      <c r="C1124" s="564"/>
      <c r="D1124" s="564"/>
      <c r="E1124" s="564"/>
      <c r="F1124" s="564"/>
      <c r="G1124" s="103">
        <f t="shared" si="359"/>
        <v>1</v>
      </c>
      <c r="H1124" s="103"/>
      <c r="I1124" s="103"/>
      <c r="J1124" s="103"/>
      <c r="K1124" s="103">
        <v>1</v>
      </c>
      <c r="L1124" s="103"/>
      <c r="M1124" s="679">
        <v>1</v>
      </c>
      <c r="N1124" s="564"/>
      <c r="O1124" s="1030" t="s">
        <v>1077</v>
      </c>
    </row>
    <row r="1125" spans="1:61" ht="24.6" customHeight="1">
      <c r="A1125" s="1029"/>
      <c r="B1125" s="564" t="s">
        <v>248</v>
      </c>
      <c r="C1125" s="564"/>
      <c r="D1125" s="564"/>
      <c r="E1125" s="564"/>
      <c r="F1125" s="564"/>
      <c r="G1125" s="103">
        <f t="shared" si="359"/>
        <v>12155.4</v>
      </c>
      <c r="H1125" s="103"/>
      <c r="I1125" s="103"/>
      <c r="J1125" s="103"/>
      <c r="K1125" s="103">
        <v>12155.4</v>
      </c>
      <c r="L1125" s="103"/>
      <c r="M1125" s="679">
        <f>11620.1+35000</f>
        <v>46620.1</v>
      </c>
      <c r="N1125" s="564"/>
      <c r="O1125" s="1031"/>
    </row>
    <row r="1126" spans="1:61" ht="24.6" customHeight="1">
      <c r="A1126" s="1038" t="s">
        <v>161</v>
      </c>
      <c r="B1126" s="62" t="s">
        <v>89</v>
      </c>
      <c r="C1126" s="62"/>
      <c r="D1126" s="62"/>
      <c r="E1126" s="62"/>
      <c r="F1126" s="62"/>
      <c r="G1126" s="102">
        <f>G1132+G1134+G1138+G1144</f>
        <v>1.4</v>
      </c>
      <c r="H1126" s="102">
        <f t="shared" ref="H1126:M1126" si="361">H1132+H1134+H1138+H1144</f>
        <v>0</v>
      </c>
      <c r="I1126" s="102">
        <f t="shared" si="361"/>
        <v>0</v>
      </c>
      <c r="J1126" s="102">
        <f t="shared" si="361"/>
        <v>0</v>
      </c>
      <c r="K1126" s="102">
        <f t="shared" si="361"/>
        <v>1.4</v>
      </c>
      <c r="L1126" s="102">
        <f t="shared" si="361"/>
        <v>0</v>
      </c>
      <c r="M1126" s="102">
        <f t="shared" si="361"/>
        <v>1.1000000000000001</v>
      </c>
      <c r="N1126" s="564"/>
      <c r="O1126" s="62"/>
    </row>
    <row r="1127" spans="1:61" ht="24.6" customHeight="1">
      <c r="A1127" s="1038"/>
      <c r="B1127" s="62" t="s">
        <v>25</v>
      </c>
      <c r="C1127" s="62"/>
      <c r="D1127" s="62"/>
      <c r="E1127" s="62"/>
      <c r="F1127" s="62"/>
      <c r="G1127" s="102">
        <f>G1128+G1129</f>
        <v>27082.7</v>
      </c>
      <c r="H1127" s="102">
        <f t="shared" ref="H1127:M1127" si="362">H1128+H1129</f>
        <v>0</v>
      </c>
      <c r="I1127" s="102">
        <f t="shared" si="362"/>
        <v>0</v>
      </c>
      <c r="J1127" s="102">
        <f t="shared" si="362"/>
        <v>0</v>
      </c>
      <c r="K1127" s="102">
        <f t="shared" si="362"/>
        <v>27082.7</v>
      </c>
      <c r="L1127" s="102">
        <f t="shared" si="362"/>
        <v>0</v>
      </c>
      <c r="M1127" s="499">
        <f t="shared" si="362"/>
        <v>39053.9</v>
      </c>
      <c r="N1127" s="564"/>
      <c r="O1127" s="62"/>
    </row>
    <row r="1128" spans="1:61" ht="24.6" customHeight="1">
      <c r="A1128" s="1038"/>
      <c r="B1128" s="62" t="s">
        <v>10</v>
      </c>
      <c r="C1128" s="62"/>
      <c r="D1128" s="62"/>
      <c r="E1128" s="62"/>
      <c r="F1128" s="62"/>
      <c r="G1128" s="102">
        <f>G1133+G1136+G1140+G1145</f>
        <v>27082.7</v>
      </c>
      <c r="H1128" s="102">
        <f t="shared" ref="H1128:L1128" si="363">H1133+H1136+H1140+H1145</f>
        <v>0</v>
      </c>
      <c r="I1128" s="102">
        <f t="shared" si="363"/>
        <v>0</v>
      </c>
      <c r="J1128" s="102">
        <f t="shared" si="363"/>
        <v>0</v>
      </c>
      <c r="K1128" s="102">
        <f t="shared" si="363"/>
        <v>27082.7</v>
      </c>
      <c r="L1128" s="102">
        <f t="shared" si="363"/>
        <v>0</v>
      </c>
      <c r="M1128" s="102">
        <f>M1133+M1136+M1140+M1145+M1131</f>
        <v>39053.9</v>
      </c>
      <c r="N1128" s="564"/>
      <c r="O1128" s="62"/>
    </row>
    <row r="1129" spans="1:61" s="45" customFormat="1" ht="24.95" customHeight="1">
      <c r="A1129" s="1038"/>
      <c r="B1129" s="62" t="s">
        <v>502</v>
      </c>
      <c r="C1129" s="62"/>
      <c r="D1129" s="62"/>
      <c r="E1129" s="62"/>
      <c r="F1129" s="62"/>
      <c r="G1129" s="102">
        <f>G1137+G1141</f>
        <v>0</v>
      </c>
      <c r="H1129" s="102">
        <f t="shared" ref="H1129:M1129" si="364">H1137+H1141</f>
        <v>0</v>
      </c>
      <c r="I1129" s="102">
        <f t="shared" si="364"/>
        <v>0</v>
      </c>
      <c r="J1129" s="102">
        <f t="shared" si="364"/>
        <v>0</v>
      </c>
      <c r="K1129" s="102">
        <f t="shared" si="364"/>
        <v>0</v>
      </c>
      <c r="L1129" s="102">
        <f t="shared" si="364"/>
        <v>0</v>
      </c>
      <c r="M1129" s="499">
        <f t="shared" si="364"/>
        <v>0</v>
      </c>
      <c r="N1129" s="564"/>
      <c r="O1129" s="62"/>
      <c r="AJ1129" s="113"/>
      <c r="AK1129" s="113"/>
      <c r="AL1129" s="113"/>
      <c r="AM1129" s="113"/>
      <c r="AN1129" s="113"/>
      <c r="AO1129" s="113"/>
      <c r="AP1129" s="113"/>
      <c r="AQ1129" s="113"/>
      <c r="AR1129" s="113"/>
      <c r="AS1129" s="113"/>
      <c r="AT1129" s="113"/>
      <c r="AU1129" s="113"/>
      <c r="AV1129" s="113"/>
      <c r="AW1129" s="113"/>
      <c r="AX1129" s="113"/>
      <c r="AY1129" s="113"/>
      <c r="AZ1129" s="113"/>
      <c r="BA1129" s="113"/>
      <c r="BB1129" s="113"/>
      <c r="BC1129" s="113"/>
      <c r="BD1129" s="113"/>
      <c r="BE1129" s="113"/>
      <c r="BF1129" s="113"/>
      <c r="BG1129" s="113"/>
      <c r="BH1129" s="113"/>
      <c r="BI1129" s="113"/>
    </row>
    <row r="1130" spans="1:61" s="45" customFormat="1" ht="24.95" customHeight="1">
      <c r="A1130" s="1039" t="s">
        <v>1042</v>
      </c>
      <c r="B1130" s="780" t="s">
        <v>89</v>
      </c>
      <c r="C1130" s="780">
        <v>176</v>
      </c>
      <c r="D1130" s="780" t="s">
        <v>15</v>
      </c>
      <c r="E1130" s="780">
        <v>6100404</v>
      </c>
      <c r="F1130" s="780">
        <v>244</v>
      </c>
      <c r="G1130" s="103"/>
      <c r="H1130" s="103"/>
      <c r="I1130" s="103"/>
      <c r="J1130" s="103"/>
      <c r="K1130" s="103"/>
      <c r="L1130" s="103"/>
      <c r="M1130" s="679"/>
      <c r="N1130" s="780"/>
      <c r="O1130" s="1037" t="s">
        <v>882</v>
      </c>
      <c r="AJ1130" s="113"/>
      <c r="AK1130" s="113"/>
      <c r="AL1130" s="113"/>
      <c r="AM1130" s="113"/>
      <c r="AN1130" s="113"/>
      <c r="AO1130" s="113"/>
      <c r="AP1130" s="113"/>
      <c r="AQ1130" s="113"/>
      <c r="AR1130" s="113"/>
      <c r="AS1130" s="113"/>
      <c r="AT1130" s="113"/>
      <c r="AU1130" s="113"/>
      <c r="AV1130" s="113"/>
      <c r="AW1130" s="113"/>
      <c r="AX1130" s="113"/>
      <c r="AY1130" s="113"/>
      <c r="AZ1130" s="113"/>
      <c r="BA1130" s="113"/>
      <c r="BB1130" s="113"/>
      <c r="BC1130" s="113"/>
      <c r="BD1130" s="113"/>
      <c r="BE1130" s="113"/>
      <c r="BF1130" s="113"/>
      <c r="BG1130" s="113"/>
      <c r="BH1130" s="113"/>
      <c r="BI1130" s="113"/>
    </row>
    <row r="1131" spans="1:61" ht="24.95" customHeight="1">
      <c r="A1131" s="1039"/>
      <c r="B1131" s="780" t="s">
        <v>248</v>
      </c>
      <c r="C1131" s="780"/>
      <c r="D1131" s="780"/>
      <c r="E1131" s="780"/>
      <c r="F1131" s="780"/>
      <c r="G1131" s="103">
        <f>K1131</f>
        <v>0</v>
      </c>
      <c r="H1131" s="103"/>
      <c r="I1131" s="103"/>
      <c r="J1131" s="103"/>
      <c r="K1131" s="103"/>
      <c r="L1131" s="103"/>
      <c r="M1131" s="679">
        <v>13000</v>
      </c>
      <c r="N1131" s="780"/>
      <c r="O1131" s="1037"/>
    </row>
    <row r="1132" spans="1:61" s="45" customFormat="1" ht="24.95" customHeight="1">
      <c r="A1132" s="1039" t="s">
        <v>160</v>
      </c>
      <c r="B1132" s="564" t="s">
        <v>89</v>
      </c>
      <c r="C1132" s="564">
        <v>176</v>
      </c>
      <c r="D1132" s="564" t="s">
        <v>15</v>
      </c>
      <c r="E1132" s="564">
        <v>6100404</v>
      </c>
      <c r="F1132" s="564">
        <v>244</v>
      </c>
      <c r="G1132" s="103"/>
      <c r="H1132" s="103"/>
      <c r="I1132" s="103"/>
      <c r="J1132" s="103"/>
      <c r="K1132" s="103"/>
      <c r="L1132" s="103"/>
      <c r="M1132" s="679"/>
      <c r="N1132" s="564"/>
      <c r="O1132" s="1037" t="s">
        <v>882</v>
      </c>
      <c r="AJ1132" s="113"/>
      <c r="AK1132" s="113"/>
      <c r="AL1132" s="113"/>
      <c r="AM1132" s="113"/>
      <c r="AN1132" s="113"/>
      <c r="AO1132" s="113"/>
      <c r="AP1132" s="113"/>
      <c r="AQ1132" s="113"/>
      <c r="AR1132" s="113"/>
      <c r="AS1132" s="113"/>
      <c r="AT1132" s="113"/>
      <c r="AU1132" s="113"/>
      <c r="AV1132" s="113"/>
      <c r="AW1132" s="113"/>
      <c r="AX1132" s="113"/>
      <c r="AY1132" s="113"/>
      <c r="AZ1132" s="113"/>
      <c r="BA1132" s="113"/>
      <c r="BB1132" s="113"/>
      <c r="BC1132" s="113"/>
      <c r="BD1132" s="113"/>
      <c r="BE1132" s="113"/>
      <c r="BF1132" s="113"/>
      <c r="BG1132" s="113"/>
      <c r="BH1132" s="113"/>
      <c r="BI1132" s="113"/>
    </row>
    <row r="1133" spans="1:61" ht="24.95" customHeight="1">
      <c r="A1133" s="1039"/>
      <c r="B1133" s="564" t="s">
        <v>248</v>
      </c>
      <c r="C1133" s="564"/>
      <c r="D1133" s="564"/>
      <c r="E1133" s="564"/>
      <c r="F1133" s="564"/>
      <c r="G1133" s="103">
        <f>K1133</f>
        <v>1000</v>
      </c>
      <c r="H1133" s="103"/>
      <c r="I1133" s="103"/>
      <c r="J1133" s="103"/>
      <c r="K1133" s="103">
        <v>1000</v>
      </c>
      <c r="L1133" s="103"/>
      <c r="M1133" s="679"/>
      <c r="N1133" s="564"/>
      <c r="O1133" s="1037"/>
    </row>
    <row r="1134" spans="1:61" ht="24.95" customHeight="1">
      <c r="A1134" s="1028" t="s">
        <v>351</v>
      </c>
      <c r="B1134" s="564" t="s">
        <v>89</v>
      </c>
      <c r="C1134" s="564"/>
      <c r="D1134" s="564"/>
      <c r="E1134" s="564"/>
      <c r="F1134" s="564"/>
      <c r="G1134" s="103">
        <f>K1134</f>
        <v>0</v>
      </c>
      <c r="H1134" s="103"/>
      <c r="I1134" s="103"/>
      <c r="J1134" s="103"/>
      <c r="K1134" s="103"/>
      <c r="L1134" s="103"/>
      <c r="M1134" s="679"/>
      <c r="N1134" s="564"/>
      <c r="O1134" s="1037" t="s">
        <v>625</v>
      </c>
    </row>
    <row r="1135" spans="1:61" ht="24.95" customHeight="1">
      <c r="A1135" s="1036"/>
      <c r="B1135" s="564" t="s">
        <v>25</v>
      </c>
      <c r="C1135" s="564"/>
      <c r="D1135" s="564"/>
      <c r="E1135" s="564"/>
      <c r="F1135" s="564"/>
      <c r="G1135" s="103">
        <f t="shared" ref="G1135:G1137" si="365">K1135</f>
        <v>2327.9</v>
      </c>
      <c r="H1135" s="103"/>
      <c r="I1135" s="103"/>
      <c r="J1135" s="103"/>
      <c r="K1135" s="103">
        <f>K1136+K1137</f>
        <v>2327.9</v>
      </c>
      <c r="L1135" s="103">
        <f t="shared" ref="L1135:M1135" si="366">L1136+L1137</f>
        <v>0</v>
      </c>
      <c r="M1135" s="679">
        <f t="shared" si="366"/>
        <v>0</v>
      </c>
      <c r="N1135" s="564"/>
      <c r="O1135" s="1037"/>
    </row>
    <row r="1136" spans="1:61" ht="24.95" customHeight="1">
      <c r="A1136" s="1036"/>
      <c r="B1136" s="564" t="s">
        <v>10</v>
      </c>
      <c r="C1136" s="564"/>
      <c r="D1136" s="564"/>
      <c r="E1136" s="564"/>
      <c r="F1136" s="564"/>
      <c r="G1136" s="103">
        <f t="shared" si="365"/>
        <v>2327.9</v>
      </c>
      <c r="H1136" s="103"/>
      <c r="I1136" s="103"/>
      <c r="J1136" s="103"/>
      <c r="K1136" s="103">
        <v>2327.9</v>
      </c>
      <c r="L1136" s="103"/>
      <c r="M1136" s="679"/>
      <c r="N1136" s="564"/>
      <c r="O1136" s="1037"/>
    </row>
    <row r="1137" spans="1:61" ht="24.95" customHeight="1">
      <c r="A1137" s="1029"/>
      <c r="B1137" s="564" t="s">
        <v>502</v>
      </c>
      <c r="C1137" s="564"/>
      <c r="D1137" s="564"/>
      <c r="E1137" s="564"/>
      <c r="F1137" s="564"/>
      <c r="G1137" s="103">
        <f t="shared" si="365"/>
        <v>0</v>
      </c>
      <c r="H1137" s="103"/>
      <c r="I1137" s="103"/>
      <c r="J1137" s="103"/>
      <c r="K1137" s="103"/>
      <c r="L1137" s="103"/>
      <c r="M1137" s="679"/>
      <c r="N1137" s="564"/>
      <c r="O1137" s="1037"/>
    </row>
    <row r="1138" spans="1:61" ht="24.95" customHeight="1">
      <c r="A1138" s="1028" t="s">
        <v>622</v>
      </c>
      <c r="B1138" s="564" t="s">
        <v>89</v>
      </c>
      <c r="C1138" s="564"/>
      <c r="D1138" s="564"/>
      <c r="E1138" s="564"/>
      <c r="F1138" s="564"/>
      <c r="G1138" s="103">
        <f>K1138</f>
        <v>0</v>
      </c>
      <c r="H1138" s="103"/>
      <c r="I1138" s="103"/>
      <c r="J1138" s="103"/>
      <c r="K1138" s="103"/>
      <c r="L1138" s="103">
        <v>0</v>
      </c>
      <c r="M1138" s="679"/>
      <c r="N1138" s="564"/>
      <c r="O1138" s="1030" t="s">
        <v>882</v>
      </c>
    </row>
    <row r="1139" spans="1:61" ht="24.95" customHeight="1">
      <c r="A1139" s="1036"/>
      <c r="B1139" s="564" t="s">
        <v>25</v>
      </c>
      <c r="C1139" s="564"/>
      <c r="D1139" s="564"/>
      <c r="E1139" s="564"/>
      <c r="F1139" s="564"/>
      <c r="G1139" s="103">
        <f t="shared" ref="G1139:G1141" si="367">K1139</f>
        <v>6324.8</v>
      </c>
      <c r="H1139" s="103"/>
      <c r="I1139" s="103"/>
      <c r="J1139" s="103"/>
      <c r="K1139" s="103">
        <f>K1140+K1141</f>
        <v>6324.8</v>
      </c>
      <c r="L1139" s="103">
        <f t="shared" ref="L1139:M1139" si="368">L1140+L1141</f>
        <v>0</v>
      </c>
      <c r="M1139" s="103">
        <f t="shared" si="368"/>
        <v>12000</v>
      </c>
      <c r="N1139" s="564"/>
      <c r="O1139" s="1032"/>
    </row>
    <row r="1140" spans="1:61" ht="24.95" customHeight="1">
      <c r="A1140" s="1036"/>
      <c r="B1140" s="564" t="s">
        <v>10</v>
      </c>
      <c r="C1140" s="564"/>
      <c r="D1140" s="564"/>
      <c r="E1140" s="564"/>
      <c r="F1140" s="564"/>
      <c r="G1140" s="103">
        <f t="shared" si="367"/>
        <v>6324.8</v>
      </c>
      <c r="H1140" s="103"/>
      <c r="I1140" s="103"/>
      <c r="J1140" s="103"/>
      <c r="K1140" s="103">
        <v>6324.8</v>
      </c>
      <c r="L1140" s="103">
        <v>0</v>
      </c>
      <c r="M1140" s="679">
        <v>12000</v>
      </c>
      <c r="N1140" s="564"/>
      <c r="O1140" s="1032"/>
      <c r="AJ1140" s="44"/>
      <c r="AK1140" s="44"/>
      <c r="AL1140" s="44"/>
      <c r="AM1140" s="44"/>
      <c r="AN1140" s="44"/>
      <c r="AO1140" s="44"/>
      <c r="AP1140" s="44"/>
      <c r="AQ1140" s="44"/>
      <c r="AR1140" s="44"/>
      <c r="AS1140" s="44"/>
      <c r="AT1140" s="44"/>
      <c r="AU1140" s="44"/>
      <c r="AV1140" s="44"/>
      <c r="AW1140" s="44"/>
      <c r="AX1140" s="44"/>
      <c r="AY1140" s="44"/>
      <c r="AZ1140" s="44"/>
      <c r="BA1140" s="44"/>
      <c r="BB1140" s="44"/>
      <c r="BC1140" s="44"/>
      <c r="BD1140" s="44"/>
      <c r="BE1140" s="44"/>
      <c r="BF1140" s="44"/>
      <c r="BG1140" s="44"/>
      <c r="BH1140" s="44"/>
      <c r="BI1140" s="44"/>
    </row>
    <row r="1141" spans="1:61" ht="24.95" customHeight="1">
      <c r="A1141" s="1029"/>
      <c r="B1141" s="564" t="s">
        <v>502</v>
      </c>
      <c r="C1141" s="564"/>
      <c r="D1141" s="564"/>
      <c r="E1141" s="564"/>
      <c r="F1141" s="564"/>
      <c r="G1141" s="103">
        <f t="shared" si="367"/>
        <v>0</v>
      </c>
      <c r="H1141" s="103"/>
      <c r="I1141" s="103"/>
      <c r="J1141" s="103"/>
      <c r="K1141" s="103"/>
      <c r="L1141" s="103"/>
      <c r="M1141" s="679"/>
      <c r="N1141" s="564"/>
      <c r="O1141" s="1031"/>
      <c r="AJ1141" s="44"/>
      <c r="AK1141" s="44"/>
      <c r="AL1141" s="44"/>
      <c r="AM1141" s="44"/>
      <c r="AN1141" s="44"/>
      <c r="AO1141" s="44"/>
      <c r="AP1141" s="44"/>
      <c r="AQ1141" s="44"/>
      <c r="AR1141" s="44"/>
      <c r="AS1141" s="44"/>
      <c r="AT1141" s="44"/>
      <c r="AU1141" s="44"/>
      <c r="AV1141" s="44"/>
      <c r="AW1141" s="44"/>
      <c r="AX1141" s="44"/>
      <c r="AY1141" s="44"/>
      <c r="AZ1141" s="44"/>
      <c r="BA1141" s="44"/>
      <c r="BB1141" s="44"/>
      <c r="BC1141" s="44"/>
      <c r="BD1141" s="44"/>
      <c r="BE1141" s="44"/>
      <c r="BF1141" s="44"/>
      <c r="BG1141" s="44"/>
      <c r="BH1141" s="44"/>
      <c r="BI1141" s="44"/>
    </row>
    <row r="1142" spans="1:61" ht="24.95" hidden="1" customHeight="1">
      <c r="A1142" s="1028" t="s">
        <v>623</v>
      </c>
      <c r="B1142" s="564" t="s">
        <v>89</v>
      </c>
      <c r="C1142" s="564"/>
      <c r="D1142" s="564"/>
      <c r="E1142" s="564"/>
      <c r="F1142" s="564"/>
      <c r="G1142" s="103"/>
      <c r="H1142" s="103"/>
      <c r="I1142" s="103"/>
      <c r="J1142" s="103"/>
      <c r="K1142" s="103"/>
      <c r="L1142" s="103"/>
      <c r="M1142" s="679"/>
      <c r="N1142" s="564"/>
      <c r="O1142" s="1030" t="s">
        <v>615</v>
      </c>
      <c r="AJ1142" s="44"/>
      <c r="AK1142" s="44"/>
      <c r="AL1142" s="44"/>
      <c r="AM1142" s="44"/>
      <c r="AN1142" s="44"/>
      <c r="AO1142" s="44"/>
      <c r="AP1142" s="44"/>
      <c r="AQ1142" s="44"/>
      <c r="AR1142" s="44"/>
      <c r="AS1142" s="44"/>
      <c r="AT1142" s="44"/>
      <c r="AU1142" s="44"/>
      <c r="AV1142" s="44"/>
      <c r="AW1142" s="44"/>
      <c r="AX1142" s="44"/>
      <c r="AY1142" s="44"/>
      <c r="AZ1142" s="44"/>
      <c r="BA1142" s="44"/>
      <c r="BB1142" s="44"/>
      <c r="BC1142" s="44"/>
      <c r="BD1142" s="44"/>
      <c r="BE1142" s="44"/>
      <c r="BF1142" s="44"/>
      <c r="BG1142" s="44"/>
      <c r="BH1142" s="44"/>
      <c r="BI1142" s="44"/>
    </row>
    <row r="1143" spans="1:61" ht="24.95" hidden="1" customHeight="1">
      <c r="A1143" s="1029"/>
      <c r="B1143" s="564" t="s">
        <v>248</v>
      </c>
      <c r="C1143" s="564"/>
      <c r="D1143" s="564"/>
      <c r="E1143" s="564"/>
      <c r="F1143" s="564"/>
      <c r="G1143" s="103"/>
      <c r="H1143" s="103"/>
      <c r="I1143" s="103"/>
      <c r="J1143" s="103"/>
      <c r="K1143" s="103"/>
      <c r="L1143" s="103"/>
      <c r="M1143" s="679"/>
      <c r="N1143" s="564"/>
      <c r="O1143" s="1031"/>
      <c r="AJ1143" s="44"/>
      <c r="AK1143" s="44"/>
      <c r="AL1143" s="44"/>
      <c r="AM1143" s="44"/>
      <c r="AN1143" s="44"/>
      <c r="AO1143" s="44"/>
      <c r="AP1143" s="44"/>
      <c r="AQ1143" s="44"/>
      <c r="AR1143" s="44"/>
      <c r="AS1143" s="44"/>
      <c r="AT1143" s="44"/>
      <c r="AU1143" s="44"/>
      <c r="AV1143" s="44"/>
      <c r="AW1143" s="44"/>
      <c r="AX1143" s="44"/>
      <c r="AY1143" s="44"/>
      <c r="AZ1143" s="44"/>
      <c r="BA1143" s="44"/>
      <c r="BB1143" s="44"/>
      <c r="BC1143" s="44"/>
      <c r="BD1143" s="44"/>
      <c r="BE1143" s="44"/>
      <c r="BF1143" s="44"/>
      <c r="BG1143" s="44"/>
      <c r="BH1143" s="44"/>
      <c r="BI1143" s="44"/>
    </row>
    <row r="1144" spans="1:61" ht="24.95" customHeight="1">
      <c r="A1144" s="1028" t="s">
        <v>879</v>
      </c>
      <c r="B1144" s="564" t="s">
        <v>89</v>
      </c>
      <c r="C1144" s="564"/>
      <c r="D1144" s="564"/>
      <c r="E1144" s="564"/>
      <c r="F1144" s="564"/>
      <c r="G1144" s="103">
        <f>K1144</f>
        <v>1.4</v>
      </c>
      <c r="H1144" s="103"/>
      <c r="I1144" s="103"/>
      <c r="J1144" s="103"/>
      <c r="K1144" s="103">
        <v>1.4</v>
      </c>
      <c r="L1144" s="103">
        <v>0</v>
      </c>
      <c r="M1144" s="679">
        <v>1.1000000000000001</v>
      </c>
      <c r="N1144" s="564"/>
      <c r="O1144" s="1030" t="s">
        <v>1041</v>
      </c>
      <c r="AJ1144" s="44"/>
      <c r="AK1144" s="44"/>
      <c r="AL1144" s="44"/>
      <c r="AM1144" s="44"/>
      <c r="AN1144" s="44"/>
      <c r="AO1144" s="44"/>
      <c r="AP1144" s="44"/>
      <c r="AQ1144" s="44"/>
      <c r="AR1144" s="44"/>
      <c r="AS1144" s="44"/>
      <c r="AT1144" s="44"/>
      <c r="AU1144" s="44"/>
      <c r="AV1144" s="44"/>
      <c r="AW1144" s="44"/>
      <c r="AX1144" s="44"/>
      <c r="AY1144" s="44"/>
      <c r="AZ1144" s="44"/>
      <c r="BA1144" s="44"/>
      <c r="BB1144" s="44"/>
      <c r="BC1144" s="44"/>
      <c r="BD1144" s="44"/>
      <c r="BE1144" s="44"/>
      <c r="BF1144" s="44"/>
      <c r="BG1144" s="44"/>
      <c r="BH1144" s="44"/>
      <c r="BI1144" s="44"/>
    </row>
    <row r="1145" spans="1:61" ht="24.95" customHeight="1">
      <c r="A1145" s="1029"/>
      <c r="B1145" s="564" t="s">
        <v>248</v>
      </c>
      <c r="C1145" s="564"/>
      <c r="D1145" s="564"/>
      <c r="E1145" s="564"/>
      <c r="F1145" s="564"/>
      <c r="G1145" s="103">
        <f>K1145</f>
        <v>17430</v>
      </c>
      <c r="H1145" s="103"/>
      <c r="I1145" s="103"/>
      <c r="J1145" s="103"/>
      <c r="K1145" s="103">
        <v>17430</v>
      </c>
      <c r="L1145" s="103"/>
      <c r="M1145" s="679">
        <v>14053.9</v>
      </c>
      <c r="N1145" s="564"/>
      <c r="O1145" s="1031"/>
      <c r="AJ1145" s="44"/>
      <c r="AK1145" s="44"/>
      <c r="AL1145" s="44"/>
      <c r="AM1145" s="44"/>
      <c r="AN1145" s="44"/>
      <c r="AO1145" s="44"/>
      <c r="AP1145" s="44"/>
      <c r="AQ1145" s="44"/>
      <c r="AR1145" s="44"/>
      <c r="AS1145" s="44"/>
      <c r="AT1145" s="44"/>
      <c r="AU1145" s="44"/>
      <c r="AV1145" s="44"/>
      <c r="AW1145" s="44"/>
      <c r="AX1145" s="44"/>
      <c r="AY1145" s="44"/>
      <c r="AZ1145" s="44"/>
      <c r="BA1145" s="44"/>
      <c r="BB1145" s="44"/>
      <c r="BC1145" s="44"/>
      <c r="BD1145" s="44"/>
      <c r="BE1145" s="44"/>
      <c r="BF1145" s="44"/>
      <c r="BG1145" s="44"/>
      <c r="BH1145" s="44"/>
      <c r="BI1145" s="44"/>
    </row>
    <row r="1146" spans="1:61" ht="24.95" customHeight="1">
      <c r="A1146" s="1038" t="s">
        <v>103</v>
      </c>
      <c r="B1146" s="62" t="s">
        <v>89</v>
      </c>
      <c r="C1146" s="62"/>
      <c r="D1146" s="62"/>
      <c r="E1146" s="62"/>
      <c r="F1146" s="62"/>
      <c r="G1146" s="102">
        <f>G1150+G1154+G1158+G1166+G1170+G1174+G1178+G1182+G1162</f>
        <v>1</v>
      </c>
      <c r="H1146" s="102">
        <f t="shared" ref="H1146:M1146" si="369">H1150+H1154+H1158+H1166+H1170+H1174+H1178+H1182+H1162</f>
        <v>0</v>
      </c>
      <c r="I1146" s="102">
        <f t="shared" si="369"/>
        <v>0</v>
      </c>
      <c r="J1146" s="102">
        <f t="shared" si="369"/>
        <v>0</v>
      </c>
      <c r="K1146" s="102">
        <f t="shared" si="369"/>
        <v>1</v>
      </c>
      <c r="L1146" s="102">
        <f t="shared" si="369"/>
        <v>0</v>
      </c>
      <c r="M1146" s="102">
        <f t="shared" si="369"/>
        <v>2</v>
      </c>
      <c r="N1146" s="564"/>
      <c r="O1146" s="62"/>
      <c r="AJ1146" s="44"/>
      <c r="AK1146" s="44"/>
      <c r="AL1146" s="44"/>
      <c r="AM1146" s="44"/>
      <c r="AN1146" s="44"/>
      <c r="AO1146" s="44"/>
      <c r="AP1146" s="44"/>
      <c r="AQ1146" s="44"/>
      <c r="AR1146" s="44"/>
      <c r="AS1146" s="44"/>
      <c r="AT1146" s="44"/>
      <c r="AU1146" s="44"/>
      <c r="AV1146" s="44"/>
      <c r="AW1146" s="44"/>
      <c r="AX1146" s="44"/>
      <c r="AY1146" s="44"/>
      <c r="AZ1146" s="44"/>
      <c r="BA1146" s="44"/>
      <c r="BB1146" s="44"/>
      <c r="BC1146" s="44"/>
      <c r="BD1146" s="44"/>
      <c r="BE1146" s="44"/>
      <c r="BF1146" s="44"/>
      <c r="BG1146" s="44"/>
      <c r="BH1146" s="44"/>
      <c r="BI1146" s="44"/>
    </row>
    <row r="1147" spans="1:61" ht="24.95" customHeight="1">
      <c r="A1147" s="1038"/>
      <c r="B1147" s="62" t="s">
        <v>25</v>
      </c>
      <c r="C1147" s="62"/>
      <c r="D1147" s="62"/>
      <c r="E1147" s="62"/>
      <c r="F1147" s="62"/>
      <c r="G1147" s="102">
        <f>G1148+G1149</f>
        <v>111623.8</v>
      </c>
      <c r="H1147" s="102">
        <f t="shared" ref="H1147:M1147" si="370">H1148+H1149</f>
        <v>0</v>
      </c>
      <c r="I1147" s="102">
        <f t="shared" si="370"/>
        <v>0</v>
      </c>
      <c r="J1147" s="102">
        <f t="shared" si="370"/>
        <v>0</v>
      </c>
      <c r="K1147" s="102">
        <f t="shared" si="370"/>
        <v>111623.8</v>
      </c>
      <c r="L1147" s="102">
        <f t="shared" si="370"/>
        <v>10000</v>
      </c>
      <c r="M1147" s="499">
        <f t="shared" si="370"/>
        <v>74851.100000000006</v>
      </c>
      <c r="N1147" s="564"/>
      <c r="O1147" s="62"/>
      <c r="AJ1147" s="44"/>
      <c r="AK1147" s="44"/>
      <c r="AL1147" s="44"/>
      <c r="AM1147" s="44"/>
      <c r="AN1147" s="44"/>
      <c r="AO1147" s="44"/>
      <c r="AP1147" s="44"/>
      <c r="AQ1147" s="44"/>
      <c r="AR1147" s="44"/>
      <c r="AS1147" s="44"/>
      <c r="AT1147" s="44"/>
      <c r="AU1147" s="44"/>
      <c r="AV1147" s="44"/>
      <c r="AW1147" s="44"/>
      <c r="AX1147" s="44"/>
      <c r="AY1147" s="44"/>
      <c r="AZ1147" s="44"/>
      <c r="BA1147" s="44"/>
      <c r="BB1147" s="44"/>
      <c r="BC1147" s="44"/>
      <c r="BD1147" s="44"/>
      <c r="BE1147" s="44"/>
      <c r="BF1147" s="44"/>
      <c r="BG1147" s="44"/>
      <c r="BH1147" s="44"/>
      <c r="BI1147" s="44"/>
    </row>
    <row r="1148" spans="1:61" ht="24.95" customHeight="1">
      <c r="A1148" s="1038"/>
      <c r="B1148" s="62" t="s">
        <v>10</v>
      </c>
      <c r="C1148" s="62"/>
      <c r="D1148" s="62"/>
      <c r="E1148" s="62"/>
      <c r="F1148" s="62"/>
      <c r="G1148" s="102">
        <f>G1152+G1156+G1160+G1164+G1168+G1172+G1176+G1180+G1184</f>
        <v>111623.8</v>
      </c>
      <c r="H1148" s="102">
        <f t="shared" ref="H1148:M1149" si="371">H1152+H1156+H1160+H1164+H1168+H1172+H1176+H1180+H1184</f>
        <v>0</v>
      </c>
      <c r="I1148" s="102">
        <f t="shared" si="371"/>
        <v>0</v>
      </c>
      <c r="J1148" s="102">
        <f t="shared" si="371"/>
        <v>0</v>
      </c>
      <c r="K1148" s="102">
        <f t="shared" si="371"/>
        <v>111623.8</v>
      </c>
      <c r="L1148" s="102">
        <f t="shared" si="371"/>
        <v>10000</v>
      </c>
      <c r="M1148" s="499">
        <f t="shared" si="371"/>
        <v>74851.100000000006</v>
      </c>
      <c r="N1148" s="564"/>
      <c r="O1148" s="62"/>
      <c r="AJ1148" s="44"/>
      <c r="AK1148" s="44"/>
      <c r="AL1148" s="44"/>
      <c r="AM1148" s="44"/>
      <c r="AN1148" s="44"/>
      <c r="AO1148" s="44"/>
      <c r="AP1148" s="44"/>
      <c r="AQ1148" s="44"/>
      <c r="AR1148" s="44"/>
      <c r="AS1148" s="44"/>
      <c r="AT1148" s="44"/>
      <c r="AU1148" s="44"/>
      <c r="AV1148" s="44"/>
      <c r="AW1148" s="44"/>
      <c r="AX1148" s="44"/>
      <c r="AY1148" s="44"/>
      <c r="AZ1148" s="44"/>
      <c r="BA1148" s="44"/>
      <c r="BB1148" s="44"/>
      <c r="BC1148" s="44"/>
      <c r="BD1148" s="44"/>
      <c r="BE1148" s="44"/>
      <c r="BF1148" s="44"/>
      <c r="BG1148" s="44"/>
      <c r="BH1148" s="44"/>
      <c r="BI1148" s="44"/>
    </row>
    <row r="1149" spans="1:61" ht="24.95" customHeight="1">
      <c r="A1149" s="1038"/>
      <c r="B1149" s="62" t="s">
        <v>502</v>
      </c>
      <c r="C1149" s="62"/>
      <c r="D1149" s="62"/>
      <c r="E1149" s="62"/>
      <c r="F1149" s="62"/>
      <c r="G1149" s="102">
        <f>G1153+G1157+G1161+G1165+G1169+G1173+G1177+G1181+G1185</f>
        <v>0</v>
      </c>
      <c r="H1149" s="102">
        <f t="shared" si="371"/>
        <v>0</v>
      </c>
      <c r="I1149" s="102">
        <f t="shared" si="371"/>
        <v>0</v>
      </c>
      <c r="J1149" s="102">
        <f t="shared" si="371"/>
        <v>0</v>
      </c>
      <c r="K1149" s="102">
        <f t="shared" si="371"/>
        <v>0</v>
      </c>
      <c r="L1149" s="102">
        <f t="shared" si="371"/>
        <v>0</v>
      </c>
      <c r="M1149" s="499">
        <f t="shared" si="371"/>
        <v>0</v>
      </c>
      <c r="N1149" s="564"/>
      <c r="O1149" s="62"/>
      <c r="AJ1149" s="44"/>
      <c r="AK1149" s="44"/>
      <c r="AL1149" s="44"/>
      <c r="AM1149" s="44"/>
      <c r="AN1149" s="44"/>
      <c r="AO1149" s="44"/>
      <c r="AP1149" s="44"/>
      <c r="AQ1149" s="44"/>
      <c r="AR1149" s="44"/>
      <c r="AS1149" s="44"/>
      <c r="AT1149" s="44"/>
      <c r="AU1149" s="44"/>
      <c r="AV1149" s="44"/>
      <c r="AW1149" s="44"/>
      <c r="AX1149" s="44"/>
      <c r="AY1149" s="44"/>
      <c r="AZ1149" s="44"/>
      <c r="BA1149" s="44"/>
      <c r="BB1149" s="44"/>
      <c r="BC1149" s="44"/>
      <c r="BD1149" s="44"/>
      <c r="BE1149" s="44"/>
      <c r="BF1149" s="44"/>
      <c r="BG1149" s="44"/>
      <c r="BH1149" s="44"/>
      <c r="BI1149" s="44"/>
    </row>
    <row r="1150" spans="1:61" ht="24.95" customHeight="1">
      <c r="A1150" s="1039" t="s">
        <v>94</v>
      </c>
      <c r="B1150" s="564" t="s">
        <v>89</v>
      </c>
      <c r="C1150" s="564">
        <v>176</v>
      </c>
      <c r="D1150" s="564" t="s">
        <v>15</v>
      </c>
      <c r="E1150" s="564">
        <v>6100404</v>
      </c>
      <c r="F1150" s="564">
        <v>244</v>
      </c>
      <c r="G1150" s="103">
        <f>K1150</f>
        <v>0</v>
      </c>
      <c r="H1150" s="103"/>
      <c r="I1150" s="103"/>
      <c r="J1150" s="103"/>
      <c r="K1150" s="103">
        <v>0</v>
      </c>
      <c r="L1150" s="103"/>
      <c r="M1150" s="679"/>
      <c r="N1150" s="564"/>
      <c r="O1150" s="1037" t="s">
        <v>882</v>
      </c>
      <c r="AJ1150" s="44"/>
      <c r="AK1150" s="44"/>
      <c r="AL1150" s="44"/>
      <c r="AM1150" s="44"/>
      <c r="AN1150" s="44"/>
      <c r="AO1150" s="44"/>
      <c r="AP1150" s="44"/>
      <c r="AQ1150" s="44"/>
      <c r="AR1150" s="44"/>
      <c r="AS1150" s="44"/>
      <c r="AT1150" s="44"/>
      <c r="AU1150" s="44"/>
      <c r="AV1150" s="44"/>
      <c r="AW1150" s="44"/>
      <c r="AX1150" s="44"/>
      <c r="AY1150" s="44"/>
      <c r="AZ1150" s="44"/>
      <c r="BA1150" s="44"/>
      <c r="BB1150" s="44"/>
      <c r="BC1150" s="44"/>
      <c r="BD1150" s="44"/>
      <c r="BE1150" s="44"/>
      <c r="BF1150" s="44"/>
      <c r="BG1150" s="44"/>
      <c r="BH1150" s="44"/>
      <c r="BI1150" s="44"/>
    </row>
    <row r="1151" spans="1:61" ht="24.95" customHeight="1">
      <c r="A1151" s="1039"/>
      <c r="B1151" s="564" t="s">
        <v>336</v>
      </c>
      <c r="C1151" s="564"/>
      <c r="D1151" s="564"/>
      <c r="E1151" s="564"/>
      <c r="F1151" s="564"/>
      <c r="G1151" s="114">
        <f>G1152+G1153</f>
        <v>1000</v>
      </c>
      <c r="H1151" s="114"/>
      <c r="I1151" s="114"/>
      <c r="J1151" s="114">
        <f>J1152</f>
        <v>0</v>
      </c>
      <c r="K1151" s="114">
        <f>K1152</f>
        <v>1000</v>
      </c>
      <c r="L1151" s="114">
        <f t="shared" ref="L1151:M1151" si="372">L1152+L1153</f>
        <v>0</v>
      </c>
      <c r="M1151" s="678">
        <f t="shared" si="372"/>
        <v>0</v>
      </c>
      <c r="N1151" s="564"/>
      <c r="O1151" s="1037"/>
      <c r="P1151" s="593"/>
      <c r="AJ1151" s="44"/>
      <c r="AK1151" s="44"/>
      <c r="AL1151" s="44"/>
      <c r="AM1151" s="44"/>
      <c r="AN1151" s="44"/>
      <c r="AO1151" s="44"/>
      <c r="AP1151" s="44"/>
      <c r="AQ1151" s="44"/>
      <c r="AR1151" s="44"/>
      <c r="AS1151" s="44"/>
      <c r="AT1151" s="44"/>
      <c r="AU1151" s="44"/>
      <c r="AV1151" s="44"/>
      <c r="AW1151" s="44"/>
      <c r="AX1151" s="44"/>
      <c r="AY1151" s="44"/>
      <c r="AZ1151" s="44"/>
      <c r="BA1151" s="44"/>
      <c r="BB1151" s="44"/>
      <c r="BC1151" s="44"/>
      <c r="BD1151" s="44"/>
      <c r="BE1151" s="44"/>
      <c r="BF1151" s="44"/>
      <c r="BG1151" s="44"/>
      <c r="BH1151" s="44"/>
      <c r="BI1151" s="44"/>
    </row>
    <row r="1152" spans="1:61" ht="24.95" customHeight="1">
      <c r="A1152" s="1039"/>
      <c r="B1152" s="564" t="s">
        <v>333</v>
      </c>
      <c r="C1152" s="564"/>
      <c r="D1152" s="564"/>
      <c r="E1152" s="564"/>
      <c r="F1152" s="564"/>
      <c r="G1152" s="114">
        <f>K1152</f>
        <v>1000</v>
      </c>
      <c r="H1152" s="114"/>
      <c r="I1152" s="114"/>
      <c r="J1152" s="114"/>
      <c r="K1152" s="114">
        <v>1000</v>
      </c>
      <c r="L1152" s="114"/>
      <c r="M1152" s="679"/>
      <c r="N1152" s="564"/>
      <c r="O1152" s="1037"/>
      <c r="AJ1152" s="44"/>
      <c r="AK1152" s="44"/>
      <c r="AL1152" s="44"/>
      <c r="AM1152" s="44"/>
      <c r="AN1152" s="44"/>
      <c r="AO1152" s="44"/>
      <c r="AP1152" s="44"/>
      <c r="AQ1152" s="44"/>
      <c r="AR1152" s="44"/>
      <c r="AS1152" s="44"/>
      <c r="AT1152" s="44"/>
      <c r="AU1152" s="44"/>
      <c r="AV1152" s="44"/>
      <c r="AW1152" s="44"/>
      <c r="AX1152" s="44"/>
      <c r="AY1152" s="44"/>
      <c r="AZ1152" s="44"/>
      <c r="BA1152" s="44"/>
      <c r="BB1152" s="44"/>
      <c r="BC1152" s="44"/>
      <c r="BD1152" s="44"/>
      <c r="BE1152" s="44"/>
      <c r="BF1152" s="44"/>
      <c r="BG1152" s="44"/>
      <c r="BH1152" s="44"/>
      <c r="BI1152" s="44"/>
    </row>
    <row r="1153" spans="1:61" ht="24.6" customHeight="1">
      <c r="A1153" s="1039"/>
      <c r="B1153" s="564" t="s">
        <v>789</v>
      </c>
      <c r="C1153" s="564"/>
      <c r="D1153" s="564"/>
      <c r="E1153" s="564"/>
      <c r="F1153" s="564"/>
      <c r="G1153" s="103"/>
      <c r="H1153" s="103"/>
      <c r="I1153" s="103"/>
      <c r="J1153" s="103"/>
      <c r="K1153" s="103"/>
      <c r="L1153" s="103"/>
      <c r="M1153" s="679"/>
      <c r="N1153" s="564"/>
      <c r="O1153" s="1037"/>
      <c r="AJ1153" s="44"/>
      <c r="AK1153" s="44"/>
      <c r="AL1153" s="44"/>
      <c r="AM1153" s="44"/>
      <c r="AN1153" s="44"/>
      <c r="AO1153" s="44"/>
      <c r="AP1153" s="44"/>
      <c r="AQ1153" s="44"/>
      <c r="AR1153" s="44"/>
      <c r="AS1153" s="44"/>
      <c r="AT1153" s="44"/>
      <c r="AU1153" s="44"/>
      <c r="AV1153" s="44"/>
      <c r="AW1153" s="44"/>
      <c r="AX1153" s="44"/>
      <c r="AY1153" s="44"/>
      <c r="AZ1153" s="44"/>
      <c r="BA1153" s="44"/>
      <c r="BB1153" s="44"/>
      <c r="BC1153" s="44"/>
      <c r="BD1153" s="44"/>
      <c r="BE1153" s="44"/>
      <c r="BF1153" s="44"/>
      <c r="BG1153" s="44"/>
      <c r="BH1153" s="44"/>
      <c r="BI1153" s="44"/>
    </row>
    <row r="1154" spans="1:61" ht="24.95" hidden="1" customHeight="1">
      <c r="A1154" s="1150" t="s">
        <v>94</v>
      </c>
      <c r="B1154" s="564" t="s">
        <v>89</v>
      </c>
      <c r="C1154" s="564">
        <v>176</v>
      </c>
      <c r="D1154" s="564" t="s">
        <v>15</v>
      </c>
      <c r="E1154" s="564">
        <v>6100404</v>
      </c>
      <c r="F1154" s="564">
        <v>244</v>
      </c>
      <c r="G1154" s="103">
        <f>K1154</f>
        <v>0</v>
      </c>
      <c r="H1154" s="103"/>
      <c r="I1154" s="103"/>
      <c r="J1154" s="103"/>
      <c r="K1154" s="103"/>
      <c r="L1154" s="103"/>
      <c r="M1154" s="679"/>
      <c r="N1154" s="564"/>
      <c r="O1154" s="1037" t="s">
        <v>539</v>
      </c>
      <c r="AJ1154" s="44"/>
      <c r="AK1154" s="44"/>
      <c r="AL1154" s="44"/>
      <c r="AM1154" s="44"/>
      <c r="AN1154" s="44"/>
      <c r="AO1154" s="44"/>
      <c r="AP1154" s="44"/>
      <c r="AQ1154" s="44"/>
      <c r="AR1154" s="44"/>
      <c r="AS1154" s="44"/>
      <c r="AT1154" s="44"/>
      <c r="AU1154" s="44"/>
      <c r="AV1154" s="44"/>
      <c r="AW1154" s="44"/>
      <c r="AX1154" s="44"/>
      <c r="AY1154" s="44"/>
      <c r="AZ1154" s="44"/>
      <c r="BA1154" s="44"/>
      <c r="BB1154" s="44"/>
      <c r="BC1154" s="44"/>
      <c r="BD1154" s="44"/>
      <c r="BE1154" s="44"/>
      <c r="BF1154" s="44"/>
      <c r="BG1154" s="44"/>
      <c r="BH1154" s="44"/>
      <c r="BI1154" s="44"/>
    </row>
    <row r="1155" spans="1:61" ht="24.95" hidden="1" customHeight="1">
      <c r="A1155" s="1151"/>
      <c r="B1155" s="564" t="s">
        <v>25</v>
      </c>
      <c r="C1155" s="564"/>
      <c r="D1155" s="564"/>
      <c r="E1155" s="564"/>
      <c r="F1155" s="564"/>
      <c r="G1155" s="103">
        <f>G1156+G1157</f>
        <v>0</v>
      </c>
      <c r="H1155" s="103">
        <f t="shared" ref="H1155:M1155" si="373">H1156+H1157</f>
        <v>0</v>
      </c>
      <c r="I1155" s="103">
        <f t="shared" si="373"/>
        <v>0</v>
      </c>
      <c r="J1155" s="103">
        <f t="shared" si="373"/>
        <v>0</v>
      </c>
      <c r="K1155" s="103">
        <f t="shared" si="373"/>
        <v>0</v>
      </c>
      <c r="L1155" s="103">
        <f t="shared" si="373"/>
        <v>0</v>
      </c>
      <c r="M1155" s="679">
        <f t="shared" si="373"/>
        <v>0</v>
      </c>
      <c r="N1155" s="564"/>
      <c r="O1155" s="1037"/>
      <c r="AJ1155" s="44"/>
      <c r="AK1155" s="44"/>
      <c r="AL1155" s="44"/>
      <c r="AM1155" s="44"/>
      <c r="AN1155" s="44"/>
      <c r="AO1155" s="44"/>
      <c r="AP1155" s="44"/>
      <c r="AQ1155" s="44"/>
      <c r="AR1155" s="44"/>
      <c r="AS1155" s="44"/>
      <c r="AT1155" s="44"/>
      <c r="AU1155" s="44"/>
      <c r="AV1155" s="44"/>
      <c r="AW1155" s="44"/>
      <c r="AX1155" s="44"/>
      <c r="AY1155" s="44"/>
      <c r="AZ1155" s="44"/>
      <c r="BA1155" s="44"/>
      <c r="BB1155" s="44"/>
      <c r="BC1155" s="44"/>
      <c r="BD1155" s="44"/>
      <c r="BE1155" s="44"/>
      <c r="BF1155" s="44"/>
      <c r="BG1155" s="44"/>
      <c r="BH1155" s="44"/>
      <c r="BI1155" s="44"/>
    </row>
    <row r="1156" spans="1:61" ht="24.95" hidden="1" customHeight="1">
      <c r="A1156" s="1151"/>
      <c r="B1156" s="564" t="s">
        <v>10</v>
      </c>
      <c r="C1156" s="564"/>
      <c r="D1156" s="564"/>
      <c r="E1156" s="564"/>
      <c r="F1156" s="564"/>
      <c r="G1156" s="103">
        <f>K1156</f>
        <v>0</v>
      </c>
      <c r="H1156" s="103"/>
      <c r="I1156" s="103"/>
      <c r="J1156" s="103"/>
      <c r="K1156" s="103"/>
      <c r="L1156" s="103"/>
      <c r="M1156" s="679"/>
      <c r="N1156" s="564"/>
      <c r="O1156" s="1037"/>
      <c r="AJ1156" s="44"/>
      <c r="AK1156" s="44"/>
      <c r="AL1156" s="44"/>
      <c r="AM1156" s="44"/>
      <c r="AN1156" s="44"/>
      <c r="AO1156" s="44"/>
      <c r="AP1156" s="44"/>
      <c r="AQ1156" s="44"/>
      <c r="AR1156" s="44"/>
      <c r="AS1156" s="44"/>
      <c r="AT1156" s="44"/>
      <c r="AU1156" s="44"/>
      <c r="AV1156" s="44"/>
      <c r="AW1156" s="44"/>
      <c r="AX1156" s="44"/>
      <c r="AY1156" s="44"/>
      <c r="AZ1156" s="44"/>
      <c r="BA1156" s="44"/>
      <c r="BB1156" s="44"/>
      <c r="BC1156" s="44"/>
      <c r="BD1156" s="44"/>
      <c r="BE1156" s="44"/>
      <c r="BF1156" s="44"/>
      <c r="BG1156" s="44"/>
      <c r="BH1156" s="44"/>
      <c r="BI1156" s="44"/>
    </row>
    <row r="1157" spans="1:61" ht="24.95" hidden="1" customHeight="1">
      <c r="A1157" s="1152"/>
      <c r="B1157" s="564" t="s">
        <v>502</v>
      </c>
      <c r="C1157" s="564"/>
      <c r="D1157" s="564"/>
      <c r="E1157" s="564"/>
      <c r="F1157" s="564"/>
      <c r="G1157" s="103">
        <f>K1157</f>
        <v>0</v>
      </c>
      <c r="H1157" s="103"/>
      <c r="I1157" s="103"/>
      <c r="J1157" s="103"/>
      <c r="K1157" s="103"/>
      <c r="L1157" s="103"/>
      <c r="M1157" s="679"/>
      <c r="N1157" s="564"/>
      <c r="O1157" s="1037"/>
      <c r="AJ1157" s="44"/>
      <c r="AK1157" s="44"/>
      <c r="AL1157" s="44"/>
      <c r="AM1157" s="44"/>
      <c r="AN1157" s="44"/>
      <c r="AO1157" s="44"/>
      <c r="AP1157" s="44"/>
      <c r="AQ1157" s="44"/>
      <c r="AR1157" s="44"/>
      <c r="AS1157" s="44"/>
      <c r="AT1157" s="44"/>
      <c r="AU1157" s="44"/>
      <c r="AV1157" s="44"/>
      <c r="AW1157" s="44"/>
      <c r="AX1157" s="44"/>
      <c r="AY1157" s="44"/>
      <c r="AZ1157" s="44"/>
      <c r="BA1157" s="44"/>
      <c r="BB1157" s="44"/>
      <c r="BC1157" s="44"/>
      <c r="BD1157" s="44"/>
      <c r="BE1157" s="44"/>
      <c r="BF1157" s="44"/>
      <c r="BG1157" s="44"/>
      <c r="BH1157" s="44"/>
      <c r="BI1157" s="44"/>
    </row>
    <row r="1158" spans="1:61" ht="24.95" hidden="1" customHeight="1">
      <c r="A1158" s="1028" t="s">
        <v>627</v>
      </c>
      <c r="B1158" s="564" t="s">
        <v>89</v>
      </c>
      <c r="C1158" s="564"/>
      <c r="D1158" s="564"/>
      <c r="E1158" s="564"/>
      <c r="F1158" s="564"/>
      <c r="G1158" s="103"/>
      <c r="H1158" s="103"/>
      <c r="I1158" s="103"/>
      <c r="J1158" s="103"/>
      <c r="K1158" s="103"/>
      <c r="L1158" s="103"/>
      <c r="M1158" s="679"/>
      <c r="N1158" s="564"/>
      <c r="O1158" s="1037" t="s">
        <v>544</v>
      </c>
      <c r="AJ1158" s="44"/>
      <c r="AK1158" s="44"/>
      <c r="AL1158" s="44"/>
      <c r="AM1158" s="44"/>
      <c r="AN1158" s="44"/>
      <c r="AO1158" s="44"/>
      <c r="AP1158" s="44"/>
      <c r="AQ1158" s="44"/>
      <c r="AR1158" s="44"/>
      <c r="AS1158" s="44"/>
      <c r="AT1158" s="44"/>
      <c r="AU1158" s="44"/>
      <c r="AV1158" s="44"/>
      <c r="AW1158" s="44"/>
      <c r="AX1158" s="44"/>
      <c r="AY1158" s="44"/>
      <c r="AZ1158" s="44"/>
      <c r="BA1158" s="44"/>
      <c r="BB1158" s="44"/>
      <c r="BC1158" s="44"/>
      <c r="BD1158" s="44"/>
      <c r="BE1158" s="44"/>
      <c r="BF1158" s="44"/>
      <c r="BG1158" s="44"/>
      <c r="BH1158" s="44"/>
      <c r="BI1158" s="44"/>
    </row>
    <row r="1159" spans="1:61" ht="24.95" hidden="1" customHeight="1">
      <c r="A1159" s="1036"/>
      <c r="B1159" s="564" t="s">
        <v>25</v>
      </c>
      <c r="C1159" s="564"/>
      <c r="D1159" s="564"/>
      <c r="E1159" s="564"/>
      <c r="F1159" s="564"/>
      <c r="G1159" s="103">
        <f>G1160+G1161</f>
        <v>0</v>
      </c>
      <c r="H1159" s="103">
        <f t="shared" ref="H1159:K1159" si="374">H1160+H1161</f>
        <v>0</v>
      </c>
      <c r="I1159" s="103">
        <f t="shared" si="374"/>
        <v>0</v>
      </c>
      <c r="J1159" s="103">
        <f t="shared" si="374"/>
        <v>0</v>
      </c>
      <c r="K1159" s="103">
        <f t="shared" si="374"/>
        <v>0</v>
      </c>
      <c r="L1159" s="103">
        <f>L1160+L1161</f>
        <v>0</v>
      </c>
      <c r="M1159" s="679">
        <f>M1160+M1161</f>
        <v>0</v>
      </c>
      <c r="N1159" s="564"/>
      <c r="O1159" s="1037"/>
      <c r="AJ1159" s="44"/>
      <c r="AK1159" s="44"/>
      <c r="AL1159" s="44"/>
      <c r="AM1159" s="44"/>
      <c r="AN1159" s="44"/>
      <c r="AO1159" s="44"/>
      <c r="AP1159" s="44"/>
      <c r="AQ1159" s="44"/>
      <c r="AR1159" s="44"/>
      <c r="AS1159" s="44"/>
      <c r="AT1159" s="44"/>
      <c r="AU1159" s="44"/>
      <c r="AV1159" s="44"/>
      <c r="AW1159" s="44"/>
      <c r="AX1159" s="44"/>
      <c r="AY1159" s="44"/>
      <c r="AZ1159" s="44"/>
      <c r="BA1159" s="44"/>
      <c r="BB1159" s="44"/>
      <c r="BC1159" s="44"/>
      <c r="BD1159" s="44"/>
      <c r="BE1159" s="44"/>
      <c r="BF1159" s="44"/>
      <c r="BG1159" s="44"/>
      <c r="BH1159" s="44"/>
      <c r="BI1159" s="44"/>
    </row>
    <row r="1160" spans="1:61" ht="24.95" hidden="1" customHeight="1">
      <c r="A1160" s="1036"/>
      <c r="B1160" s="564" t="s">
        <v>10</v>
      </c>
      <c r="C1160" s="564"/>
      <c r="D1160" s="564"/>
      <c r="E1160" s="564"/>
      <c r="F1160" s="564"/>
      <c r="G1160" s="103">
        <f>J1160</f>
        <v>0</v>
      </c>
      <c r="H1160" s="103"/>
      <c r="I1160" s="103"/>
      <c r="J1160" s="103"/>
      <c r="K1160" s="103"/>
      <c r="L1160" s="103"/>
      <c r="M1160" s="679"/>
      <c r="N1160" s="564"/>
      <c r="O1160" s="1037"/>
      <c r="AJ1160" s="44"/>
      <c r="AK1160" s="44"/>
      <c r="AL1160" s="44"/>
      <c r="AM1160" s="44"/>
      <c r="AN1160" s="44"/>
      <c r="AO1160" s="44"/>
      <c r="AP1160" s="44"/>
      <c r="AQ1160" s="44"/>
      <c r="AR1160" s="44"/>
      <c r="AS1160" s="44"/>
      <c r="AT1160" s="44"/>
      <c r="AU1160" s="44"/>
      <c r="AV1160" s="44"/>
      <c r="AW1160" s="44"/>
      <c r="AX1160" s="44"/>
      <c r="AY1160" s="44"/>
      <c r="AZ1160" s="44"/>
      <c r="BA1160" s="44"/>
      <c r="BB1160" s="44"/>
      <c r="BC1160" s="44"/>
      <c r="BD1160" s="44"/>
      <c r="BE1160" s="44"/>
      <c r="BF1160" s="44"/>
      <c r="BG1160" s="44"/>
      <c r="BH1160" s="44"/>
      <c r="BI1160" s="44"/>
    </row>
    <row r="1161" spans="1:61" ht="24.95" hidden="1" customHeight="1">
      <c r="A1161" s="1029"/>
      <c r="B1161" s="564" t="s">
        <v>502</v>
      </c>
      <c r="C1161" s="564"/>
      <c r="D1161" s="564"/>
      <c r="E1161" s="564"/>
      <c r="F1161" s="564"/>
      <c r="G1161" s="103"/>
      <c r="H1161" s="103"/>
      <c r="I1161" s="103"/>
      <c r="J1161" s="103"/>
      <c r="K1161" s="103"/>
      <c r="L1161" s="103"/>
      <c r="M1161" s="679"/>
      <c r="N1161" s="564"/>
      <c r="O1161" s="1037"/>
      <c r="AJ1161" s="44"/>
      <c r="AK1161" s="44"/>
      <c r="AL1161" s="44"/>
      <c r="AM1161" s="44"/>
      <c r="AN1161" s="44"/>
      <c r="AO1161" s="44"/>
      <c r="AP1161" s="44"/>
      <c r="AQ1161" s="44"/>
      <c r="AR1161" s="44"/>
      <c r="AS1161" s="44"/>
      <c r="AT1161" s="44"/>
      <c r="AU1161" s="44"/>
      <c r="AV1161" s="44"/>
      <c r="AW1161" s="44"/>
      <c r="AX1161" s="44"/>
      <c r="AY1161" s="44"/>
      <c r="AZ1161" s="44"/>
      <c r="BA1161" s="44"/>
      <c r="BB1161" s="44"/>
      <c r="BC1161" s="44"/>
      <c r="BD1161" s="44"/>
      <c r="BE1161" s="44"/>
      <c r="BF1161" s="44"/>
      <c r="BG1161" s="44"/>
      <c r="BH1161" s="44"/>
      <c r="BI1161" s="44"/>
    </row>
    <row r="1162" spans="1:61" ht="24.95" hidden="1" customHeight="1">
      <c r="A1162" s="1039" t="s">
        <v>787</v>
      </c>
      <c r="B1162" s="564" t="s">
        <v>89</v>
      </c>
      <c r="C1162" s="564">
        <v>176</v>
      </c>
      <c r="D1162" s="564" t="s">
        <v>15</v>
      </c>
      <c r="E1162" s="564">
        <v>6100404</v>
      </c>
      <c r="F1162" s="564">
        <v>244</v>
      </c>
      <c r="G1162" s="103">
        <f>K1162</f>
        <v>0</v>
      </c>
      <c r="H1162" s="103"/>
      <c r="I1162" s="103"/>
      <c r="J1162" s="103"/>
      <c r="K1162" s="103">
        <v>0</v>
      </c>
      <c r="L1162" s="103"/>
      <c r="M1162" s="679"/>
      <c r="N1162" s="564"/>
      <c r="O1162" s="1037" t="s">
        <v>788</v>
      </c>
      <c r="AJ1162" s="44"/>
      <c r="AK1162" s="44"/>
      <c r="AL1162" s="44"/>
      <c r="AM1162" s="44"/>
      <c r="AN1162" s="44"/>
      <c r="AO1162" s="44"/>
      <c r="AP1162" s="44"/>
      <c r="AQ1162" s="44"/>
      <c r="AR1162" s="44"/>
      <c r="AS1162" s="44"/>
      <c r="AT1162" s="44"/>
      <c r="AU1162" s="44"/>
      <c r="AV1162" s="44"/>
      <c r="AW1162" s="44"/>
      <c r="AX1162" s="44"/>
      <c r="AY1162" s="44"/>
      <c r="AZ1162" s="44"/>
      <c r="BA1162" s="44"/>
      <c r="BB1162" s="44"/>
      <c r="BC1162" s="44"/>
      <c r="BD1162" s="44"/>
      <c r="BE1162" s="44"/>
      <c r="BF1162" s="44"/>
      <c r="BG1162" s="44"/>
      <c r="BH1162" s="44"/>
      <c r="BI1162" s="44"/>
    </row>
    <row r="1163" spans="1:61" ht="24.95" hidden="1" customHeight="1">
      <c r="A1163" s="1039"/>
      <c r="B1163" s="564" t="s">
        <v>336</v>
      </c>
      <c r="C1163" s="564"/>
      <c r="D1163" s="564"/>
      <c r="E1163" s="564"/>
      <c r="F1163" s="564"/>
      <c r="G1163" s="103">
        <f>G1164+G1165</f>
        <v>0</v>
      </c>
      <c r="H1163" s="103"/>
      <c r="I1163" s="103"/>
      <c r="J1163" s="103"/>
      <c r="K1163" s="103">
        <f>K1164</f>
        <v>0</v>
      </c>
      <c r="L1163" s="103"/>
      <c r="M1163" s="679"/>
      <c r="N1163" s="564"/>
      <c r="O1163" s="1037"/>
      <c r="AJ1163" s="44"/>
      <c r="AK1163" s="44"/>
      <c r="AL1163" s="44"/>
      <c r="AM1163" s="44"/>
      <c r="AN1163" s="44"/>
      <c r="AO1163" s="44"/>
      <c r="AP1163" s="44"/>
      <c r="AQ1163" s="44"/>
      <c r="AR1163" s="44"/>
      <c r="AS1163" s="44"/>
      <c r="AT1163" s="44"/>
      <c r="AU1163" s="44"/>
      <c r="AV1163" s="44"/>
      <c r="AW1163" s="44"/>
      <c r="AX1163" s="44"/>
      <c r="AY1163" s="44"/>
      <c r="AZ1163" s="44"/>
      <c r="BA1163" s="44"/>
      <c r="BB1163" s="44"/>
      <c r="BC1163" s="44"/>
      <c r="BD1163" s="44"/>
      <c r="BE1163" s="44"/>
      <c r="BF1163" s="44"/>
      <c r="BG1163" s="44"/>
      <c r="BH1163" s="44"/>
      <c r="BI1163" s="44"/>
    </row>
    <row r="1164" spans="1:61" ht="24.95" hidden="1" customHeight="1">
      <c r="A1164" s="1039"/>
      <c r="B1164" s="564" t="s">
        <v>333</v>
      </c>
      <c r="C1164" s="564"/>
      <c r="D1164" s="564"/>
      <c r="E1164" s="564"/>
      <c r="F1164" s="564"/>
      <c r="G1164" s="103">
        <f>K1164</f>
        <v>0</v>
      </c>
      <c r="H1164" s="103"/>
      <c r="I1164" s="103"/>
      <c r="J1164" s="103"/>
      <c r="K1164" s="103">
        <v>0</v>
      </c>
      <c r="L1164" s="103"/>
      <c r="M1164" s="679"/>
      <c r="N1164" s="564"/>
      <c r="O1164" s="1037"/>
      <c r="AJ1164" s="44"/>
      <c r="AK1164" s="44"/>
      <c r="AL1164" s="44"/>
      <c r="AM1164" s="44"/>
      <c r="AN1164" s="44"/>
      <c r="AO1164" s="44"/>
      <c r="AP1164" s="44"/>
      <c r="AQ1164" s="44"/>
      <c r="AR1164" s="44"/>
      <c r="AS1164" s="44"/>
      <c r="AT1164" s="44"/>
      <c r="AU1164" s="44"/>
      <c r="AV1164" s="44"/>
      <c r="AW1164" s="44"/>
      <c r="AX1164" s="44"/>
      <c r="AY1164" s="44"/>
      <c r="AZ1164" s="44"/>
      <c r="BA1164" s="44"/>
      <c r="BB1164" s="44"/>
      <c r="BC1164" s="44"/>
      <c r="BD1164" s="44"/>
      <c r="BE1164" s="44"/>
      <c r="BF1164" s="44"/>
      <c r="BG1164" s="44"/>
      <c r="BH1164" s="44"/>
      <c r="BI1164" s="44"/>
    </row>
    <row r="1165" spans="1:61" ht="30" hidden="1" customHeight="1">
      <c r="A1165" s="1039"/>
      <c r="B1165" s="564" t="s">
        <v>789</v>
      </c>
      <c r="C1165" s="564"/>
      <c r="D1165" s="564"/>
      <c r="E1165" s="564"/>
      <c r="F1165" s="564"/>
      <c r="G1165" s="103">
        <f>J1165</f>
        <v>0</v>
      </c>
      <c r="H1165" s="103"/>
      <c r="I1165" s="103"/>
      <c r="J1165" s="103"/>
      <c r="K1165" s="103"/>
      <c r="L1165" s="103"/>
      <c r="M1165" s="679"/>
      <c r="N1165" s="564"/>
      <c r="O1165" s="1037"/>
      <c r="AJ1165" s="44"/>
      <c r="AK1165" s="44"/>
      <c r="AL1165" s="44"/>
      <c r="AM1165" s="44"/>
      <c r="AN1165" s="44"/>
      <c r="AO1165" s="44"/>
      <c r="AP1165" s="44"/>
      <c r="AQ1165" s="44"/>
      <c r="AR1165" s="44"/>
      <c r="AS1165" s="44"/>
      <c r="AT1165" s="44"/>
      <c r="AU1165" s="44"/>
      <c r="AV1165" s="44"/>
      <c r="AW1165" s="44"/>
      <c r="AX1165" s="44"/>
      <c r="AY1165" s="44"/>
      <c r="AZ1165" s="44"/>
      <c r="BA1165" s="44"/>
      <c r="BB1165" s="44"/>
      <c r="BC1165" s="44"/>
      <c r="BD1165" s="44"/>
      <c r="BE1165" s="44"/>
      <c r="BF1165" s="44"/>
      <c r="BG1165" s="44"/>
      <c r="BH1165" s="44"/>
      <c r="BI1165" s="44"/>
    </row>
    <row r="1166" spans="1:61" ht="18.75" hidden="1" customHeight="1">
      <c r="A1166" s="1144" t="s">
        <v>832</v>
      </c>
      <c r="B1166" s="564" t="s">
        <v>89</v>
      </c>
      <c r="C1166" s="564">
        <v>176</v>
      </c>
      <c r="D1166" s="564" t="s">
        <v>15</v>
      </c>
      <c r="E1166" s="564">
        <v>6100404</v>
      </c>
      <c r="F1166" s="564">
        <v>244</v>
      </c>
      <c r="G1166" s="103">
        <f>H1166</f>
        <v>0</v>
      </c>
      <c r="H1166" s="103"/>
      <c r="I1166" s="103"/>
      <c r="J1166" s="103"/>
      <c r="K1166" s="103"/>
      <c r="L1166" s="103"/>
      <c r="M1166" s="679"/>
      <c r="N1166" s="564"/>
      <c r="O1166" s="1037" t="s">
        <v>788</v>
      </c>
      <c r="AJ1166" s="44"/>
      <c r="AK1166" s="44"/>
      <c r="AL1166" s="44"/>
      <c r="AM1166" s="44"/>
      <c r="AN1166" s="44"/>
      <c r="AO1166" s="44"/>
      <c r="AP1166" s="44"/>
      <c r="AQ1166" s="44"/>
      <c r="AR1166" s="44"/>
      <c r="AS1166" s="44"/>
      <c r="AT1166" s="44"/>
      <c r="AU1166" s="44"/>
      <c r="AV1166" s="44"/>
      <c r="AW1166" s="44"/>
      <c r="AX1166" s="44"/>
      <c r="AY1166" s="44"/>
      <c r="AZ1166" s="44"/>
      <c r="BA1166" s="44"/>
      <c r="BB1166" s="44"/>
      <c r="BC1166" s="44"/>
      <c r="BD1166" s="44"/>
      <c r="BE1166" s="44"/>
      <c r="BF1166" s="44"/>
      <c r="BG1166" s="44"/>
      <c r="BH1166" s="44"/>
      <c r="BI1166" s="44"/>
    </row>
    <row r="1167" spans="1:61" ht="24" hidden="1" customHeight="1">
      <c r="A1167" s="1144"/>
      <c r="B1167" s="564" t="s">
        <v>336</v>
      </c>
      <c r="C1167" s="564"/>
      <c r="D1167" s="564"/>
      <c r="E1167" s="564"/>
      <c r="F1167" s="564"/>
      <c r="G1167" s="103">
        <f>H1167</f>
        <v>0</v>
      </c>
      <c r="H1167" s="103">
        <f t="shared" ref="H1167:M1167" si="375">H1168+H1169</f>
        <v>0</v>
      </c>
      <c r="I1167" s="103">
        <f t="shared" si="375"/>
        <v>0</v>
      </c>
      <c r="J1167" s="103">
        <f t="shared" si="375"/>
        <v>0</v>
      </c>
      <c r="K1167" s="103">
        <f t="shared" si="375"/>
        <v>0</v>
      </c>
      <c r="L1167" s="103">
        <f t="shared" si="375"/>
        <v>0</v>
      </c>
      <c r="M1167" s="679">
        <f t="shared" si="375"/>
        <v>0</v>
      </c>
      <c r="N1167" s="564"/>
      <c r="O1167" s="1037"/>
      <c r="AJ1167" s="44"/>
      <c r="AK1167" s="44"/>
      <c r="AL1167" s="44"/>
      <c r="AM1167" s="44"/>
      <c r="AN1167" s="44"/>
      <c r="AO1167" s="44"/>
      <c r="AP1167" s="44"/>
      <c r="AQ1167" s="44"/>
      <c r="AR1167" s="44"/>
      <c r="AS1167" s="44"/>
      <c r="AT1167" s="44"/>
      <c r="AU1167" s="44"/>
      <c r="AV1167" s="44"/>
      <c r="AW1167" s="44"/>
      <c r="AX1167" s="44"/>
      <c r="AY1167" s="44"/>
      <c r="AZ1167" s="44"/>
      <c r="BA1167" s="44"/>
      <c r="BB1167" s="44"/>
      <c r="BC1167" s="44"/>
      <c r="BD1167" s="44"/>
      <c r="BE1167" s="44"/>
      <c r="BF1167" s="44"/>
      <c r="BG1167" s="44"/>
      <c r="BH1167" s="44"/>
      <c r="BI1167" s="44"/>
    </row>
    <row r="1168" spans="1:61" ht="19.5" hidden="1" customHeight="1">
      <c r="A1168" s="1144"/>
      <c r="B1168" s="564" t="s">
        <v>333</v>
      </c>
      <c r="C1168" s="564"/>
      <c r="D1168" s="564"/>
      <c r="E1168" s="564"/>
      <c r="F1168" s="564"/>
      <c r="G1168" s="103">
        <f>H1168</f>
        <v>0</v>
      </c>
      <c r="H1168" s="103"/>
      <c r="I1168" s="103"/>
      <c r="J1168" s="103"/>
      <c r="K1168" s="103"/>
      <c r="L1168" s="103"/>
      <c r="M1168" s="679"/>
      <c r="N1168" s="564"/>
      <c r="O1168" s="1037"/>
      <c r="AJ1168" s="44"/>
      <c r="AK1168" s="44"/>
      <c r="AL1168" s="44"/>
      <c r="AM1168" s="44"/>
      <c r="AN1168" s="44"/>
      <c r="AO1168" s="44"/>
      <c r="AP1168" s="44"/>
      <c r="AQ1168" s="44"/>
      <c r="AR1168" s="44"/>
      <c r="AS1168" s="44"/>
      <c r="AT1168" s="44"/>
      <c r="AU1168" s="44"/>
      <c r="AV1168" s="44"/>
      <c r="AW1168" s="44"/>
      <c r="AX1168" s="44"/>
      <c r="AY1168" s="44"/>
      <c r="AZ1168" s="44"/>
      <c r="BA1168" s="44"/>
      <c r="BB1168" s="44"/>
      <c r="BC1168" s="44"/>
      <c r="BD1168" s="44"/>
      <c r="BE1168" s="44"/>
      <c r="BF1168" s="44"/>
      <c r="BG1168" s="44"/>
      <c r="BH1168" s="44"/>
      <c r="BI1168" s="44"/>
    </row>
    <row r="1169" spans="1:61" ht="24.75" hidden="1" customHeight="1">
      <c r="A1169" s="1144"/>
      <c r="B1169" s="564" t="s">
        <v>334</v>
      </c>
      <c r="C1169" s="564"/>
      <c r="D1169" s="564"/>
      <c r="E1169" s="564"/>
      <c r="F1169" s="564"/>
      <c r="G1169" s="103"/>
      <c r="H1169" s="103"/>
      <c r="I1169" s="103"/>
      <c r="J1169" s="103"/>
      <c r="K1169" s="103"/>
      <c r="L1169" s="103"/>
      <c r="M1169" s="679"/>
      <c r="N1169" s="564"/>
      <c r="O1169" s="1037"/>
      <c r="AJ1169" s="44"/>
      <c r="AK1169" s="44"/>
      <c r="AL1169" s="44"/>
      <c r="AM1169" s="44"/>
      <c r="AN1169" s="44"/>
      <c r="AO1169" s="44"/>
      <c r="AP1169" s="44"/>
      <c r="AQ1169" s="44"/>
      <c r="AR1169" s="44"/>
      <c r="AS1169" s="44"/>
      <c r="AT1169" s="44"/>
      <c r="AU1169" s="44"/>
      <c r="AV1169" s="44"/>
      <c r="AW1169" s="44"/>
      <c r="AX1169" s="44"/>
      <c r="AY1169" s="44"/>
      <c r="AZ1169" s="44"/>
      <c r="BA1169" s="44"/>
      <c r="BB1169" s="44"/>
      <c r="BC1169" s="44"/>
      <c r="BD1169" s="44"/>
      <c r="BE1169" s="44"/>
      <c r="BF1169" s="44"/>
      <c r="BG1169" s="44"/>
      <c r="BH1169" s="44"/>
      <c r="BI1169" s="44"/>
    </row>
    <row r="1170" spans="1:61" ht="27.75" customHeight="1">
      <c r="A1170" s="1144" t="s">
        <v>154</v>
      </c>
      <c r="B1170" s="564" t="s">
        <v>89</v>
      </c>
      <c r="C1170" s="564"/>
      <c r="D1170" s="564"/>
      <c r="E1170" s="564"/>
      <c r="F1170" s="564"/>
      <c r="G1170" s="103">
        <f>K1170</f>
        <v>0</v>
      </c>
      <c r="H1170" s="103"/>
      <c r="I1170" s="103"/>
      <c r="J1170" s="103"/>
      <c r="K1170" s="103"/>
      <c r="L1170" s="103"/>
      <c r="M1170" s="679"/>
      <c r="N1170" s="564"/>
      <c r="O1170" s="1037" t="s">
        <v>882</v>
      </c>
      <c r="AJ1170" s="44"/>
      <c r="AK1170" s="44"/>
      <c r="AL1170" s="44"/>
      <c r="AM1170" s="44"/>
      <c r="AN1170" s="44"/>
      <c r="AO1170" s="44"/>
      <c r="AP1170" s="44"/>
      <c r="AQ1170" s="44"/>
      <c r="AR1170" s="44"/>
      <c r="AS1170" s="44"/>
      <c r="AT1170" s="44"/>
      <c r="AU1170" s="44"/>
      <c r="AV1170" s="44"/>
      <c r="AW1170" s="44"/>
      <c r="AX1170" s="44"/>
      <c r="AY1170" s="44"/>
      <c r="AZ1170" s="44"/>
      <c r="BA1170" s="44"/>
      <c r="BB1170" s="44"/>
      <c r="BC1170" s="44"/>
      <c r="BD1170" s="44"/>
      <c r="BE1170" s="44"/>
      <c r="BF1170" s="44"/>
      <c r="BG1170" s="44"/>
      <c r="BH1170" s="44"/>
      <c r="BI1170" s="44"/>
    </row>
    <row r="1171" spans="1:61" ht="26.25" customHeight="1">
      <c r="A1171" s="1144"/>
      <c r="B1171" s="564" t="s">
        <v>25</v>
      </c>
      <c r="C1171" s="564"/>
      <c r="D1171" s="564"/>
      <c r="E1171" s="564"/>
      <c r="F1171" s="564"/>
      <c r="G1171" s="103">
        <f>G1172+G1173</f>
        <v>23544</v>
      </c>
      <c r="H1171" s="103">
        <f t="shared" ref="H1171:J1171" si="376">H1172</f>
        <v>0</v>
      </c>
      <c r="I1171" s="103">
        <f t="shared" si="376"/>
        <v>0</v>
      </c>
      <c r="J1171" s="103">
        <f t="shared" si="376"/>
        <v>0</v>
      </c>
      <c r="K1171" s="103">
        <f>K1172+K1173</f>
        <v>23544</v>
      </c>
      <c r="L1171" s="114">
        <f>L1172+L1173</f>
        <v>0</v>
      </c>
      <c r="M1171" s="678">
        <f>M1172+M1173</f>
        <v>0</v>
      </c>
      <c r="N1171" s="564"/>
      <c r="O1171" s="1037"/>
      <c r="AJ1171" s="44"/>
      <c r="AK1171" s="44"/>
      <c r="AL1171" s="44"/>
      <c r="AM1171" s="44"/>
      <c r="AN1171" s="44"/>
      <c r="AO1171" s="44"/>
      <c r="AP1171" s="44"/>
      <c r="AQ1171" s="44"/>
      <c r="AR1171" s="44"/>
      <c r="AS1171" s="44"/>
      <c r="AT1171" s="44"/>
      <c r="AU1171" s="44"/>
      <c r="AV1171" s="44"/>
      <c r="AW1171" s="44"/>
      <c r="AX1171" s="44"/>
      <c r="AY1171" s="44"/>
      <c r="AZ1171" s="44"/>
      <c r="BA1171" s="44"/>
      <c r="BB1171" s="44"/>
      <c r="BC1171" s="44"/>
      <c r="BD1171" s="44"/>
      <c r="BE1171" s="44"/>
      <c r="BF1171" s="44"/>
      <c r="BG1171" s="44"/>
      <c r="BH1171" s="44"/>
      <c r="BI1171" s="44"/>
    </row>
    <row r="1172" spans="1:61" ht="24.95" customHeight="1">
      <c r="A1172" s="1144"/>
      <c r="B1172" s="564" t="s">
        <v>10</v>
      </c>
      <c r="C1172" s="564"/>
      <c r="D1172" s="564"/>
      <c r="E1172" s="564"/>
      <c r="F1172" s="564"/>
      <c r="G1172" s="103">
        <f t="shared" ref="G1172:G1173" si="377">K1172</f>
        <v>23544</v>
      </c>
      <c r="H1172" s="103"/>
      <c r="I1172" s="103"/>
      <c r="J1172" s="103"/>
      <c r="K1172" s="103">
        <v>23544</v>
      </c>
      <c r="L1172" s="114"/>
      <c r="M1172" s="678"/>
      <c r="N1172" s="564"/>
      <c r="O1172" s="1037"/>
    </row>
    <row r="1173" spans="1:61" s="45" customFormat="1" ht="27" customHeight="1">
      <c r="A1173" s="1144"/>
      <c r="B1173" s="564" t="s">
        <v>502</v>
      </c>
      <c r="C1173" s="564"/>
      <c r="D1173" s="564"/>
      <c r="E1173" s="564"/>
      <c r="F1173" s="564"/>
      <c r="G1173" s="103">
        <f t="shared" si="377"/>
        <v>0</v>
      </c>
      <c r="H1173" s="103"/>
      <c r="I1173" s="103"/>
      <c r="J1173" s="103"/>
      <c r="K1173" s="103"/>
      <c r="L1173" s="103"/>
      <c r="M1173" s="679"/>
      <c r="N1173" s="564"/>
      <c r="O1173" s="1037"/>
      <c r="AJ1173" s="113"/>
      <c r="AK1173" s="113"/>
      <c r="AL1173" s="113"/>
      <c r="AM1173" s="113"/>
      <c r="AN1173" s="113"/>
      <c r="AO1173" s="113"/>
      <c r="AP1173" s="113"/>
      <c r="AQ1173" s="113"/>
      <c r="AR1173" s="113"/>
      <c r="AS1173" s="113"/>
      <c r="AT1173" s="113"/>
      <c r="AU1173" s="113"/>
      <c r="AV1173" s="113"/>
      <c r="AW1173" s="113"/>
      <c r="AX1173" s="113"/>
      <c r="AY1173" s="113"/>
      <c r="AZ1173" s="113"/>
      <c r="BA1173" s="113"/>
      <c r="BB1173" s="113"/>
      <c r="BC1173" s="113"/>
      <c r="BD1173" s="113"/>
      <c r="BE1173" s="113"/>
      <c r="BF1173" s="113"/>
      <c r="BG1173" s="113"/>
      <c r="BH1173" s="113"/>
      <c r="BI1173" s="113"/>
    </row>
    <row r="1174" spans="1:61" s="45" customFormat="1" ht="24.95" hidden="1" customHeight="1">
      <c r="A1174" s="1028" t="s">
        <v>448</v>
      </c>
      <c r="B1174" s="564" t="s">
        <v>89</v>
      </c>
      <c r="C1174" s="564"/>
      <c r="D1174" s="564"/>
      <c r="E1174" s="564"/>
      <c r="F1174" s="564"/>
      <c r="G1174" s="103"/>
      <c r="H1174" s="103"/>
      <c r="I1174" s="103"/>
      <c r="J1174" s="103"/>
      <c r="K1174" s="103"/>
      <c r="L1174" s="103"/>
      <c r="M1174" s="679"/>
      <c r="N1174" s="564"/>
      <c r="O1174" s="1037" t="s">
        <v>882</v>
      </c>
      <c r="AJ1174" s="113"/>
      <c r="AK1174" s="113"/>
      <c r="AL1174" s="113"/>
      <c r="AM1174" s="113"/>
      <c r="AN1174" s="113"/>
      <c r="AO1174" s="113"/>
      <c r="AP1174" s="113"/>
      <c r="AQ1174" s="113"/>
      <c r="AR1174" s="113"/>
      <c r="AS1174" s="113"/>
      <c r="AT1174" s="113"/>
      <c r="AU1174" s="113"/>
      <c r="AV1174" s="113"/>
      <c r="AW1174" s="113"/>
      <c r="AX1174" s="113"/>
      <c r="AY1174" s="113"/>
      <c r="AZ1174" s="113"/>
      <c r="BA1174" s="113"/>
      <c r="BB1174" s="113"/>
      <c r="BC1174" s="113"/>
      <c r="BD1174" s="113"/>
      <c r="BE1174" s="113"/>
      <c r="BF1174" s="113"/>
      <c r="BG1174" s="113"/>
      <c r="BH1174" s="113"/>
      <c r="BI1174" s="113"/>
    </row>
    <row r="1175" spans="1:61" s="45" customFormat="1" ht="24.95" hidden="1" customHeight="1">
      <c r="A1175" s="1036"/>
      <c r="B1175" s="564" t="s">
        <v>248</v>
      </c>
      <c r="C1175" s="564"/>
      <c r="D1175" s="564"/>
      <c r="E1175" s="564"/>
      <c r="F1175" s="564"/>
      <c r="G1175" s="103">
        <f>G1176</f>
        <v>0</v>
      </c>
      <c r="H1175" s="103">
        <f t="shared" ref="H1175:K1175" si="378">H1176</f>
        <v>0</v>
      </c>
      <c r="I1175" s="103">
        <f t="shared" si="378"/>
        <v>0</v>
      </c>
      <c r="J1175" s="103">
        <f t="shared" si="378"/>
        <v>0</v>
      </c>
      <c r="K1175" s="103">
        <f t="shared" si="378"/>
        <v>0</v>
      </c>
      <c r="L1175" s="103">
        <f>L1176+L1177</f>
        <v>0</v>
      </c>
      <c r="M1175" s="679">
        <f>M1176</f>
        <v>0</v>
      </c>
      <c r="N1175" s="564"/>
      <c r="O1175" s="1037"/>
      <c r="AJ1175" s="113"/>
      <c r="AK1175" s="113"/>
      <c r="AL1175" s="113"/>
      <c r="AM1175" s="113"/>
      <c r="AN1175" s="113"/>
      <c r="AO1175" s="113"/>
      <c r="AP1175" s="113"/>
      <c r="AQ1175" s="113"/>
      <c r="AR1175" s="113"/>
      <c r="AS1175" s="113"/>
      <c r="AT1175" s="113"/>
      <c r="AU1175" s="113"/>
      <c r="AV1175" s="113"/>
      <c r="AW1175" s="113"/>
      <c r="AX1175" s="113"/>
      <c r="AY1175" s="113"/>
      <c r="AZ1175" s="113"/>
      <c r="BA1175" s="113"/>
      <c r="BB1175" s="113"/>
      <c r="BC1175" s="113"/>
      <c r="BD1175" s="113"/>
      <c r="BE1175" s="113"/>
      <c r="BF1175" s="113"/>
      <c r="BG1175" s="113"/>
      <c r="BH1175" s="113"/>
      <c r="BI1175" s="113"/>
    </row>
    <row r="1176" spans="1:61" s="45" customFormat="1" ht="24.95" hidden="1" customHeight="1">
      <c r="A1176" s="1036"/>
      <c r="B1176" s="564" t="s">
        <v>333</v>
      </c>
      <c r="C1176" s="564"/>
      <c r="D1176" s="564"/>
      <c r="E1176" s="564"/>
      <c r="F1176" s="564"/>
      <c r="G1176" s="103">
        <f>K1176</f>
        <v>0</v>
      </c>
      <c r="H1176" s="103"/>
      <c r="I1176" s="103"/>
      <c r="J1176" s="103"/>
      <c r="K1176" s="103">
        <v>0</v>
      </c>
      <c r="L1176" s="103"/>
      <c r="M1176" s="679"/>
      <c r="N1176" s="564"/>
      <c r="O1176" s="1037"/>
      <c r="AJ1176" s="113"/>
      <c r="AK1176" s="113"/>
      <c r="AL1176" s="113"/>
      <c r="AM1176" s="113"/>
      <c r="AN1176" s="113"/>
      <c r="AO1176" s="113"/>
      <c r="AP1176" s="113"/>
      <c r="AQ1176" s="113"/>
      <c r="AR1176" s="113"/>
      <c r="AS1176" s="113"/>
      <c r="AT1176" s="113"/>
      <c r="AU1176" s="113"/>
      <c r="AV1176" s="113"/>
      <c r="AW1176" s="113"/>
      <c r="AX1176" s="113"/>
      <c r="AY1176" s="113"/>
      <c r="AZ1176" s="113"/>
      <c r="BA1176" s="113"/>
      <c r="BB1176" s="113"/>
      <c r="BC1176" s="113"/>
      <c r="BD1176" s="113"/>
      <c r="BE1176" s="113"/>
      <c r="BF1176" s="113"/>
      <c r="BG1176" s="113"/>
      <c r="BH1176" s="113"/>
      <c r="BI1176" s="113"/>
    </row>
    <row r="1177" spans="1:61" s="45" customFormat="1" ht="24.6" hidden="1" customHeight="1">
      <c r="A1177" s="1029"/>
      <c r="B1177" s="564" t="s">
        <v>789</v>
      </c>
      <c r="C1177" s="564"/>
      <c r="D1177" s="564"/>
      <c r="E1177" s="564"/>
      <c r="F1177" s="564"/>
      <c r="G1177" s="103"/>
      <c r="H1177" s="103"/>
      <c r="I1177" s="103"/>
      <c r="J1177" s="103"/>
      <c r="K1177" s="103"/>
      <c r="L1177" s="103"/>
      <c r="M1177" s="679"/>
      <c r="N1177" s="564"/>
      <c r="O1177" s="1037"/>
      <c r="AJ1177" s="113"/>
      <c r="AK1177" s="113"/>
      <c r="AL1177" s="113"/>
      <c r="AM1177" s="113"/>
      <c r="AN1177" s="113"/>
      <c r="AO1177" s="113"/>
      <c r="AP1177" s="113"/>
      <c r="AQ1177" s="113"/>
      <c r="AR1177" s="113"/>
      <c r="AS1177" s="113"/>
      <c r="AT1177" s="113"/>
      <c r="AU1177" s="113"/>
      <c r="AV1177" s="113"/>
      <c r="AW1177" s="113"/>
      <c r="AX1177" s="113"/>
      <c r="AY1177" s="113"/>
      <c r="AZ1177" s="113"/>
      <c r="BA1177" s="113"/>
      <c r="BB1177" s="113"/>
      <c r="BC1177" s="113"/>
      <c r="BD1177" s="113"/>
      <c r="BE1177" s="113"/>
      <c r="BF1177" s="113"/>
      <c r="BG1177" s="113"/>
      <c r="BH1177" s="113"/>
      <c r="BI1177" s="113"/>
    </row>
    <row r="1178" spans="1:61" s="45" customFormat="1" ht="24.95" hidden="1" customHeight="1">
      <c r="A1178" s="1150" t="s">
        <v>833</v>
      </c>
      <c r="B1178" s="564" t="s">
        <v>89</v>
      </c>
      <c r="C1178" s="564"/>
      <c r="D1178" s="564"/>
      <c r="E1178" s="564"/>
      <c r="F1178" s="564"/>
      <c r="G1178" s="103">
        <f>K1178</f>
        <v>0</v>
      </c>
      <c r="H1178" s="103"/>
      <c r="I1178" s="103"/>
      <c r="J1178" s="103"/>
      <c r="K1178" s="103"/>
      <c r="L1178" s="103"/>
      <c r="M1178" s="679"/>
      <c r="N1178" s="564"/>
      <c r="O1178" s="1037" t="s">
        <v>831</v>
      </c>
      <c r="AJ1178" s="113"/>
      <c r="AK1178" s="113"/>
      <c r="AL1178" s="113"/>
      <c r="AM1178" s="113"/>
      <c r="AN1178" s="113"/>
      <c r="AO1178" s="113"/>
      <c r="AP1178" s="113"/>
      <c r="AQ1178" s="113"/>
      <c r="AR1178" s="113"/>
      <c r="AS1178" s="113"/>
      <c r="AT1178" s="113"/>
      <c r="AU1178" s="113"/>
      <c r="AV1178" s="113"/>
      <c r="AW1178" s="113"/>
      <c r="AX1178" s="113"/>
      <c r="AY1178" s="113"/>
      <c r="AZ1178" s="113"/>
      <c r="BA1178" s="113"/>
      <c r="BB1178" s="113"/>
      <c r="BC1178" s="113"/>
      <c r="BD1178" s="113"/>
      <c r="BE1178" s="113"/>
      <c r="BF1178" s="113"/>
      <c r="BG1178" s="113"/>
      <c r="BH1178" s="113"/>
      <c r="BI1178" s="113"/>
    </row>
    <row r="1179" spans="1:61" s="45" customFormat="1" ht="24.95" hidden="1" customHeight="1">
      <c r="A1179" s="1151"/>
      <c r="B1179" s="564" t="s">
        <v>25</v>
      </c>
      <c r="C1179" s="564"/>
      <c r="D1179" s="564"/>
      <c r="E1179" s="564"/>
      <c r="F1179" s="564"/>
      <c r="G1179" s="103">
        <f>G1180+G1181</f>
        <v>0</v>
      </c>
      <c r="H1179" s="103"/>
      <c r="I1179" s="103"/>
      <c r="J1179" s="103"/>
      <c r="K1179" s="103">
        <f>K1180+K1181</f>
        <v>0</v>
      </c>
      <c r="L1179" s="103">
        <f>L1180+L1181</f>
        <v>0</v>
      </c>
      <c r="M1179" s="679">
        <f>M1180</f>
        <v>0</v>
      </c>
      <c r="N1179" s="564"/>
      <c r="O1179" s="1037"/>
      <c r="AJ1179" s="113"/>
      <c r="AK1179" s="113"/>
      <c r="AL1179" s="113"/>
      <c r="AM1179" s="113"/>
      <c r="AN1179" s="113"/>
      <c r="AO1179" s="113"/>
      <c r="AP1179" s="113"/>
      <c r="AQ1179" s="113"/>
      <c r="AR1179" s="113"/>
      <c r="AS1179" s="113"/>
      <c r="AT1179" s="113"/>
      <c r="AU1179" s="113"/>
      <c r="AV1179" s="113"/>
      <c r="AW1179" s="113"/>
      <c r="AX1179" s="113"/>
      <c r="AY1179" s="113"/>
      <c r="AZ1179" s="113"/>
      <c r="BA1179" s="113"/>
      <c r="BB1179" s="113"/>
      <c r="BC1179" s="113"/>
      <c r="BD1179" s="113"/>
      <c r="BE1179" s="113"/>
      <c r="BF1179" s="113"/>
      <c r="BG1179" s="113"/>
      <c r="BH1179" s="113"/>
      <c r="BI1179" s="113"/>
    </row>
    <row r="1180" spans="1:61" s="45" customFormat="1" ht="24.95" hidden="1" customHeight="1">
      <c r="A1180" s="1151"/>
      <c r="B1180" s="564" t="s">
        <v>10</v>
      </c>
      <c r="C1180" s="564"/>
      <c r="D1180" s="564"/>
      <c r="E1180" s="564"/>
      <c r="F1180" s="564"/>
      <c r="G1180" s="103">
        <f>K1180</f>
        <v>0</v>
      </c>
      <c r="H1180" s="103"/>
      <c r="I1180" s="103"/>
      <c r="J1180" s="103"/>
      <c r="K1180" s="103"/>
      <c r="L1180" s="103"/>
      <c r="M1180" s="679"/>
      <c r="N1180" s="564"/>
      <c r="O1180" s="1037"/>
      <c r="AJ1180" s="113"/>
      <c r="AK1180" s="113"/>
      <c r="AL1180" s="113"/>
      <c r="AM1180" s="113"/>
      <c r="AN1180" s="113"/>
      <c r="AO1180" s="113"/>
      <c r="AP1180" s="113"/>
      <c r="AQ1180" s="113"/>
      <c r="AR1180" s="113"/>
      <c r="AS1180" s="113"/>
      <c r="AT1180" s="113"/>
      <c r="AU1180" s="113"/>
      <c r="AV1180" s="113"/>
      <c r="AW1180" s="113"/>
      <c r="AX1180" s="113"/>
      <c r="AY1180" s="113"/>
      <c r="AZ1180" s="113"/>
      <c r="BA1180" s="113"/>
      <c r="BB1180" s="113"/>
      <c r="BC1180" s="113"/>
      <c r="BD1180" s="113"/>
      <c r="BE1180" s="113"/>
      <c r="BF1180" s="113"/>
      <c r="BG1180" s="113"/>
      <c r="BH1180" s="113"/>
      <c r="BI1180" s="113"/>
    </row>
    <row r="1181" spans="1:61" s="45" customFormat="1" ht="24" hidden="1" customHeight="1">
      <c r="A1181" s="1152"/>
      <c r="B1181" s="564" t="s">
        <v>502</v>
      </c>
      <c r="C1181" s="564"/>
      <c r="D1181" s="564"/>
      <c r="E1181" s="564"/>
      <c r="F1181" s="564"/>
      <c r="G1181" s="103">
        <f>K1181</f>
        <v>0</v>
      </c>
      <c r="H1181" s="103"/>
      <c r="I1181" s="103"/>
      <c r="J1181" s="103"/>
      <c r="K1181" s="103"/>
      <c r="L1181" s="103"/>
      <c r="M1181" s="679"/>
      <c r="N1181" s="564"/>
      <c r="O1181" s="1037"/>
      <c r="AJ1181" s="113"/>
      <c r="AK1181" s="113"/>
      <c r="AL1181" s="113"/>
      <c r="AM1181" s="113"/>
      <c r="AN1181" s="113"/>
      <c r="AO1181" s="113"/>
      <c r="AP1181" s="113"/>
      <c r="AQ1181" s="113"/>
      <c r="AR1181" s="113"/>
      <c r="AS1181" s="113"/>
      <c r="AT1181" s="113"/>
      <c r="AU1181" s="113"/>
      <c r="AV1181" s="113"/>
      <c r="AW1181" s="113"/>
      <c r="AX1181" s="113"/>
      <c r="AY1181" s="113"/>
      <c r="AZ1181" s="113"/>
      <c r="BA1181" s="113"/>
      <c r="BB1181" s="113"/>
      <c r="BC1181" s="113"/>
      <c r="BD1181" s="113"/>
      <c r="BE1181" s="113"/>
      <c r="BF1181" s="113"/>
      <c r="BG1181" s="113"/>
      <c r="BH1181" s="113"/>
      <c r="BI1181" s="113"/>
    </row>
    <row r="1182" spans="1:61" s="45" customFormat="1" ht="24.95" customHeight="1">
      <c r="A1182" s="1144" t="s">
        <v>879</v>
      </c>
      <c r="B1182" s="564" t="s">
        <v>89</v>
      </c>
      <c r="C1182" s="564">
        <v>176</v>
      </c>
      <c r="D1182" s="564" t="s">
        <v>15</v>
      </c>
      <c r="E1182" s="564">
        <v>6100404</v>
      </c>
      <c r="F1182" s="564">
        <v>244</v>
      </c>
      <c r="G1182" s="103">
        <f>K1182</f>
        <v>1</v>
      </c>
      <c r="H1182" s="103"/>
      <c r="I1182" s="103"/>
      <c r="J1182" s="103"/>
      <c r="K1182" s="103">
        <v>1</v>
      </c>
      <c r="L1182" s="103">
        <v>0</v>
      </c>
      <c r="M1182" s="679">
        <v>2</v>
      </c>
      <c r="N1182" s="564"/>
      <c r="O1182" s="1037" t="s">
        <v>1078</v>
      </c>
      <c r="AJ1182" s="113"/>
      <c r="AK1182" s="113"/>
      <c r="AL1182" s="113"/>
      <c r="AM1182" s="113"/>
      <c r="AN1182" s="113"/>
      <c r="AO1182" s="113"/>
      <c r="AP1182" s="113"/>
      <c r="AQ1182" s="113"/>
      <c r="AR1182" s="113"/>
      <c r="AS1182" s="113"/>
      <c r="AT1182" s="113"/>
      <c r="AU1182" s="113"/>
      <c r="AV1182" s="113"/>
      <c r="AW1182" s="113"/>
      <c r="AX1182" s="113"/>
      <c r="AY1182" s="113"/>
      <c r="AZ1182" s="113"/>
      <c r="BA1182" s="113"/>
      <c r="BB1182" s="113"/>
      <c r="BC1182" s="113"/>
      <c r="BD1182" s="113"/>
      <c r="BE1182" s="113"/>
      <c r="BF1182" s="113"/>
      <c r="BG1182" s="113"/>
      <c r="BH1182" s="113"/>
      <c r="BI1182" s="113"/>
    </row>
    <row r="1183" spans="1:61" s="45" customFormat="1" ht="24.95" customHeight="1">
      <c r="A1183" s="1144"/>
      <c r="B1183" s="564" t="s">
        <v>25</v>
      </c>
      <c r="C1183" s="564"/>
      <c r="D1183" s="564"/>
      <c r="E1183" s="564"/>
      <c r="F1183" s="564"/>
      <c r="G1183" s="103">
        <f>G1184+G1185</f>
        <v>87079.8</v>
      </c>
      <c r="H1183" s="103">
        <f t="shared" ref="H1183:K1183" si="379">H1184+H1185</f>
        <v>0</v>
      </c>
      <c r="I1183" s="103">
        <f t="shared" si="379"/>
        <v>0</v>
      </c>
      <c r="J1183" s="103">
        <f t="shared" si="379"/>
        <v>0</v>
      </c>
      <c r="K1183" s="103">
        <f t="shared" si="379"/>
        <v>87079.8</v>
      </c>
      <c r="L1183" s="103">
        <f>L1184+L1185</f>
        <v>10000</v>
      </c>
      <c r="M1183" s="679">
        <f>M1184+M1185</f>
        <v>74851.100000000006</v>
      </c>
      <c r="N1183" s="564"/>
      <c r="O1183" s="1037"/>
      <c r="AJ1183" s="113"/>
      <c r="AK1183" s="113"/>
      <c r="AL1183" s="113"/>
      <c r="AM1183" s="113"/>
      <c r="AN1183" s="113"/>
      <c r="AO1183" s="113"/>
      <c r="AP1183" s="113"/>
      <c r="AQ1183" s="113"/>
      <c r="AR1183" s="113"/>
      <c r="AS1183" s="113"/>
      <c r="AT1183" s="113"/>
      <c r="AU1183" s="113"/>
      <c r="AV1183" s="113"/>
      <c r="AW1183" s="113"/>
      <c r="AX1183" s="113"/>
      <c r="AY1183" s="113"/>
      <c r="AZ1183" s="113"/>
      <c r="BA1183" s="113"/>
      <c r="BB1183" s="113"/>
      <c r="BC1183" s="113"/>
      <c r="BD1183" s="113"/>
      <c r="BE1183" s="113"/>
      <c r="BF1183" s="113"/>
      <c r="BG1183" s="113"/>
      <c r="BH1183" s="113"/>
      <c r="BI1183" s="113"/>
    </row>
    <row r="1184" spans="1:61" s="45" customFormat="1" ht="24.95" customHeight="1">
      <c r="A1184" s="1144"/>
      <c r="B1184" s="564" t="s">
        <v>10</v>
      </c>
      <c r="C1184" s="564"/>
      <c r="D1184" s="564"/>
      <c r="E1184" s="564"/>
      <c r="F1184" s="564"/>
      <c r="G1184" s="103">
        <f>K1184</f>
        <v>87079.8</v>
      </c>
      <c r="H1184" s="103"/>
      <c r="I1184" s="103"/>
      <c r="J1184" s="103"/>
      <c r="K1184" s="103">
        <f>50079.8+37000</f>
        <v>87079.8</v>
      </c>
      <c r="L1184" s="103">
        <f>19000+10000-19000</f>
        <v>10000</v>
      </c>
      <c r="M1184" s="679">
        <f>29851.1+45000</f>
        <v>74851.100000000006</v>
      </c>
      <c r="N1184" s="564"/>
      <c r="O1184" s="1037"/>
      <c r="AJ1184" s="113"/>
      <c r="AK1184" s="113"/>
      <c r="AL1184" s="113"/>
      <c r="AM1184" s="113"/>
      <c r="AN1184" s="113"/>
      <c r="AO1184" s="113"/>
      <c r="AP1184" s="113"/>
      <c r="AQ1184" s="113"/>
      <c r="AR1184" s="113"/>
      <c r="AS1184" s="113"/>
      <c r="AT1184" s="113"/>
      <c r="AU1184" s="113"/>
      <c r="AV1184" s="113"/>
      <c r="AW1184" s="113"/>
      <c r="AX1184" s="113"/>
      <c r="AY1184" s="113"/>
      <c r="AZ1184" s="113"/>
      <c r="BA1184" s="113"/>
      <c r="BB1184" s="113"/>
      <c r="BC1184" s="113"/>
      <c r="BD1184" s="113"/>
      <c r="BE1184" s="113"/>
      <c r="BF1184" s="113"/>
      <c r="BG1184" s="113"/>
      <c r="BH1184" s="113"/>
      <c r="BI1184" s="113"/>
    </row>
    <row r="1185" spans="1:61" ht="24.75" customHeight="1">
      <c r="A1185" s="1144"/>
      <c r="B1185" s="564" t="s">
        <v>502</v>
      </c>
      <c r="C1185" s="564"/>
      <c r="D1185" s="564"/>
      <c r="E1185" s="564"/>
      <c r="F1185" s="564"/>
      <c r="G1185" s="103">
        <f>K1185</f>
        <v>0</v>
      </c>
      <c r="H1185" s="103"/>
      <c r="I1185" s="103"/>
      <c r="J1185" s="103"/>
      <c r="K1185" s="103"/>
      <c r="L1185" s="103"/>
      <c r="M1185" s="679"/>
      <c r="N1185" s="564"/>
      <c r="O1185" s="1037"/>
    </row>
    <row r="1186" spans="1:61" ht="24.95" customHeight="1">
      <c r="A1186" s="1038" t="s">
        <v>104</v>
      </c>
      <c r="B1186" s="62" t="s">
        <v>89</v>
      </c>
      <c r="C1186" s="62"/>
      <c r="D1186" s="62"/>
      <c r="E1186" s="62"/>
      <c r="F1186" s="62"/>
      <c r="G1186" s="102">
        <f>G1190+G1194+G1196</f>
        <v>1.5</v>
      </c>
      <c r="H1186" s="102">
        <f t="shared" ref="H1186:M1186" si="380">H1190+H1194+H1196</f>
        <v>0</v>
      </c>
      <c r="I1186" s="102">
        <f t="shared" si="380"/>
        <v>0</v>
      </c>
      <c r="J1186" s="102">
        <f t="shared" si="380"/>
        <v>0</v>
      </c>
      <c r="K1186" s="102">
        <f t="shared" si="380"/>
        <v>1.5</v>
      </c>
      <c r="L1186" s="102">
        <f t="shared" si="380"/>
        <v>0</v>
      </c>
      <c r="M1186" s="499">
        <f t="shared" si="380"/>
        <v>1.1000000000000001</v>
      </c>
      <c r="N1186" s="564"/>
      <c r="O1186" s="62"/>
    </row>
    <row r="1187" spans="1:61" ht="24.95" customHeight="1">
      <c r="A1187" s="1038"/>
      <c r="B1187" s="62" t="s">
        <v>25</v>
      </c>
      <c r="C1187" s="62"/>
      <c r="D1187" s="62"/>
      <c r="E1187" s="62"/>
      <c r="F1187" s="62"/>
      <c r="G1187" s="102">
        <f>G1188+G1189</f>
        <v>18294.2</v>
      </c>
      <c r="H1187" s="102">
        <f t="shared" ref="H1187:M1187" si="381">H1188+H1189</f>
        <v>0</v>
      </c>
      <c r="I1187" s="102">
        <f t="shared" si="381"/>
        <v>0</v>
      </c>
      <c r="J1187" s="102">
        <f t="shared" si="381"/>
        <v>0</v>
      </c>
      <c r="K1187" s="102">
        <f t="shared" si="381"/>
        <v>18294.2</v>
      </c>
      <c r="L1187" s="102">
        <f t="shared" si="381"/>
        <v>0</v>
      </c>
      <c r="M1187" s="499">
        <f t="shared" si="381"/>
        <v>30780.9</v>
      </c>
      <c r="N1187" s="564"/>
      <c r="O1187" s="62"/>
    </row>
    <row r="1188" spans="1:61" ht="24.95" customHeight="1">
      <c r="A1188" s="1038"/>
      <c r="B1188" s="62" t="s">
        <v>10</v>
      </c>
      <c r="C1188" s="62"/>
      <c r="D1188" s="62"/>
      <c r="E1188" s="62"/>
      <c r="F1188" s="62"/>
      <c r="G1188" s="102">
        <f>G1192+G1195+G1198</f>
        <v>18294.2</v>
      </c>
      <c r="H1188" s="102">
        <f t="shared" ref="H1188:M1188" si="382">H1192+H1195+H1198</f>
        <v>0</v>
      </c>
      <c r="I1188" s="102">
        <f t="shared" si="382"/>
        <v>0</v>
      </c>
      <c r="J1188" s="102">
        <f t="shared" si="382"/>
        <v>0</v>
      </c>
      <c r="K1188" s="102">
        <f t="shared" si="382"/>
        <v>18294.2</v>
      </c>
      <c r="L1188" s="102">
        <f t="shared" si="382"/>
        <v>0</v>
      </c>
      <c r="M1188" s="499">
        <f t="shared" si="382"/>
        <v>30780.9</v>
      </c>
      <c r="N1188" s="564"/>
      <c r="O1188" s="62"/>
    </row>
    <row r="1189" spans="1:61" s="45" customFormat="1" ht="24.95" customHeight="1">
      <c r="A1189" s="1038"/>
      <c r="B1189" s="62" t="s">
        <v>502</v>
      </c>
      <c r="C1189" s="62"/>
      <c r="D1189" s="62"/>
      <c r="E1189" s="62"/>
      <c r="F1189" s="62"/>
      <c r="G1189" s="102">
        <f>G1193+G1199</f>
        <v>0</v>
      </c>
      <c r="H1189" s="102">
        <f t="shared" ref="H1189:M1189" si="383">H1193+H1199</f>
        <v>0</v>
      </c>
      <c r="I1189" s="102">
        <f t="shared" si="383"/>
        <v>0</v>
      </c>
      <c r="J1189" s="102">
        <f t="shared" si="383"/>
        <v>0</v>
      </c>
      <c r="K1189" s="102">
        <f t="shared" si="383"/>
        <v>0</v>
      </c>
      <c r="L1189" s="102">
        <f t="shared" si="383"/>
        <v>0</v>
      </c>
      <c r="M1189" s="499">
        <f t="shared" si="383"/>
        <v>0</v>
      </c>
      <c r="N1189" s="564"/>
      <c r="O1189" s="62"/>
      <c r="AJ1189" s="113"/>
      <c r="AK1189" s="113"/>
      <c r="AL1189" s="113"/>
      <c r="AM1189" s="113"/>
      <c r="AN1189" s="113"/>
      <c r="AO1189" s="113"/>
      <c r="AP1189" s="113"/>
      <c r="AQ1189" s="113"/>
      <c r="AR1189" s="113"/>
      <c r="AS1189" s="113"/>
      <c r="AT1189" s="113"/>
      <c r="AU1189" s="113"/>
      <c r="AV1189" s="113"/>
      <c r="AW1189" s="113"/>
      <c r="AX1189" s="113"/>
      <c r="AY1189" s="113"/>
      <c r="AZ1189" s="113"/>
      <c r="BA1189" s="113"/>
      <c r="BB1189" s="113"/>
      <c r="BC1189" s="113"/>
      <c r="BD1189" s="113"/>
      <c r="BE1189" s="113"/>
      <c r="BF1189" s="113"/>
      <c r="BG1189" s="113"/>
      <c r="BH1189" s="113"/>
      <c r="BI1189" s="113"/>
    </row>
    <row r="1190" spans="1:61" s="45" customFormat="1" ht="24.95" customHeight="1">
      <c r="A1190" s="1039" t="s">
        <v>1043</v>
      </c>
      <c r="B1190" s="564" t="s">
        <v>89</v>
      </c>
      <c r="C1190" s="564">
        <v>176</v>
      </c>
      <c r="D1190" s="564" t="s">
        <v>15</v>
      </c>
      <c r="E1190" s="564">
        <v>6100404</v>
      </c>
      <c r="F1190" s="564">
        <v>244</v>
      </c>
      <c r="G1190" s="103">
        <f>K1190</f>
        <v>0</v>
      </c>
      <c r="H1190" s="103"/>
      <c r="I1190" s="103"/>
      <c r="J1190" s="103"/>
      <c r="K1190" s="103"/>
      <c r="L1190" s="103"/>
      <c r="M1190" s="679"/>
      <c r="N1190" s="564"/>
      <c r="O1190" s="1037" t="s">
        <v>882</v>
      </c>
      <c r="AJ1190" s="113"/>
      <c r="AK1190" s="113"/>
      <c r="AL1190" s="113"/>
      <c r="AM1190" s="113"/>
      <c r="AN1190" s="113"/>
      <c r="AO1190" s="113"/>
      <c r="AP1190" s="113"/>
      <c r="AQ1190" s="113"/>
      <c r="AR1190" s="113"/>
      <c r="AS1190" s="113"/>
      <c r="AT1190" s="113"/>
      <c r="AU1190" s="113"/>
      <c r="AV1190" s="113"/>
      <c r="AW1190" s="113"/>
      <c r="AX1190" s="113"/>
      <c r="AY1190" s="113"/>
      <c r="AZ1190" s="113"/>
      <c r="BA1190" s="113"/>
      <c r="BB1190" s="113"/>
      <c r="BC1190" s="113"/>
      <c r="BD1190" s="113"/>
      <c r="BE1190" s="113"/>
      <c r="BF1190" s="113"/>
      <c r="BG1190" s="113"/>
      <c r="BH1190" s="113"/>
      <c r="BI1190" s="113"/>
    </row>
    <row r="1191" spans="1:61" s="45" customFormat="1" ht="24.95" customHeight="1">
      <c r="A1191" s="1039"/>
      <c r="B1191" s="564" t="s">
        <v>25</v>
      </c>
      <c r="C1191" s="564"/>
      <c r="D1191" s="564"/>
      <c r="E1191" s="564"/>
      <c r="F1191" s="564"/>
      <c r="G1191" s="103">
        <f t="shared" ref="G1191:G1193" si="384">K1191</f>
        <v>0</v>
      </c>
      <c r="H1191" s="103"/>
      <c r="I1191" s="103"/>
      <c r="J1191" s="103"/>
      <c r="K1191" s="103">
        <f>K1192+K1193</f>
        <v>0</v>
      </c>
      <c r="L1191" s="103">
        <f t="shared" ref="L1191:M1191" si="385">L1192+L1193</f>
        <v>0</v>
      </c>
      <c r="M1191" s="679">
        <f t="shared" si="385"/>
        <v>15000</v>
      </c>
      <c r="N1191" s="564"/>
      <c r="O1191" s="1037"/>
      <c r="AJ1191" s="113"/>
      <c r="AK1191" s="113"/>
      <c r="AL1191" s="113"/>
      <c r="AM1191" s="113"/>
      <c r="AN1191" s="113"/>
      <c r="AO1191" s="113"/>
      <c r="AP1191" s="113"/>
      <c r="AQ1191" s="113"/>
      <c r="AR1191" s="113"/>
      <c r="AS1191" s="113"/>
      <c r="AT1191" s="113"/>
      <c r="AU1191" s="113"/>
      <c r="AV1191" s="113"/>
      <c r="AW1191" s="113"/>
      <c r="AX1191" s="113"/>
      <c r="AY1191" s="113"/>
      <c r="AZ1191" s="113"/>
      <c r="BA1191" s="113"/>
      <c r="BB1191" s="113"/>
      <c r="BC1191" s="113"/>
      <c r="BD1191" s="113"/>
      <c r="BE1191" s="113"/>
      <c r="BF1191" s="113"/>
      <c r="BG1191" s="113"/>
      <c r="BH1191" s="113"/>
      <c r="BI1191" s="113"/>
    </row>
    <row r="1192" spans="1:61" s="45" customFormat="1" ht="24.95" customHeight="1">
      <c r="A1192" s="1039"/>
      <c r="B1192" s="564" t="s">
        <v>10</v>
      </c>
      <c r="C1192" s="564"/>
      <c r="D1192" s="564"/>
      <c r="E1192" s="564"/>
      <c r="F1192" s="564"/>
      <c r="G1192" s="103">
        <f t="shared" si="384"/>
        <v>0</v>
      </c>
      <c r="H1192" s="103"/>
      <c r="I1192" s="103"/>
      <c r="J1192" s="103"/>
      <c r="K1192" s="103">
        <v>0</v>
      </c>
      <c r="L1192" s="103"/>
      <c r="M1192" s="679">
        <v>15000</v>
      </c>
      <c r="N1192" s="564"/>
      <c r="O1192" s="1037"/>
      <c r="AJ1192" s="113"/>
      <c r="AK1192" s="113"/>
      <c r="AL1192" s="113"/>
      <c r="AM1192" s="113"/>
      <c r="AN1192" s="113"/>
      <c r="AO1192" s="113"/>
      <c r="AP1192" s="113"/>
      <c r="AQ1192" s="113"/>
      <c r="AR1192" s="113"/>
      <c r="AS1192" s="113"/>
      <c r="AT1192" s="113"/>
      <c r="AU1192" s="113"/>
      <c r="AV1192" s="113"/>
      <c r="AW1192" s="113"/>
      <c r="AX1192" s="113"/>
      <c r="AY1192" s="113"/>
      <c r="AZ1192" s="113"/>
      <c r="BA1192" s="113"/>
      <c r="BB1192" s="113"/>
      <c r="BC1192" s="113"/>
      <c r="BD1192" s="113"/>
      <c r="BE1192" s="113"/>
      <c r="BF1192" s="113"/>
      <c r="BG1192" s="113"/>
      <c r="BH1192" s="113"/>
      <c r="BI1192" s="113"/>
    </row>
    <row r="1193" spans="1:61" ht="24.95" customHeight="1">
      <c r="A1193" s="1039"/>
      <c r="B1193" s="564" t="s">
        <v>502</v>
      </c>
      <c r="C1193" s="564"/>
      <c r="D1193" s="564"/>
      <c r="E1193" s="564"/>
      <c r="F1193" s="564"/>
      <c r="G1193" s="103">
        <f t="shared" si="384"/>
        <v>0</v>
      </c>
      <c r="H1193" s="103"/>
      <c r="I1193" s="103"/>
      <c r="J1193" s="103"/>
      <c r="K1193" s="103"/>
      <c r="L1193" s="103"/>
      <c r="M1193" s="679"/>
      <c r="N1193" s="564"/>
      <c r="O1193" s="1037"/>
    </row>
    <row r="1194" spans="1:61" ht="24.95" hidden="1" customHeight="1">
      <c r="A1194" s="1028" t="s">
        <v>630</v>
      </c>
      <c r="B1194" s="564" t="s">
        <v>89</v>
      </c>
      <c r="C1194" s="564"/>
      <c r="D1194" s="564"/>
      <c r="E1194" s="564"/>
      <c r="F1194" s="564"/>
      <c r="G1194" s="103"/>
      <c r="H1194" s="103"/>
      <c r="I1194" s="103"/>
      <c r="J1194" s="103"/>
      <c r="K1194" s="103"/>
      <c r="L1194" s="103"/>
      <c r="M1194" s="679"/>
      <c r="N1194" s="564"/>
      <c r="O1194" s="1030" t="s">
        <v>631</v>
      </c>
    </row>
    <row r="1195" spans="1:61" ht="24.95" hidden="1" customHeight="1">
      <c r="A1195" s="1029"/>
      <c r="B1195" s="564" t="s">
        <v>248</v>
      </c>
      <c r="C1195" s="564"/>
      <c r="D1195" s="564"/>
      <c r="E1195" s="564"/>
      <c r="F1195" s="564"/>
      <c r="G1195" s="103"/>
      <c r="H1195" s="103"/>
      <c r="I1195" s="103"/>
      <c r="J1195" s="103"/>
      <c r="K1195" s="103"/>
      <c r="L1195" s="103"/>
      <c r="M1195" s="679"/>
      <c r="N1195" s="564"/>
      <c r="O1195" s="1031"/>
    </row>
    <row r="1196" spans="1:61" ht="24.95" customHeight="1">
      <c r="A1196" s="1028" t="s">
        <v>879</v>
      </c>
      <c r="B1196" s="564" t="s">
        <v>89</v>
      </c>
      <c r="C1196" s="564"/>
      <c r="D1196" s="564"/>
      <c r="E1196" s="564"/>
      <c r="F1196" s="564"/>
      <c r="G1196" s="103">
        <f>K1196</f>
        <v>1.5</v>
      </c>
      <c r="H1196" s="103"/>
      <c r="I1196" s="103"/>
      <c r="J1196" s="103"/>
      <c r="K1196" s="103">
        <v>1.5</v>
      </c>
      <c r="L1196" s="103">
        <v>0</v>
      </c>
      <c r="M1196" s="679">
        <v>1.1000000000000001</v>
      </c>
      <c r="N1196" s="564"/>
      <c r="O1196" s="1030" t="s">
        <v>1079</v>
      </c>
    </row>
    <row r="1197" spans="1:61" ht="24.95" customHeight="1">
      <c r="A1197" s="1036"/>
      <c r="B1197" s="564" t="s">
        <v>25</v>
      </c>
      <c r="C1197" s="564"/>
      <c r="D1197" s="564"/>
      <c r="E1197" s="564"/>
      <c r="F1197" s="564"/>
      <c r="G1197" s="103">
        <f t="shared" ref="G1197:G1199" si="386">K1197</f>
        <v>18294.2</v>
      </c>
      <c r="H1197" s="103"/>
      <c r="I1197" s="103"/>
      <c r="J1197" s="103"/>
      <c r="K1197" s="103">
        <f>K1198+K1199</f>
        <v>18294.2</v>
      </c>
      <c r="L1197" s="103">
        <f>L1198</f>
        <v>0</v>
      </c>
      <c r="M1197" s="679">
        <f>M1198+M1199</f>
        <v>15780.9</v>
      </c>
      <c r="N1197" s="564"/>
      <c r="O1197" s="1032"/>
    </row>
    <row r="1198" spans="1:61" ht="24.95" customHeight="1">
      <c r="A1198" s="1036"/>
      <c r="B1198" s="564" t="s">
        <v>10</v>
      </c>
      <c r="C1198" s="564"/>
      <c r="D1198" s="564"/>
      <c r="E1198" s="564"/>
      <c r="F1198" s="564"/>
      <c r="G1198" s="103">
        <f t="shared" si="386"/>
        <v>18294.2</v>
      </c>
      <c r="H1198" s="103"/>
      <c r="I1198" s="103"/>
      <c r="J1198" s="103"/>
      <c r="K1198" s="103">
        <v>18294.2</v>
      </c>
      <c r="L1198" s="103"/>
      <c r="M1198" s="679">
        <v>15780.9</v>
      </c>
      <c r="N1198" s="564"/>
      <c r="O1198" s="1032"/>
    </row>
    <row r="1199" spans="1:61" ht="24.95" customHeight="1">
      <c r="A1199" s="1029"/>
      <c r="B1199" s="564" t="s">
        <v>502</v>
      </c>
      <c r="C1199" s="564"/>
      <c r="D1199" s="564"/>
      <c r="E1199" s="564"/>
      <c r="F1199" s="564"/>
      <c r="G1199" s="103">
        <f t="shared" si="386"/>
        <v>0</v>
      </c>
      <c r="H1199" s="103"/>
      <c r="I1199" s="103"/>
      <c r="J1199" s="103"/>
      <c r="K1199" s="103"/>
      <c r="L1199" s="103"/>
      <c r="M1199" s="679"/>
      <c r="N1199" s="564"/>
      <c r="O1199" s="1031"/>
    </row>
    <row r="1200" spans="1:61" ht="24.6" customHeight="1">
      <c r="A1200" s="985" t="s">
        <v>163</v>
      </c>
      <c r="B1200" s="62" t="s">
        <v>89</v>
      </c>
      <c r="C1200" s="62"/>
      <c r="D1200" s="62"/>
      <c r="E1200" s="62"/>
      <c r="F1200" s="62"/>
      <c r="G1200" s="102">
        <f>G1204+G1206+G1210</f>
        <v>1.1000000000000001</v>
      </c>
      <c r="H1200" s="102">
        <f t="shared" ref="H1200:M1200" si="387">H1204+H1206+H1210</f>
        <v>0</v>
      </c>
      <c r="I1200" s="102">
        <f t="shared" si="387"/>
        <v>0</v>
      </c>
      <c r="J1200" s="102">
        <f t="shared" si="387"/>
        <v>0</v>
      </c>
      <c r="K1200" s="102">
        <f t="shared" si="387"/>
        <v>1.1000000000000001</v>
      </c>
      <c r="L1200" s="102">
        <f t="shared" si="387"/>
        <v>0</v>
      </c>
      <c r="M1200" s="499">
        <f t="shared" si="387"/>
        <v>1</v>
      </c>
      <c r="N1200" s="564"/>
      <c r="O1200" s="62"/>
    </row>
    <row r="1201" spans="1:61" s="45" customFormat="1" ht="24.6" customHeight="1">
      <c r="A1201" s="986"/>
      <c r="B1201" s="62" t="s">
        <v>25</v>
      </c>
      <c r="C1201" s="62"/>
      <c r="D1201" s="62"/>
      <c r="E1201" s="62"/>
      <c r="F1201" s="62"/>
      <c r="G1201" s="102">
        <f>G1202+G1203</f>
        <v>13685.5</v>
      </c>
      <c r="H1201" s="102">
        <f t="shared" ref="H1201:M1201" si="388">H1202+H1203</f>
        <v>0</v>
      </c>
      <c r="I1201" s="102">
        <f t="shared" si="388"/>
        <v>0</v>
      </c>
      <c r="J1201" s="102">
        <f t="shared" si="388"/>
        <v>0</v>
      </c>
      <c r="K1201" s="102">
        <f t="shared" si="388"/>
        <v>13685.5</v>
      </c>
      <c r="L1201" s="102">
        <f t="shared" si="388"/>
        <v>0</v>
      </c>
      <c r="M1201" s="499">
        <f t="shared" si="388"/>
        <v>111909.2</v>
      </c>
      <c r="N1201" s="564"/>
      <c r="O1201" s="62"/>
      <c r="AJ1201" s="113"/>
      <c r="AK1201" s="113"/>
      <c r="AL1201" s="113"/>
      <c r="AM1201" s="113"/>
      <c r="AN1201" s="113"/>
      <c r="AO1201" s="113"/>
      <c r="AP1201" s="113"/>
      <c r="AQ1201" s="113"/>
      <c r="AR1201" s="113"/>
      <c r="AS1201" s="113"/>
      <c r="AT1201" s="113"/>
      <c r="AU1201" s="113"/>
      <c r="AV1201" s="113"/>
      <c r="AW1201" s="113"/>
      <c r="AX1201" s="113"/>
      <c r="AY1201" s="113"/>
      <c r="AZ1201" s="113"/>
      <c r="BA1201" s="113"/>
      <c r="BB1201" s="113"/>
      <c r="BC1201" s="113"/>
      <c r="BD1201" s="113"/>
      <c r="BE1201" s="113"/>
      <c r="BF1201" s="113"/>
      <c r="BG1201" s="113"/>
      <c r="BH1201" s="113"/>
      <c r="BI1201" s="113"/>
    </row>
    <row r="1202" spans="1:61" s="45" customFormat="1" ht="24.6" customHeight="1">
      <c r="A1202" s="986"/>
      <c r="B1202" s="62" t="s">
        <v>10</v>
      </c>
      <c r="C1202" s="62"/>
      <c r="D1202" s="62"/>
      <c r="E1202" s="62"/>
      <c r="F1202" s="62"/>
      <c r="G1202" s="102">
        <f>G1205+G1208+G1211</f>
        <v>13685.5</v>
      </c>
      <c r="H1202" s="102">
        <f t="shared" ref="H1202:M1202" si="389">H1205+H1208+H1211</f>
        <v>0</v>
      </c>
      <c r="I1202" s="102">
        <f t="shared" si="389"/>
        <v>0</v>
      </c>
      <c r="J1202" s="102">
        <f t="shared" si="389"/>
        <v>0</v>
      </c>
      <c r="K1202" s="102">
        <f t="shared" si="389"/>
        <v>13685.5</v>
      </c>
      <c r="L1202" s="102">
        <f t="shared" si="389"/>
        <v>0</v>
      </c>
      <c r="M1202" s="499">
        <f t="shared" si="389"/>
        <v>111909.2</v>
      </c>
      <c r="N1202" s="564"/>
      <c r="O1202" s="62"/>
      <c r="AJ1202" s="113"/>
      <c r="AK1202" s="113"/>
      <c r="AL1202" s="113"/>
      <c r="AM1202" s="113"/>
      <c r="AN1202" s="113"/>
      <c r="AO1202" s="113"/>
      <c r="AP1202" s="113"/>
      <c r="AQ1202" s="113"/>
      <c r="AR1202" s="113"/>
      <c r="AS1202" s="113"/>
      <c r="AT1202" s="113"/>
      <c r="AU1202" s="113"/>
      <c r="AV1202" s="113"/>
      <c r="AW1202" s="113"/>
      <c r="AX1202" s="113"/>
      <c r="AY1202" s="113"/>
      <c r="AZ1202" s="113"/>
      <c r="BA1202" s="113"/>
      <c r="BB1202" s="113"/>
      <c r="BC1202" s="113"/>
      <c r="BD1202" s="113"/>
      <c r="BE1202" s="113"/>
      <c r="BF1202" s="113"/>
      <c r="BG1202" s="113"/>
      <c r="BH1202" s="113"/>
      <c r="BI1202" s="113"/>
    </row>
    <row r="1203" spans="1:61" s="45" customFormat="1" ht="24.6" customHeight="1">
      <c r="A1203" s="987"/>
      <c r="B1203" s="62" t="s">
        <v>502</v>
      </c>
      <c r="C1203" s="62"/>
      <c r="D1203" s="62"/>
      <c r="E1203" s="62"/>
      <c r="F1203" s="62"/>
      <c r="G1203" s="102">
        <f>G1209</f>
        <v>0</v>
      </c>
      <c r="H1203" s="102">
        <f t="shared" ref="H1203:M1203" si="390">H1209</f>
        <v>0</v>
      </c>
      <c r="I1203" s="102">
        <f t="shared" si="390"/>
        <v>0</v>
      </c>
      <c r="J1203" s="102">
        <f t="shared" si="390"/>
        <v>0</v>
      </c>
      <c r="K1203" s="102">
        <f t="shared" si="390"/>
        <v>0</v>
      </c>
      <c r="L1203" s="102">
        <f t="shared" si="390"/>
        <v>0</v>
      </c>
      <c r="M1203" s="499">
        <f t="shared" si="390"/>
        <v>0</v>
      </c>
      <c r="N1203" s="564"/>
      <c r="O1203" s="62"/>
      <c r="AJ1203" s="113"/>
      <c r="AK1203" s="113"/>
      <c r="AL1203" s="113"/>
      <c r="AM1203" s="113"/>
      <c r="AN1203" s="113"/>
      <c r="AO1203" s="113"/>
      <c r="AP1203" s="113"/>
      <c r="AQ1203" s="113"/>
      <c r="AR1203" s="113"/>
      <c r="AS1203" s="113"/>
      <c r="AT1203" s="113"/>
      <c r="AU1203" s="113"/>
      <c r="AV1203" s="113"/>
      <c r="AW1203" s="113"/>
      <c r="AX1203" s="113"/>
      <c r="AY1203" s="113"/>
      <c r="AZ1203" s="113"/>
      <c r="BA1203" s="113"/>
      <c r="BB1203" s="113"/>
      <c r="BC1203" s="113"/>
      <c r="BD1203" s="113"/>
      <c r="BE1203" s="113"/>
      <c r="BF1203" s="113"/>
      <c r="BG1203" s="113"/>
      <c r="BH1203" s="113"/>
      <c r="BI1203" s="113"/>
    </row>
    <row r="1204" spans="1:61" s="45" customFormat="1" ht="24" customHeight="1">
      <c r="A1204" s="1039" t="s">
        <v>156</v>
      </c>
      <c r="B1204" s="564" t="s">
        <v>89</v>
      </c>
      <c r="C1204" s="564">
        <v>176</v>
      </c>
      <c r="D1204" s="564" t="s">
        <v>15</v>
      </c>
      <c r="E1204" s="564">
        <v>6100404</v>
      </c>
      <c r="F1204" s="564">
        <v>244</v>
      </c>
      <c r="G1204" s="103">
        <f>J1204</f>
        <v>0</v>
      </c>
      <c r="H1204" s="103"/>
      <c r="I1204" s="103"/>
      <c r="J1204" s="103"/>
      <c r="K1204" s="103"/>
      <c r="L1204" s="103"/>
      <c r="M1204" s="679"/>
      <c r="N1204" s="564"/>
      <c r="O1204" s="1037" t="s">
        <v>882</v>
      </c>
      <c r="AJ1204" s="113"/>
      <c r="AK1204" s="113"/>
      <c r="AL1204" s="113"/>
      <c r="AM1204" s="113"/>
      <c r="AN1204" s="113"/>
      <c r="AO1204" s="113"/>
      <c r="AP1204" s="113"/>
      <c r="AQ1204" s="113"/>
      <c r="AR1204" s="113"/>
      <c r="AS1204" s="113"/>
      <c r="AT1204" s="113"/>
      <c r="AU1204" s="113"/>
      <c r="AV1204" s="113"/>
      <c r="AW1204" s="113"/>
      <c r="AX1204" s="113"/>
      <c r="AY1204" s="113"/>
      <c r="AZ1204" s="113"/>
      <c r="BA1204" s="113"/>
      <c r="BB1204" s="113"/>
      <c r="BC1204" s="113"/>
      <c r="BD1204" s="113"/>
      <c r="BE1204" s="113"/>
      <c r="BF1204" s="113"/>
      <c r="BG1204" s="113"/>
      <c r="BH1204" s="113"/>
      <c r="BI1204" s="113"/>
    </row>
    <row r="1205" spans="1:61" ht="24.6" customHeight="1">
      <c r="A1205" s="1039"/>
      <c r="B1205" s="564" t="s">
        <v>248</v>
      </c>
      <c r="C1205" s="564"/>
      <c r="D1205" s="564"/>
      <c r="E1205" s="564"/>
      <c r="F1205" s="564"/>
      <c r="G1205" s="103">
        <f>J1205</f>
        <v>0</v>
      </c>
      <c r="H1205" s="103"/>
      <c r="I1205" s="103"/>
      <c r="J1205" s="103"/>
      <c r="K1205" s="103"/>
      <c r="L1205" s="103"/>
      <c r="M1205" s="679">
        <v>30000</v>
      </c>
      <c r="N1205" s="564"/>
      <c r="O1205" s="1037"/>
    </row>
    <row r="1206" spans="1:61" ht="24.6" customHeight="1">
      <c r="A1206" s="1028" t="s">
        <v>634</v>
      </c>
      <c r="B1206" s="564" t="s">
        <v>89</v>
      </c>
      <c r="C1206" s="564"/>
      <c r="D1206" s="564"/>
      <c r="E1206" s="564"/>
      <c r="F1206" s="564"/>
      <c r="G1206" s="103">
        <f>K1206</f>
        <v>0</v>
      </c>
      <c r="H1206" s="103"/>
      <c r="I1206" s="103"/>
      <c r="J1206" s="103"/>
      <c r="K1206" s="103"/>
      <c r="L1206" s="103"/>
      <c r="M1206" s="679"/>
      <c r="N1206" s="564"/>
      <c r="O1206" s="1030" t="s">
        <v>882</v>
      </c>
    </row>
    <row r="1207" spans="1:61" ht="24.6" customHeight="1">
      <c r="A1207" s="1036"/>
      <c r="B1207" s="564" t="s">
        <v>25</v>
      </c>
      <c r="C1207" s="564"/>
      <c r="D1207" s="564"/>
      <c r="E1207" s="564"/>
      <c r="F1207" s="564"/>
      <c r="G1207" s="103">
        <f t="shared" ref="G1207:G1209" si="391">K1207</f>
        <v>0</v>
      </c>
      <c r="H1207" s="103"/>
      <c r="I1207" s="103"/>
      <c r="J1207" s="103"/>
      <c r="K1207" s="103">
        <f>K1208+K1209</f>
        <v>0</v>
      </c>
      <c r="L1207" s="103">
        <f t="shared" ref="L1207:M1207" si="392">L1208+L1209</f>
        <v>0</v>
      </c>
      <c r="M1207" s="679">
        <f t="shared" si="392"/>
        <v>70000</v>
      </c>
      <c r="N1207" s="564"/>
      <c r="O1207" s="1032"/>
    </row>
    <row r="1208" spans="1:61" ht="24.6" customHeight="1">
      <c r="A1208" s="1036"/>
      <c r="B1208" s="564" t="s">
        <v>10</v>
      </c>
      <c r="C1208" s="564"/>
      <c r="D1208" s="564"/>
      <c r="E1208" s="564"/>
      <c r="F1208" s="564"/>
      <c r="G1208" s="103">
        <f t="shared" si="391"/>
        <v>0</v>
      </c>
      <c r="H1208" s="103"/>
      <c r="I1208" s="103"/>
      <c r="J1208" s="103"/>
      <c r="K1208" s="103">
        <f>1523.2-1523.2</f>
        <v>0</v>
      </c>
      <c r="L1208" s="103"/>
      <c r="M1208" s="679">
        <v>70000</v>
      </c>
      <c r="N1208" s="564"/>
      <c r="O1208" s="1032"/>
    </row>
    <row r="1209" spans="1:61" ht="24.6" customHeight="1">
      <c r="A1209" s="1029"/>
      <c r="B1209" s="564" t="s">
        <v>502</v>
      </c>
      <c r="C1209" s="564"/>
      <c r="D1209" s="564"/>
      <c r="E1209" s="564"/>
      <c r="F1209" s="564"/>
      <c r="G1209" s="103">
        <f t="shared" si="391"/>
        <v>0</v>
      </c>
      <c r="H1209" s="103"/>
      <c r="I1209" s="103"/>
      <c r="J1209" s="103"/>
      <c r="K1209" s="103"/>
      <c r="L1209" s="103">
        <v>0</v>
      </c>
      <c r="M1209" s="679"/>
      <c r="N1209" s="564"/>
      <c r="O1209" s="1031"/>
    </row>
    <row r="1210" spans="1:61" ht="24.6" customHeight="1">
      <c r="A1210" s="1028" t="s">
        <v>879</v>
      </c>
      <c r="B1210" s="564" t="s">
        <v>89</v>
      </c>
      <c r="C1210" s="564"/>
      <c r="D1210" s="564"/>
      <c r="E1210" s="564"/>
      <c r="F1210" s="564"/>
      <c r="G1210" s="103">
        <f>K1210</f>
        <v>1.1000000000000001</v>
      </c>
      <c r="H1210" s="103"/>
      <c r="I1210" s="103"/>
      <c r="J1210" s="103"/>
      <c r="K1210" s="103">
        <v>1.1000000000000001</v>
      </c>
      <c r="L1210" s="103"/>
      <c r="M1210" s="679">
        <v>1</v>
      </c>
      <c r="N1210" s="564"/>
      <c r="O1210" s="1030" t="s">
        <v>1080</v>
      </c>
    </row>
    <row r="1211" spans="1:61" ht="24.6" customHeight="1">
      <c r="A1211" s="1029"/>
      <c r="B1211" s="564" t="s">
        <v>248</v>
      </c>
      <c r="C1211" s="564"/>
      <c r="D1211" s="564"/>
      <c r="E1211" s="564"/>
      <c r="F1211" s="564"/>
      <c r="G1211" s="103">
        <f>K1211</f>
        <v>13685.5</v>
      </c>
      <c r="H1211" s="103"/>
      <c r="I1211" s="103"/>
      <c r="J1211" s="103"/>
      <c r="K1211" s="103">
        <v>13685.5</v>
      </c>
      <c r="L1211" s="103"/>
      <c r="M1211" s="679">
        <v>11909.2</v>
      </c>
      <c r="N1211" s="564"/>
      <c r="O1211" s="1031"/>
    </row>
    <row r="1212" spans="1:61" ht="24.6" customHeight="1">
      <c r="A1212" s="1038" t="s">
        <v>105</v>
      </c>
      <c r="B1212" s="62" t="s">
        <v>89</v>
      </c>
      <c r="C1212" s="62"/>
      <c r="D1212" s="62"/>
      <c r="E1212" s="62"/>
      <c r="F1212" s="62"/>
      <c r="G1212" s="102">
        <f t="shared" ref="G1212:M1213" si="393">G1214+G1216</f>
        <v>1.1000000000000001</v>
      </c>
      <c r="H1212" s="102">
        <f t="shared" si="393"/>
        <v>0</v>
      </c>
      <c r="I1212" s="102">
        <f t="shared" si="393"/>
        <v>0</v>
      </c>
      <c r="J1212" s="102">
        <f t="shared" si="393"/>
        <v>0</v>
      </c>
      <c r="K1212" s="102">
        <f t="shared" si="393"/>
        <v>1.1000000000000001</v>
      </c>
      <c r="L1212" s="102">
        <f t="shared" si="393"/>
        <v>0</v>
      </c>
      <c r="M1212" s="499">
        <f t="shared" si="393"/>
        <v>1</v>
      </c>
      <c r="N1212" s="564"/>
      <c r="O1212" s="62"/>
    </row>
    <row r="1213" spans="1:61" ht="24.95" customHeight="1">
      <c r="A1213" s="1038"/>
      <c r="B1213" s="62" t="s">
        <v>248</v>
      </c>
      <c r="C1213" s="62"/>
      <c r="D1213" s="62"/>
      <c r="E1213" s="62"/>
      <c r="F1213" s="62"/>
      <c r="G1213" s="102">
        <f t="shared" si="393"/>
        <v>34182.699999999997</v>
      </c>
      <c r="H1213" s="102">
        <f t="shared" si="393"/>
        <v>0</v>
      </c>
      <c r="I1213" s="102">
        <f t="shared" si="393"/>
        <v>0</v>
      </c>
      <c r="J1213" s="102">
        <f t="shared" si="393"/>
        <v>0</v>
      </c>
      <c r="K1213" s="102">
        <f t="shared" si="393"/>
        <v>34182.699999999997</v>
      </c>
      <c r="L1213" s="102">
        <f t="shared" si="393"/>
        <v>0</v>
      </c>
      <c r="M1213" s="499">
        <f t="shared" si="393"/>
        <v>52328</v>
      </c>
      <c r="N1213" s="564"/>
      <c r="O1213" s="62"/>
    </row>
    <row r="1214" spans="1:61" ht="24.95" customHeight="1">
      <c r="A1214" s="1039" t="s">
        <v>1044</v>
      </c>
      <c r="B1214" s="564" t="s">
        <v>89</v>
      </c>
      <c r="C1214" s="564">
        <v>176</v>
      </c>
      <c r="D1214" s="564" t="s">
        <v>15</v>
      </c>
      <c r="E1214" s="564">
        <v>6100404</v>
      </c>
      <c r="F1214" s="564">
        <v>244</v>
      </c>
      <c r="G1214" s="103">
        <f>K1214</f>
        <v>0</v>
      </c>
      <c r="H1214" s="103"/>
      <c r="I1214" s="103"/>
      <c r="J1214" s="103"/>
      <c r="K1214" s="103"/>
      <c r="L1214" s="103"/>
      <c r="M1214" s="679"/>
      <c r="N1214" s="564"/>
      <c r="O1214" s="1037" t="s">
        <v>882</v>
      </c>
    </row>
    <row r="1215" spans="1:61" s="45" customFormat="1" ht="24.95" customHeight="1">
      <c r="A1215" s="1039"/>
      <c r="B1215" s="564" t="s">
        <v>248</v>
      </c>
      <c r="C1215" s="564"/>
      <c r="D1215" s="564"/>
      <c r="E1215" s="564"/>
      <c r="F1215" s="564"/>
      <c r="G1215" s="103">
        <f>K1215</f>
        <v>20000</v>
      </c>
      <c r="H1215" s="103"/>
      <c r="I1215" s="103"/>
      <c r="J1215" s="103"/>
      <c r="K1215" s="103">
        <v>20000</v>
      </c>
      <c r="L1215" s="103"/>
      <c r="M1215" s="679">
        <v>30000</v>
      </c>
      <c r="N1215" s="564"/>
      <c r="O1215" s="1037"/>
      <c r="AJ1215" s="113"/>
      <c r="AK1215" s="113"/>
      <c r="AL1215" s="113"/>
      <c r="AM1215" s="113"/>
      <c r="AN1215" s="113"/>
      <c r="AO1215" s="113"/>
      <c r="AP1215" s="113"/>
      <c r="AQ1215" s="113"/>
      <c r="AR1215" s="113"/>
      <c r="AS1215" s="113"/>
      <c r="AT1215" s="113"/>
      <c r="AU1215" s="113"/>
      <c r="AV1215" s="113"/>
      <c r="AW1215" s="113"/>
      <c r="AX1215" s="113"/>
      <c r="AY1215" s="113"/>
      <c r="AZ1215" s="113"/>
      <c r="BA1215" s="113"/>
      <c r="BB1215" s="113"/>
      <c r="BC1215" s="113"/>
      <c r="BD1215" s="113"/>
      <c r="BE1215" s="113"/>
      <c r="BF1215" s="113"/>
      <c r="BG1215" s="113"/>
      <c r="BH1215" s="113"/>
      <c r="BI1215" s="113"/>
    </row>
    <row r="1216" spans="1:61" s="45" customFormat="1" ht="24.95" customHeight="1">
      <c r="A1216" s="1039" t="s">
        <v>879</v>
      </c>
      <c r="B1216" s="564" t="s">
        <v>89</v>
      </c>
      <c r="C1216" s="564">
        <v>176</v>
      </c>
      <c r="D1216" s="564" t="s">
        <v>15</v>
      </c>
      <c r="E1216" s="564">
        <v>6100404</v>
      </c>
      <c r="F1216" s="564">
        <v>244</v>
      </c>
      <c r="G1216" s="103">
        <f>K1216</f>
        <v>1.1000000000000001</v>
      </c>
      <c r="H1216" s="103"/>
      <c r="I1216" s="103"/>
      <c r="J1216" s="103"/>
      <c r="K1216" s="103">
        <v>1.1000000000000001</v>
      </c>
      <c r="L1216" s="103">
        <v>0</v>
      </c>
      <c r="M1216" s="679">
        <v>1</v>
      </c>
      <c r="N1216" s="564"/>
      <c r="O1216" s="1030" t="s">
        <v>1080</v>
      </c>
      <c r="AJ1216" s="113"/>
      <c r="AK1216" s="113"/>
      <c r="AL1216" s="113"/>
      <c r="AM1216" s="113"/>
      <c r="AN1216" s="113"/>
      <c r="AO1216" s="113"/>
      <c r="AP1216" s="113"/>
      <c r="AQ1216" s="113"/>
      <c r="AR1216" s="113"/>
      <c r="AS1216" s="113"/>
      <c r="AT1216" s="113"/>
      <c r="AU1216" s="113"/>
      <c r="AV1216" s="113"/>
      <c r="AW1216" s="113"/>
      <c r="AX1216" s="113"/>
      <c r="AY1216" s="113"/>
      <c r="AZ1216" s="113"/>
      <c r="BA1216" s="113"/>
      <c r="BB1216" s="113"/>
      <c r="BC1216" s="113"/>
      <c r="BD1216" s="113"/>
      <c r="BE1216" s="113"/>
      <c r="BF1216" s="113"/>
      <c r="BG1216" s="113"/>
      <c r="BH1216" s="113"/>
      <c r="BI1216" s="113"/>
    </row>
    <row r="1217" spans="1:61" ht="24.95" customHeight="1">
      <c r="A1217" s="1039"/>
      <c r="B1217" s="564" t="s">
        <v>248</v>
      </c>
      <c r="C1217" s="564"/>
      <c r="D1217" s="564"/>
      <c r="E1217" s="564"/>
      <c r="F1217" s="564"/>
      <c r="G1217" s="103">
        <f>K1217</f>
        <v>14182.7</v>
      </c>
      <c r="H1217" s="103"/>
      <c r="I1217" s="103"/>
      <c r="J1217" s="103"/>
      <c r="K1217" s="103">
        <v>14182.7</v>
      </c>
      <c r="L1217" s="103"/>
      <c r="M1217" s="679">
        <f>12328+10000</f>
        <v>22328</v>
      </c>
      <c r="N1217" s="564"/>
      <c r="O1217" s="1031"/>
    </row>
    <row r="1218" spans="1:61" ht="24.95" customHeight="1">
      <c r="A1218" s="985" t="s">
        <v>106</v>
      </c>
      <c r="B1218" s="62" t="s">
        <v>89</v>
      </c>
      <c r="C1218" s="564"/>
      <c r="D1218" s="564"/>
      <c r="E1218" s="564"/>
      <c r="F1218" s="564"/>
      <c r="G1218" s="102">
        <f>G1222+G1224+G1228</f>
        <v>1.1000000000000001</v>
      </c>
      <c r="H1218" s="102">
        <f t="shared" ref="H1218:M1218" si="394">H1222+H1224+H1228</f>
        <v>0</v>
      </c>
      <c r="I1218" s="102">
        <f t="shared" si="394"/>
        <v>0</v>
      </c>
      <c r="J1218" s="102">
        <f t="shared" si="394"/>
        <v>0</v>
      </c>
      <c r="K1218" s="102">
        <f t="shared" si="394"/>
        <v>1.1000000000000001</v>
      </c>
      <c r="L1218" s="102">
        <f t="shared" si="394"/>
        <v>0</v>
      </c>
      <c r="M1218" s="499">
        <f t="shared" si="394"/>
        <v>1</v>
      </c>
      <c r="N1218" s="564"/>
      <c r="O1218" s="564"/>
    </row>
    <row r="1219" spans="1:61" ht="24.95" customHeight="1">
      <c r="A1219" s="986"/>
      <c r="B1219" s="62" t="s">
        <v>25</v>
      </c>
      <c r="C1219" s="564"/>
      <c r="D1219" s="564"/>
      <c r="E1219" s="564"/>
      <c r="F1219" s="564"/>
      <c r="G1219" s="102">
        <f>G1220+G1221</f>
        <v>18917.099999999999</v>
      </c>
      <c r="H1219" s="102">
        <f t="shared" ref="H1219:M1219" si="395">H1220+H1221</f>
        <v>0</v>
      </c>
      <c r="I1219" s="102">
        <f t="shared" si="395"/>
        <v>0</v>
      </c>
      <c r="J1219" s="102">
        <f t="shared" si="395"/>
        <v>0</v>
      </c>
      <c r="K1219" s="102">
        <f t="shared" si="395"/>
        <v>18917.099999999999</v>
      </c>
      <c r="L1219" s="102">
        <f t="shared" si="395"/>
        <v>0</v>
      </c>
      <c r="M1219" s="499">
        <f t="shared" si="395"/>
        <v>42104.2</v>
      </c>
      <c r="N1219" s="564"/>
      <c r="O1219" s="564"/>
    </row>
    <row r="1220" spans="1:61" ht="24.95" customHeight="1">
      <c r="A1220" s="986"/>
      <c r="B1220" s="62" t="s">
        <v>10</v>
      </c>
      <c r="C1220" s="564"/>
      <c r="D1220" s="564"/>
      <c r="E1220" s="564"/>
      <c r="F1220" s="564"/>
      <c r="G1220" s="102">
        <f>G1223+G1226+G1229</f>
        <v>18917.099999999999</v>
      </c>
      <c r="H1220" s="102">
        <f t="shared" ref="H1220:M1220" si="396">H1223+H1226+H1229</f>
        <v>0</v>
      </c>
      <c r="I1220" s="102">
        <f t="shared" si="396"/>
        <v>0</v>
      </c>
      <c r="J1220" s="102">
        <f t="shared" si="396"/>
        <v>0</v>
      </c>
      <c r="K1220" s="102">
        <f t="shared" si="396"/>
        <v>18917.099999999999</v>
      </c>
      <c r="L1220" s="102">
        <f t="shared" si="396"/>
        <v>0</v>
      </c>
      <c r="M1220" s="499">
        <f t="shared" si="396"/>
        <v>42104.2</v>
      </c>
      <c r="N1220" s="564"/>
      <c r="O1220" s="564"/>
      <c r="AJ1220" s="44"/>
      <c r="AK1220" s="44"/>
      <c r="AL1220" s="44"/>
      <c r="AM1220" s="44"/>
      <c r="AN1220" s="44"/>
      <c r="AO1220" s="44"/>
      <c r="AP1220" s="44"/>
      <c r="AQ1220" s="44"/>
      <c r="AR1220" s="44"/>
      <c r="AS1220" s="44"/>
      <c r="AT1220" s="44"/>
      <c r="AU1220" s="44"/>
      <c r="AV1220" s="44"/>
      <c r="AW1220" s="44"/>
      <c r="AX1220" s="44"/>
      <c r="AY1220" s="44"/>
      <c r="AZ1220" s="44"/>
      <c r="BA1220" s="44"/>
      <c r="BB1220" s="44"/>
      <c r="BC1220" s="44"/>
      <c r="BD1220" s="44"/>
      <c r="BE1220" s="44"/>
      <c r="BF1220" s="44"/>
      <c r="BG1220" s="44"/>
      <c r="BH1220" s="44"/>
      <c r="BI1220" s="44"/>
    </row>
    <row r="1221" spans="1:61" ht="24.95" customHeight="1">
      <c r="A1221" s="987"/>
      <c r="B1221" s="62" t="s">
        <v>502</v>
      </c>
      <c r="C1221" s="564"/>
      <c r="D1221" s="564"/>
      <c r="E1221" s="564"/>
      <c r="F1221" s="564"/>
      <c r="G1221" s="102">
        <f>G1227</f>
        <v>0</v>
      </c>
      <c r="H1221" s="102">
        <f t="shared" ref="H1221:M1221" si="397">H1227</f>
        <v>0</v>
      </c>
      <c r="I1221" s="102">
        <f t="shared" si="397"/>
        <v>0</v>
      </c>
      <c r="J1221" s="102">
        <f t="shared" si="397"/>
        <v>0</v>
      </c>
      <c r="K1221" s="102">
        <f t="shared" si="397"/>
        <v>0</v>
      </c>
      <c r="L1221" s="102">
        <f t="shared" si="397"/>
        <v>0</v>
      </c>
      <c r="M1221" s="499">
        <f t="shared" si="397"/>
        <v>0</v>
      </c>
      <c r="N1221" s="564"/>
      <c r="O1221" s="564"/>
      <c r="AJ1221" s="44"/>
      <c r="AK1221" s="44"/>
      <c r="AL1221" s="44"/>
      <c r="AM1221" s="44"/>
      <c r="AN1221" s="44"/>
      <c r="AO1221" s="44"/>
      <c r="AP1221" s="44"/>
      <c r="AQ1221" s="44"/>
      <c r="AR1221" s="44"/>
      <c r="AS1221" s="44"/>
      <c r="AT1221" s="44"/>
      <c r="AU1221" s="44"/>
      <c r="AV1221" s="44"/>
      <c r="AW1221" s="44"/>
      <c r="AX1221" s="44"/>
      <c r="AY1221" s="44"/>
      <c r="AZ1221" s="44"/>
      <c r="BA1221" s="44"/>
      <c r="BB1221" s="44"/>
      <c r="BC1221" s="44"/>
      <c r="BD1221" s="44"/>
      <c r="BE1221" s="44"/>
      <c r="BF1221" s="44"/>
      <c r="BG1221" s="44"/>
      <c r="BH1221" s="44"/>
      <c r="BI1221" s="44"/>
    </row>
    <row r="1222" spans="1:61" ht="24.95" customHeight="1">
      <c r="A1222" s="1056" t="s">
        <v>638</v>
      </c>
      <c r="B1222" s="564" t="s">
        <v>89</v>
      </c>
      <c r="C1222" s="564"/>
      <c r="D1222" s="564"/>
      <c r="E1222" s="564"/>
      <c r="F1222" s="564"/>
      <c r="G1222" s="103">
        <f>K1222</f>
        <v>0</v>
      </c>
      <c r="H1222" s="103"/>
      <c r="I1222" s="103"/>
      <c r="J1222" s="103"/>
      <c r="K1222" s="103"/>
      <c r="L1222" s="103"/>
      <c r="M1222" s="679"/>
      <c r="N1222" s="564"/>
      <c r="O1222" s="1037" t="s">
        <v>882</v>
      </c>
      <c r="AJ1222" s="44"/>
      <c r="AK1222" s="44"/>
      <c r="AL1222" s="44"/>
      <c r="AM1222" s="44"/>
      <c r="AN1222" s="44"/>
      <c r="AO1222" s="44"/>
      <c r="AP1222" s="44"/>
      <c r="AQ1222" s="44"/>
      <c r="AR1222" s="44"/>
      <c r="AS1222" s="44"/>
      <c r="AT1222" s="44"/>
      <c r="AU1222" s="44"/>
      <c r="AV1222" s="44"/>
      <c r="AW1222" s="44"/>
      <c r="AX1222" s="44"/>
      <c r="AY1222" s="44"/>
      <c r="AZ1222" s="44"/>
      <c r="BA1222" s="44"/>
      <c r="BB1222" s="44"/>
      <c r="BC1222" s="44"/>
      <c r="BD1222" s="44"/>
      <c r="BE1222" s="44"/>
      <c r="BF1222" s="44"/>
      <c r="BG1222" s="44"/>
      <c r="BH1222" s="44"/>
      <c r="BI1222" s="44"/>
    </row>
    <row r="1223" spans="1:61" ht="24.95" customHeight="1">
      <c r="A1223" s="1056"/>
      <c r="B1223" s="564" t="s">
        <v>248</v>
      </c>
      <c r="C1223" s="564"/>
      <c r="D1223" s="564"/>
      <c r="E1223" s="564"/>
      <c r="F1223" s="564"/>
      <c r="G1223" s="103">
        <f>K1223</f>
        <v>5000</v>
      </c>
      <c r="H1223" s="103"/>
      <c r="I1223" s="103"/>
      <c r="J1223" s="103"/>
      <c r="K1223" s="103">
        <v>5000</v>
      </c>
      <c r="L1223" s="103"/>
      <c r="M1223" s="679">
        <v>30000</v>
      </c>
      <c r="N1223" s="564"/>
      <c r="O1223" s="1037"/>
      <c r="AJ1223" s="44"/>
      <c r="AK1223" s="44"/>
      <c r="AL1223" s="44"/>
      <c r="AM1223" s="44"/>
      <c r="AN1223" s="44"/>
      <c r="AO1223" s="44"/>
      <c r="AP1223" s="44"/>
      <c r="AQ1223" s="44"/>
      <c r="AR1223" s="44"/>
      <c r="AS1223" s="44"/>
      <c r="AT1223" s="44"/>
      <c r="AU1223" s="44"/>
      <c r="AV1223" s="44"/>
      <c r="AW1223" s="44"/>
      <c r="AX1223" s="44"/>
      <c r="AY1223" s="44"/>
      <c r="AZ1223" s="44"/>
      <c r="BA1223" s="44"/>
      <c r="BB1223" s="44"/>
      <c r="BC1223" s="44"/>
      <c r="BD1223" s="44"/>
      <c r="BE1223" s="44"/>
      <c r="BF1223" s="44"/>
      <c r="BG1223" s="44"/>
      <c r="BH1223" s="44"/>
      <c r="BI1223" s="44"/>
    </row>
    <row r="1224" spans="1:61" ht="24.95" hidden="1" customHeight="1">
      <c r="A1224" s="1039" t="s">
        <v>639</v>
      </c>
      <c r="B1224" s="564" t="s">
        <v>89</v>
      </c>
      <c r="C1224" s="564"/>
      <c r="D1224" s="564"/>
      <c r="E1224" s="564"/>
      <c r="F1224" s="564"/>
      <c r="G1224" s="103">
        <f>K1224</f>
        <v>0</v>
      </c>
      <c r="H1224" s="103"/>
      <c r="I1224" s="103"/>
      <c r="J1224" s="103"/>
      <c r="K1224" s="103"/>
      <c r="L1224" s="103"/>
      <c r="M1224" s="679"/>
      <c r="N1224" s="564"/>
      <c r="O1224" s="1030" t="s">
        <v>642</v>
      </c>
      <c r="AJ1224" s="44"/>
      <c r="AK1224" s="44"/>
      <c r="AL1224" s="44"/>
      <c r="AM1224" s="44"/>
      <c r="AN1224" s="44"/>
      <c r="AO1224" s="44"/>
      <c r="AP1224" s="44"/>
      <c r="AQ1224" s="44"/>
      <c r="AR1224" s="44"/>
      <c r="AS1224" s="44"/>
      <c r="AT1224" s="44"/>
      <c r="AU1224" s="44"/>
      <c r="AV1224" s="44"/>
      <c r="AW1224" s="44"/>
      <c r="AX1224" s="44"/>
      <c r="AY1224" s="44"/>
      <c r="AZ1224" s="44"/>
      <c r="BA1224" s="44"/>
      <c r="BB1224" s="44"/>
      <c r="BC1224" s="44"/>
      <c r="BD1224" s="44"/>
      <c r="BE1224" s="44"/>
      <c r="BF1224" s="44"/>
      <c r="BG1224" s="44"/>
      <c r="BH1224" s="44"/>
      <c r="BI1224" s="44"/>
    </row>
    <row r="1225" spans="1:61" ht="24.95" hidden="1" customHeight="1">
      <c r="A1225" s="1039"/>
      <c r="B1225" s="564" t="s">
        <v>25</v>
      </c>
      <c r="C1225" s="564"/>
      <c r="D1225" s="564"/>
      <c r="E1225" s="564"/>
      <c r="F1225" s="564"/>
      <c r="G1225" s="103">
        <f t="shared" ref="G1225:G1227" si="398">K1225</f>
        <v>0</v>
      </c>
      <c r="H1225" s="103"/>
      <c r="I1225" s="103"/>
      <c r="J1225" s="103"/>
      <c r="K1225" s="103">
        <f>K1226+K1227</f>
        <v>0</v>
      </c>
      <c r="L1225" s="103"/>
      <c r="M1225" s="679"/>
      <c r="N1225" s="564"/>
      <c r="O1225" s="1032"/>
      <c r="AJ1225" s="44"/>
      <c r="AK1225" s="44"/>
      <c r="AL1225" s="44"/>
      <c r="AM1225" s="44"/>
      <c r="AN1225" s="44"/>
      <c r="AO1225" s="44"/>
      <c r="AP1225" s="44"/>
      <c r="AQ1225" s="44"/>
      <c r="AR1225" s="44"/>
      <c r="AS1225" s="44"/>
      <c r="AT1225" s="44"/>
      <c r="AU1225" s="44"/>
      <c r="AV1225" s="44"/>
      <c r="AW1225" s="44"/>
      <c r="AX1225" s="44"/>
      <c r="AY1225" s="44"/>
      <c r="AZ1225" s="44"/>
      <c r="BA1225" s="44"/>
      <c r="BB1225" s="44"/>
      <c r="BC1225" s="44"/>
      <c r="BD1225" s="44"/>
      <c r="BE1225" s="44"/>
      <c r="BF1225" s="44"/>
      <c r="BG1225" s="44"/>
      <c r="BH1225" s="44"/>
      <c r="BI1225" s="44"/>
    </row>
    <row r="1226" spans="1:61" ht="24.95" hidden="1" customHeight="1">
      <c r="A1226" s="1039"/>
      <c r="B1226" s="564" t="s">
        <v>10</v>
      </c>
      <c r="C1226" s="564"/>
      <c r="D1226" s="564"/>
      <c r="E1226" s="564"/>
      <c r="F1226" s="564"/>
      <c r="G1226" s="103">
        <f t="shared" si="398"/>
        <v>0</v>
      </c>
      <c r="H1226" s="103"/>
      <c r="I1226" s="103"/>
      <c r="J1226" s="103"/>
      <c r="K1226" s="103"/>
      <c r="L1226" s="103"/>
      <c r="M1226" s="679"/>
      <c r="N1226" s="564"/>
      <c r="O1226" s="1032"/>
      <c r="AJ1226" s="44"/>
      <c r="AK1226" s="44"/>
      <c r="AL1226" s="44"/>
      <c r="AM1226" s="44"/>
      <c r="AN1226" s="44"/>
      <c r="AO1226" s="44"/>
      <c r="AP1226" s="44"/>
      <c r="AQ1226" s="44"/>
      <c r="AR1226" s="44"/>
      <c r="AS1226" s="44"/>
      <c r="AT1226" s="44"/>
      <c r="AU1226" s="44"/>
      <c r="AV1226" s="44"/>
      <c r="AW1226" s="44"/>
      <c r="AX1226" s="44"/>
      <c r="AY1226" s="44"/>
      <c r="AZ1226" s="44"/>
      <c r="BA1226" s="44"/>
      <c r="BB1226" s="44"/>
      <c r="BC1226" s="44"/>
      <c r="BD1226" s="44"/>
      <c r="BE1226" s="44"/>
      <c r="BF1226" s="44"/>
      <c r="BG1226" s="44"/>
      <c r="BH1226" s="44"/>
      <c r="BI1226" s="44"/>
    </row>
    <row r="1227" spans="1:61" ht="24.95" hidden="1" customHeight="1">
      <c r="A1227" s="1039"/>
      <c r="B1227" s="564" t="s">
        <v>502</v>
      </c>
      <c r="C1227" s="564"/>
      <c r="D1227" s="564"/>
      <c r="E1227" s="564"/>
      <c r="F1227" s="564"/>
      <c r="G1227" s="103">
        <f t="shared" si="398"/>
        <v>0</v>
      </c>
      <c r="H1227" s="103"/>
      <c r="I1227" s="103"/>
      <c r="J1227" s="103"/>
      <c r="K1227" s="103"/>
      <c r="L1227" s="103"/>
      <c r="M1227" s="679"/>
      <c r="N1227" s="564"/>
      <c r="O1227" s="1031"/>
      <c r="AJ1227" s="44"/>
      <c r="AK1227" s="44"/>
      <c r="AL1227" s="44"/>
      <c r="AM1227" s="44"/>
      <c r="AN1227" s="44"/>
      <c r="AO1227" s="44"/>
      <c r="AP1227" s="44"/>
      <c r="AQ1227" s="44"/>
      <c r="AR1227" s="44"/>
      <c r="AS1227" s="44"/>
      <c r="AT1227" s="44"/>
      <c r="AU1227" s="44"/>
      <c r="AV1227" s="44"/>
      <c r="AW1227" s="44"/>
      <c r="AX1227" s="44"/>
      <c r="AY1227" s="44"/>
      <c r="AZ1227" s="44"/>
      <c r="BA1227" s="44"/>
      <c r="BB1227" s="44"/>
      <c r="BC1227" s="44"/>
      <c r="BD1227" s="44"/>
      <c r="BE1227" s="44"/>
      <c r="BF1227" s="44"/>
      <c r="BG1227" s="44"/>
      <c r="BH1227" s="44"/>
      <c r="BI1227" s="44"/>
    </row>
    <row r="1228" spans="1:61" ht="24.95" customHeight="1">
      <c r="A1228" s="1028" t="s">
        <v>879</v>
      </c>
      <c r="B1228" s="564" t="s">
        <v>89</v>
      </c>
      <c r="C1228" s="564"/>
      <c r="D1228" s="564"/>
      <c r="E1228" s="564"/>
      <c r="F1228" s="564"/>
      <c r="G1228" s="103">
        <f>K1228</f>
        <v>1.1000000000000001</v>
      </c>
      <c r="H1228" s="103"/>
      <c r="I1228" s="103"/>
      <c r="J1228" s="103"/>
      <c r="K1228" s="103">
        <v>1.1000000000000001</v>
      </c>
      <c r="L1228" s="103"/>
      <c r="M1228" s="679">
        <v>1</v>
      </c>
      <c r="N1228" s="564"/>
      <c r="O1228" s="1030" t="s">
        <v>1080</v>
      </c>
      <c r="AJ1228" s="44"/>
      <c r="AK1228" s="44"/>
      <c r="AL1228" s="44"/>
      <c r="AM1228" s="44"/>
      <c r="AN1228" s="44"/>
      <c r="AO1228" s="44"/>
      <c r="AP1228" s="44"/>
      <c r="AQ1228" s="44"/>
      <c r="AR1228" s="44"/>
      <c r="AS1228" s="44"/>
      <c r="AT1228" s="44"/>
      <c r="AU1228" s="44"/>
      <c r="AV1228" s="44"/>
      <c r="AW1228" s="44"/>
      <c r="AX1228" s="44"/>
      <c r="AY1228" s="44"/>
      <c r="AZ1228" s="44"/>
      <c r="BA1228" s="44"/>
      <c r="BB1228" s="44"/>
      <c r="BC1228" s="44"/>
      <c r="BD1228" s="44"/>
      <c r="BE1228" s="44"/>
      <c r="BF1228" s="44"/>
      <c r="BG1228" s="44"/>
      <c r="BH1228" s="44"/>
      <c r="BI1228" s="44"/>
    </row>
    <row r="1229" spans="1:61" ht="24.95" customHeight="1">
      <c r="A1229" s="1029"/>
      <c r="B1229" s="564" t="s">
        <v>248</v>
      </c>
      <c r="C1229" s="564"/>
      <c r="D1229" s="564"/>
      <c r="E1229" s="564"/>
      <c r="F1229" s="564"/>
      <c r="G1229" s="103">
        <f>K1229</f>
        <v>13917.1</v>
      </c>
      <c r="H1229" s="103"/>
      <c r="I1229" s="103"/>
      <c r="J1229" s="103"/>
      <c r="K1229" s="103">
        <v>13917.1</v>
      </c>
      <c r="L1229" s="103"/>
      <c r="M1229" s="679">
        <v>12104.2</v>
      </c>
      <c r="N1229" s="564"/>
      <c r="O1229" s="1031"/>
      <c r="AJ1229" s="44"/>
      <c r="AK1229" s="44"/>
      <c r="AL1229" s="44"/>
      <c r="AM1229" s="44"/>
      <c r="AN1229" s="44"/>
      <c r="AO1229" s="44"/>
      <c r="AP1229" s="44"/>
      <c r="AQ1229" s="44"/>
      <c r="AR1229" s="44"/>
      <c r="AS1229" s="44"/>
      <c r="AT1229" s="44"/>
      <c r="AU1229" s="44"/>
      <c r="AV1229" s="44"/>
      <c r="AW1229" s="44"/>
      <c r="AX1229" s="44"/>
      <c r="AY1229" s="44"/>
      <c r="AZ1229" s="44"/>
      <c r="BA1229" s="44"/>
      <c r="BB1229" s="44"/>
      <c r="BC1229" s="44"/>
      <c r="BD1229" s="44"/>
      <c r="BE1229" s="44"/>
      <c r="BF1229" s="44"/>
      <c r="BG1229" s="44"/>
      <c r="BH1229" s="44"/>
      <c r="BI1229" s="44"/>
    </row>
    <row r="1230" spans="1:61" ht="24.95" customHeight="1">
      <c r="A1230" s="985" t="s">
        <v>137</v>
      </c>
      <c r="B1230" s="62" t="s">
        <v>89</v>
      </c>
      <c r="C1230" s="62"/>
      <c r="D1230" s="62"/>
      <c r="E1230" s="62"/>
      <c r="F1230" s="62"/>
      <c r="G1230" s="102">
        <f>G1234+G1238+G1242+G1244</f>
        <v>4.5999999999999996</v>
      </c>
      <c r="H1230" s="102">
        <f t="shared" ref="H1230:M1230" si="399">H1234+H1238+H1242+H1244</f>
        <v>0</v>
      </c>
      <c r="I1230" s="102">
        <f t="shared" si="399"/>
        <v>0</v>
      </c>
      <c r="J1230" s="102">
        <f t="shared" si="399"/>
        <v>0</v>
      </c>
      <c r="K1230" s="102">
        <f t="shared" si="399"/>
        <v>4.5999999999999996</v>
      </c>
      <c r="L1230" s="102">
        <f t="shared" si="399"/>
        <v>0</v>
      </c>
      <c r="M1230" s="499">
        <f t="shared" si="399"/>
        <v>1</v>
      </c>
      <c r="N1230" s="564"/>
      <c r="O1230" s="62"/>
      <c r="AJ1230" s="44"/>
      <c r="AK1230" s="44"/>
      <c r="AL1230" s="44"/>
      <c r="AM1230" s="44"/>
      <c r="AN1230" s="44"/>
      <c r="AO1230" s="44"/>
      <c r="AP1230" s="44"/>
      <c r="AQ1230" s="44"/>
      <c r="AR1230" s="44"/>
      <c r="AS1230" s="44"/>
      <c r="AT1230" s="44"/>
      <c r="AU1230" s="44"/>
      <c r="AV1230" s="44"/>
      <c r="AW1230" s="44"/>
      <c r="AX1230" s="44"/>
      <c r="AY1230" s="44"/>
      <c r="AZ1230" s="44"/>
      <c r="BA1230" s="44"/>
      <c r="BB1230" s="44"/>
      <c r="BC1230" s="44"/>
      <c r="BD1230" s="44"/>
      <c r="BE1230" s="44"/>
      <c r="BF1230" s="44"/>
      <c r="BG1230" s="44"/>
      <c r="BH1230" s="44"/>
      <c r="BI1230" s="44"/>
    </row>
    <row r="1231" spans="1:61" ht="24.95" customHeight="1">
      <c r="A1231" s="986"/>
      <c r="B1231" s="62" t="s">
        <v>25</v>
      </c>
      <c r="C1231" s="62"/>
      <c r="D1231" s="62"/>
      <c r="E1231" s="62"/>
      <c r="F1231" s="62"/>
      <c r="G1231" s="102">
        <f>G1232+G1233</f>
        <v>61807.4</v>
      </c>
      <c r="H1231" s="102">
        <f t="shared" ref="H1231:M1231" si="400">H1232+H1233</f>
        <v>0</v>
      </c>
      <c r="I1231" s="102">
        <f t="shared" si="400"/>
        <v>0</v>
      </c>
      <c r="J1231" s="102">
        <f t="shared" si="400"/>
        <v>0</v>
      </c>
      <c r="K1231" s="102">
        <f t="shared" si="400"/>
        <v>61807.4</v>
      </c>
      <c r="L1231" s="102">
        <f t="shared" si="400"/>
        <v>0</v>
      </c>
      <c r="M1231" s="499">
        <f t="shared" si="400"/>
        <v>59310.2</v>
      </c>
      <c r="N1231" s="564"/>
      <c r="O1231" s="62"/>
      <c r="AJ1231" s="44"/>
      <c r="AK1231" s="44"/>
      <c r="AL1231" s="44"/>
      <c r="AM1231" s="44"/>
      <c r="AN1231" s="44"/>
      <c r="AO1231" s="44"/>
      <c r="AP1231" s="44"/>
      <c r="AQ1231" s="44"/>
      <c r="AR1231" s="44"/>
      <c r="AS1231" s="44"/>
      <c r="AT1231" s="44"/>
      <c r="AU1231" s="44"/>
      <c r="AV1231" s="44"/>
      <c r="AW1231" s="44"/>
      <c r="AX1231" s="44"/>
      <c r="AY1231" s="44"/>
      <c r="AZ1231" s="44"/>
      <c r="BA1231" s="44"/>
      <c r="BB1231" s="44"/>
      <c r="BC1231" s="44"/>
      <c r="BD1231" s="44"/>
      <c r="BE1231" s="44"/>
      <c r="BF1231" s="44"/>
      <c r="BG1231" s="44"/>
      <c r="BH1231" s="44"/>
      <c r="BI1231" s="44"/>
    </row>
    <row r="1232" spans="1:61" ht="24.95" customHeight="1">
      <c r="A1232" s="986"/>
      <c r="B1232" s="62" t="s">
        <v>10</v>
      </c>
      <c r="C1232" s="62"/>
      <c r="D1232" s="62"/>
      <c r="E1232" s="62"/>
      <c r="F1232" s="62"/>
      <c r="G1232" s="102">
        <f>G1236+G1240+G1243+G1245</f>
        <v>61807.4</v>
      </c>
      <c r="H1232" s="102">
        <f t="shared" ref="H1232:M1232" si="401">H1236+H1240+H1243+H1245</f>
        <v>0</v>
      </c>
      <c r="I1232" s="102">
        <f t="shared" si="401"/>
        <v>0</v>
      </c>
      <c r="J1232" s="102">
        <f t="shared" si="401"/>
        <v>0</v>
      </c>
      <c r="K1232" s="102">
        <f t="shared" si="401"/>
        <v>61807.4</v>
      </c>
      <c r="L1232" s="102">
        <f t="shared" si="401"/>
        <v>0</v>
      </c>
      <c r="M1232" s="499">
        <f t="shared" si="401"/>
        <v>59310.2</v>
      </c>
      <c r="N1232" s="564"/>
      <c r="O1232" s="62"/>
      <c r="AJ1232" s="44"/>
      <c r="AK1232" s="44"/>
      <c r="AL1232" s="44"/>
      <c r="AM1232" s="44"/>
      <c r="AN1232" s="44"/>
      <c r="AO1232" s="44"/>
      <c r="AP1232" s="44"/>
      <c r="AQ1232" s="44"/>
      <c r="AR1232" s="44"/>
      <c r="AS1232" s="44"/>
      <c r="AT1232" s="44"/>
      <c r="AU1232" s="44"/>
      <c r="AV1232" s="44"/>
      <c r="AW1232" s="44"/>
      <c r="AX1232" s="44"/>
      <c r="AY1232" s="44"/>
      <c r="AZ1232" s="44"/>
      <c r="BA1232" s="44"/>
      <c r="BB1232" s="44"/>
      <c r="BC1232" s="44"/>
      <c r="BD1232" s="44"/>
      <c r="BE1232" s="44"/>
      <c r="BF1232" s="44"/>
      <c r="BG1232" s="44"/>
      <c r="BH1232" s="44"/>
      <c r="BI1232" s="44"/>
    </row>
    <row r="1233" spans="1:61" ht="24.95" customHeight="1">
      <c r="A1233" s="987"/>
      <c r="B1233" s="62" t="s">
        <v>502</v>
      </c>
      <c r="C1233" s="62"/>
      <c r="D1233" s="62"/>
      <c r="E1233" s="62"/>
      <c r="F1233" s="62"/>
      <c r="G1233" s="102">
        <f>G1237+G1241</f>
        <v>0</v>
      </c>
      <c r="H1233" s="102">
        <f t="shared" ref="H1233:M1233" si="402">H1237+H1241</f>
        <v>0</v>
      </c>
      <c r="I1233" s="102">
        <f t="shared" si="402"/>
        <v>0</v>
      </c>
      <c r="J1233" s="102">
        <f t="shared" si="402"/>
        <v>0</v>
      </c>
      <c r="K1233" s="102">
        <f t="shared" si="402"/>
        <v>0</v>
      </c>
      <c r="L1233" s="102">
        <f t="shared" si="402"/>
        <v>0</v>
      </c>
      <c r="M1233" s="499">
        <f t="shared" si="402"/>
        <v>0</v>
      </c>
      <c r="N1233" s="564"/>
      <c r="O1233" s="62"/>
      <c r="AJ1233" s="44"/>
      <c r="AK1233" s="44"/>
      <c r="AL1233" s="44"/>
      <c r="AM1233" s="44"/>
      <c r="AN1233" s="44"/>
      <c r="AO1233" s="44"/>
      <c r="AP1233" s="44"/>
      <c r="AQ1233" s="44"/>
      <c r="AR1233" s="44"/>
      <c r="AS1233" s="44"/>
      <c r="AT1233" s="44"/>
      <c r="AU1233" s="44"/>
      <c r="AV1233" s="44"/>
      <c r="AW1233" s="44"/>
      <c r="AX1233" s="44"/>
      <c r="AY1233" s="44"/>
      <c r="AZ1233" s="44"/>
      <c r="BA1233" s="44"/>
      <c r="BB1233" s="44"/>
      <c r="BC1233" s="44"/>
      <c r="BD1233" s="44"/>
      <c r="BE1233" s="44"/>
      <c r="BF1233" s="44"/>
      <c r="BG1233" s="44"/>
      <c r="BH1233" s="44"/>
      <c r="BI1233" s="44"/>
    </row>
    <row r="1234" spans="1:61" ht="24.95" customHeight="1">
      <c r="A1234" s="1028" t="s">
        <v>643</v>
      </c>
      <c r="B1234" s="564" t="s">
        <v>89</v>
      </c>
      <c r="C1234" s="62"/>
      <c r="D1234" s="62"/>
      <c r="E1234" s="62"/>
      <c r="F1234" s="62"/>
      <c r="G1234" s="103">
        <f>K1234</f>
        <v>0</v>
      </c>
      <c r="H1234" s="103"/>
      <c r="I1234" s="103"/>
      <c r="J1234" s="103"/>
      <c r="K1234" s="103"/>
      <c r="L1234" s="103"/>
      <c r="M1234" s="679"/>
      <c r="N1234" s="564"/>
      <c r="O1234" s="1030" t="s">
        <v>882</v>
      </c>
      <c r="AJ1234" s="44"/>
      <c r="AK1234" s="44"/>
      <c r="AL1234" s="44"/>
      <c r="AM1234" s="44"/>
      <c r="AN1234" s="44"/>
      <c r="AO1234" s="44"/>
      <c r="AP1234" s="44"/>
      <c r="AQ1234" s="44"/>
      <c r="AR1234" s="44"/>
      <c r="AS1234" s="44"/>
      <c r="AT1234" s="44"/>
      <c r="AU1234" s="44"/>
      <c r="AV1234" s="44"/>
      <c r="AW1234" s="44"/>
      <c r="AX1234" s="44"/>
      <c r="AY1234" s="44"/>
      <c r="AZ1234" s="44"/>
      <c r="BA1234" s="44"/>
      <c r="BB1234" s="44"/>
      <c r="BC1234" s="44"/>
      <c r="BD1234" s="44"/>
      <c r="BE1234" s="44"/>
      <c r="BF1234" s="44"/>
      <c r="BG1234" s="44"/>
      <c r="BH1234" s="44"/>
      <c r="BI1234" s="44"/>
    </row>
    <row r="1235" spans="1:61" ht="24.95" customHeight="1">
      <c r="A1235" s="1036"/>
      <c r="B1235" s="564" t="s">
        <v>25</v>
      </c>
      <c r="C1235" s="62"/>
      <c r="D1235" s="62"/>
      <c r="E1235" s="62"/>
      <c r="F1235" s="62"/>
      <c r="G1235" s="103">
        <f t="shared" ref="G1235:G1237" si="403">K1235</f>
        <v>4397.2</v>
      </c>
      <c r="H1235" s="103"/>
      <c r="I1235" s="103"/>
      <c r="J1235" s="103"/>
      <c r="K1235" s="103">
        <f>K1236+K1237</f>
        <v>4397.2</v>
      </c>
      <c r="L1235" s="103">
        <f t="shared" ref="L1235:M1235" si="404">L1236+L1237</f>
        <v>0</v>
      </c>
      <c r="M1235" s="679">
        <f t="shared" si="404"/>
        <v>30000</v>
      </c>
      <c r="N1235" s="564"/>
      <c r="O1235" s="1032"/>
      <c r="AJ1235" s="44"/>
      <c r="AK1235" s="44"/>
      <c r="AL1235" s="44"/>
      <c r="AM1235" s="44"/>
      <c r="AN1235" s="44"/>
      <c r="AO1235" s="44"/>
      <c r="AP1235" s="44"/>
      <c r="AQ1235" s="44"/>
      <c r="AR1235" s="44"/>
      <c r="AS1235" s="44"/>
      <c r="AT1235" s="44"/>
      <c r="AU1235" s="44"/>
      <c r="AV1235" s="44"/>
      <c r="AW1235" s="44"/>
      <c r="AX1235" s="44"/>
      <c r="AY1235" s="44"/>
      <c r="AZ1235" s="44"/>
      <c r="BA1235" s="44"/>
      <c r="BB1235" s="44"/>
      <c r="BC1235" s="44"/>
      <c r="BD1235" s="44"/>
      <c r="BE1235" s="44"/>
      <c r="BF1235" s="44"/>
      <c r="BG1235" s="44"/>
      <c r="BH1235" s="44"/>
      <c r="BI1235" s="44"/>
    </row>
    <row r="1236" spans="1:61" ht="24.95" customHeight="1">
      <c r="A1236" s="1036"/>
      <c r="B1236" s="564" t="s">
        <v>10</v>
      </c>
      <c r="C1236" s="62"/>
      <c r="D1236" s="62"/>
      <c r="E1236" s="62"/>
      <c r="F1236" s="62"/>
      <c r="G1236" s="103">
        <f t="shared" si="403"/>
        <v>4397.2</v>
      </c>
      <c r="H1236" s="103"/>
      <c r="I1236" s="103"/>
      <c r="J1236" s="103"/>
      <c r="K1236" s="103">
        <v>4397.2</v>
      </c>
      <c r="L1236" s="103"/>
      <c r="M1236" s="679">
        <v>30000</v>
      </c>
      <c r="N1236" s="564"/>
      <c r="O1236" s="1032"/>
      <c r="AZ1236" s="44"/>
      <c r="BA1236" s="44"/>
      <c r="BB1236" s="44"/>
      <c r="BC1236" s="44"/>
      <c r="BD1236" s="44"/>
      <c r="BE1236" s="44"/>
      <c r="BF1236" s="44"/>
      <c r="BG1236" s="44"/>
      <c r="BH1236" s="44"/>
      <c r="BI1236" s="44"/>
    </row>
    <row r="1237" spans="1:61" ht="24.95" customHeight="1">
      <c r="A1237" s="1029"/>
      <c r="B1237" s="564" t="s">
        <v>502</v>
      </c>
      <c r="C1237" s="62"/>
      <c r="D1237" s="62"/>
      <c r="E1237" s="62"/>
      <c r="F1237" s="62"/>
      <c r="G1237" s="103">
        <f t="shared" si="403"/>
        <v>0</v>
      </c>
      <c r="H1237" s="103"/>
      <c r="I1237" s="103"/>
      <c r="J1237" s="103"/>
      <c r="K1237" s="103"/>
      <c r="L1237" s="103"/>
      <c r="M1237" s="679"/>
      <c r="N1237" s="564"/>
      <c r="O1237" s="1031"/>
      <c r="AZ1237" s="44"/>
      <c r="BA1237" s="44"/>
      <c r="BB1237" s="44"/>
      <c r="BC1237" s="44"/>
      <c r="BD1237" s="44"/>
      <c r="BE1237" s="44"/>
      <c r="BF1237" s="44"/>
      <c r="BG1237" s="44"/>
      <c r="BH1237" s="44"/>
      <c r="BI1237" s="44"/>
    </row>
    <row r="1238" spans="1:61" ht="24.95" customHeight="1">
      <c r="A1238" s="1028" t="s">
        <v>259</v>
      </c>
      <c r="B1238" s="564" t="s">
        <v>89</v>
      </c>
      <c r="C1238" s="62"/>
      <c r="D1238" s="62"/>
      <c r="E1238" s="62"/>
      <c r="F1238" s="62"/>
      <c r="G1238" s="103">
        <f>K1238</f>
        <v>1.8</v>
      </c>
      <c r="H1238" s="103"/>
      <c r="I1238" s="103"/>
      <c r="J1238" s="103"/>
      <c r="K1238" s="103">
        <v>1.8</v>
      </c>
      <c r="L1238" s="103"/>
      <c r="M1238" s="679"/>
      <c r="N1238" s="564"/>
      <c r="O1238" s="1030" t="s">
        <v>1122</v>
      </c>
      <c r="AZ1238" s="44"/>
      <c r="BA1238" s="44"/>
      <c r="BB1238" s="44"/>
      <c r="BC1238" s="44"/>
      <c r="BD1238" s="44"/>
      <c r="BE1238" s="44"/>
      <c r="BF1238" s="44"/>
      <c r="BG1238" s="44"/>
      <c r="BH1238" s="44"/>
      <c r="BI1238" s="44"/>
    </row>
    <row r="1239" spans="1:61" ht="24.95" customHeight="1">
      <c r="A1239" s="1036"/>
      <c r="B1239" s="564" t="s">
        <v>25</v>
      </c>
      <c r="C1239" s="62"/>
      <c r="D1239" s="62"/>
      <c r="E1239" s="62"/>
      <c r="F1239" s="62"/>
      <c r="G1239" s="103">
        <f t="shared" ref="G1239:G1241" si="405">K1239</f>
        <v>20868.8</v>
      </c>
      <c r="H1239" s="103"/>
      <c r="I1239" s="103"/>
      <c r="J1239" s="103"/>
      <c r="K1239" s="103">
        <f>K1240+K1241</f>
        <v>20868.8</v>
      </c>
      <c r="L1239" s="103">
        <f t="shared" ref="L1239:M1239" si="406">L1240+L1241</f>
        <v>0</v>
      </c>
      <c r="M1239" s="679">
        <f t="shared" si="406"/>
        <v>0</v>
      </c>
      <c r="N1239" s="564"/>
      <c r="O1239" s="1032"/>
      <c r="AZ1239" s="44"/>
      <c r="BA1239" s="44"/>
      <c r="BB1239" s="44"/>
      <c r="BC1239" s="44"/>
      <c r="BD1239" s="44"/>
      <c r="BE1239" s="44"/>
      <c r="BF1239" s="44"/>
      <c r="BG1239" s="44"/>
      <c r="BH1239" s="44"/>
      <c r="BI1239" s="44"/>
    </row>
    <row r="1240" spans="1:61" ht="24.95" customHeight="1">
      <c r="A1240" s="1036"/>
      <c r="B1240" s="564" t="s">
        <v>10</v>
      </c>
      <c r="C1240" s="62"/>
      <c r="D1240" s="62"/>
      <c r="E1240" s="62"/>
      <c r="F1240" s="62"/>
      <c r="G1240" s="103">
        <f t="shared" si="405"/>
        <v>20868.8</v>
      </c>
      <c r="H1240" s="103"/>
      <c r="I1240" s="103"/>
      <c r="J1240" s="103"/>
      <c r="K1240" s="103">
        <v>20868.8</v>
      </c>
      <c r="L1240" s="103"/>
      <c r="M1240" s="679"/>
      <c r="N1240" s="564"/>
      <c r="O1240" s="1032"/>
      <c r="AZ1240" s="44"/>
      <c r="BA1240" s="44"/>
      <c r="BB1240" s="44"/>
      <c r="BC1240" s="44"/>
      <c r="BD1240" s="44"/>
      <c r="BE1240" s="44"/>
      <c r="BF1240" s="44"/>
      <c r="BG1240" s="44"/>
      <c r="BH1240" s="44"/>
      <c r="BI1240" s="44"/>
    </row>
    <row r="1241" spans="1:61" ht="24.95" customHeight="1">
      <c r="A1241" s="1029"/>
      <c r="B1241" s="564" t="s">
        <v>502</v>
      </c>
      <c r="C1241" s="62"/>
      <c r="D1241" s="62"/>
      <c r="E1241" s="62"/>
      <c r="F1241" s="62"/>
      <c r="G1241" s="103">
        <f t="shared" si="405"/>
        <v>0</v>
      </c>
      <c r="H1241" s="103"/>
      <c r="I1241" s="103"/>
      <c r="J1241" s="103"/>
      <c r="K1241" s="103"/>
      <c r="L1241" s="103"/>
      <c r="M1241" s="679"/>
      <c r="N1241" s="564"/>
      <c r="O1241" s="1031"/>
      <c r="AZ1241" s="44"/>
      <c r="BA1241" s="44"/>
      <c r="BB1241" s="44"/>
      <c r="BC1241" s="44"/>
      <c r="BD1241" s="44"/>
      <c r="BE1241" s="44"/>
      <c r="BF1241" s="44"/>
      <c r="BG1241" s="44"/>
      <c r="BH1241" s="44"/>
      <c r="BI1241" s="44"/>
    </row>
    <row r="1242" spans="1:61" ht="20.25" customHeight="1">
      <c r="A1242" s="1055" t="s">
        <v>540</v>
      </c>
      <c r="B1242" s="564" t="s">
        <v>89</v>
      </c>
      <c r="C1242" s="564">
        <v>176</v>
      </c>
      <c r="D1242" s="564" t="s">
        <v>15</v>
      </c>
      <c r="E1242" s="564">
        <v>6100404</v>
      </c>
      <c r="F1242" s="564">
        <v>244</v>
      </c>
      <c r="G1242" s="103">
        <f>K1242</f>
        <v>1.4</v>
      </c>
      <c r="H1242" s="103"/>
      <c r="I1242" s="103"/>
      <c r="J1242" s="103"/>
      <c r="K1242" s="103">
        <v>1.4</v>
      </c>
      <c r="L1242" s="103"/>
      <c r="M1242" s="679"/>
      <c r="N1242" s="564"/>
      <c r="O1242" s="1037" t="s">
        <v>1045</v>
      </c>
      <c r="AZ1242" s="44"/>
      <c r="BA1242" s="44"/>
      <c r="BB1242" s="44"/>
      <c r="BC1242" s="44"/>
      <c r="BD1242" s="44"/>
      <c r="BE1242" s="44"/>
      <c r="BF1242" s="44"/>
      <c r="BG1242" s="44"/>
      <c r="BH1242" s="44"/>
      <c r="BI1242" s="44"/>
    </row>
    <row r="1243" spans="1:61" ht="27" customHeight="1">
      <c r="A1243" s="1055"/>
      <c r="B1243" s="564" t="s">
        <v>248</v>
      </c>
      <c r="C1243" s="564"/>
      <c r="D1243" s="564"/>
      <c r="E1243" s="564"/>
      <c r="F1243" s="564"/>
      <c r="G1243" s="103">
        <f>K1243</f>
        <v>20000</v>
      </c>
      <c r="H1243" s="103"/>
      <c r="I1243" s="103"/>
      <c r="J1243" s="103"/>
      <c r="K1243" s="103">
        <v>20000</v>
      </c>
      <c r="L1243" s="103"/>
      <c r="M1243" s="679">
        <v>15000</v>
      </c>
      <c r="N1243" s="564"/>
      <c r="O1243" s="1037"/>
      <c r="AZ1243" s="44"/>
      <c r="BA1243" s="44"/>
      <c r="BB1243" s="44"/>
      <c r="BC1243" s="44"/>
      <c r="BD1243" s="44"/>
      <c r="BE1243" s="44"/>
      <c r="BF1243" s="44"/>
      <c r="BG1243" s="44"/>
      <c r="BH1243" s="44"/>
      <c r="BI1243" s="44"/>
    </row>
    <row r="1244" spans="1:61" ht="22.9" customHeight="1">
      <c r="A1244" s="1055" t="s">
        <v>879</v>
      </c>
      <c r="B1244" s="564" t="s">
        <v>89</v>
      </c>
      <c r="C1244" s="564">
        <v>176</v>
      </c>
      <c r="D1244" s="564" t="s">
        <v>15</v>
      </c>
      <c r="E1244" s="564">
        <v>6100404</v>
      </c>
      <c r="F1244" s="564">
        <v>244</v>
      </c>
      <c r="G1244" s="103">
        <f>K1244</f>
        <v>1.4</v>
      </c>
      <c r="H1244" s="103"/>
      <c r="I1244" s="103"/>
      <c r="J1244" s="103"/>
      <c r="K1244" s="103">
        <v>1.4</v>
      </c>
      <c r="L1244" s="103"/>
      <c r="M1244" s="679">
        <v>1</v>
      </c>
      <c r="N1244" s="564"/>
      <c r="O1244" s="1037" t="s">
        <v>1081</v>
      </c>
      <c r="AZ1244" s="44"/>
      <c r="BA1244" s="44"/>
      <c r="BB1244" s="44"/>
      <c r="BC1244" s="44"/>
      <c r="BD1244" s="44"/>
      <c r="BE1244" s="44"/>
      <c r="BF1244" s="44"/>
      <c r="BG1244" s="44"/>
      <c r="BH1244" s="44"/>
      <c r="BI1244" s="44"/>
    </row>
    <row r="1245" spans="1:61" ht="24.6" customHeight="1">
      <c r="A1245" s="1055"/>
      <c r="B1245" s="564" t="s">
        <v>248</v>
      </c>
      <c r="C1245" s="564"/>
      <c r="D1245" s="564"/>
      <c r="E1245" s="564"/>
      <c r="F1245" s="564"/>
      <c r="G1245" s="103">
        <f>K1245</f>
        <v>16541.400000000001</v>
      </c>
      <c r="H1245" s="103"/>
      <c r="I1245" s="103"/>
      <c r="J1245" s="103"/>
      <c r="K1245" s="103">
        <v>16541.400000000001</v>
      </c>
      <c r="L1245" s="103"/>
      <c r="M1245" s="679">
        <v>14310.2</v>
      </c>
      <c r="N1245" s="564"/>
      <c r="O1245" s="1037"/>
      <c r="AZ1245" s="44"/>
      <c r="BA1245" s="44"/>
      <c r="BB1245" s="44"/>
      <c r="BC1245" s="44"/>
      <c r="BD1245" s="44"/>
      <c r="BE1245" s="44"/>
      <c r="BF1245" s="44"/>
      <c r="BG1245" s="44"/>
      <c r="BH1245" s="44"/>
      <c r="BI1245" s="44"/>
    </row>
    <row r="1246" spans="1:61" ht="24.6" customHeight="1">
      <c r="A1246" s="1062" t="s">
        <v>138</v>
      </c>
      <c r="B1246" s="62" t="s">
        <v>89</v>
      </c>
      <c r="C1246" s="564"/>
      <c r="D1246" s="564"/>
      <c r="E1246" s="564"/>
      <c r="F1246" s="564"/>
      <c r="G1246" s="102">
        <f>G1250+G1252</f>
        <v>1.7</v>
      </c>
      <c r="H1246" s="102">
        <f t="shared" ref="H1246:M1246" si="407">H1250+H1252</f>
        <v>0</v>
      </c>
      <c r="I1246" s="102">
        <f t="shared" si="407"/>
        <v>0</v>
      </c>
      <c r="J1246" s="102">
        <f t="shared" si="407"/>
        <v>0</v>
      </c>
      <c r="K1246" s="102">
        <f t="shared" si="407"/>
        <v>1.7</v>
      </c>
      <c r="L1246" s="102">
        <f t="shared" si="407"/>
        <v>0</v>
      </c>
      <c r="M1246" s="499">
        <f t="shared" si="407"/>
        <v>1.2</v>
      </c>
      <c r="N1246" s="564"/>
      <c r="O1246" s="564"/>
      <c r="AZ1246" s="44"/>
      <c r="BA1246" s="44"/>
      <c r="BB1246" s="44"/>
      <c r="BC1246" s="44"/>
      <c r="BD1246" s="44"/>
      <c r="BE1246" s="44"/>
      <c r="BF1246" s="44"/>
      <c r="BG1246" s="44"/>
      <c r="BH1246" s="44"/>
      <c r="BI1246" s="44"/>
    </row>
    <row r="1247" spans="1:61" ht="24.6" customHeight="1">
      <c r="A1247" s="1063"/>
      <c r="B1247" s="373" t="s">
        <v>248</v>
      </c>
      <c r="C1247" s="561"/>
      <c r="D1247" s="561"/>
      <c r="E1247" s="561"/>
      <c r="F1247" s="561"/>
      <c r="G1247" s="290">
        <f>G1251+G1253+G1249</f>
        <v>25192.899999999998</v>
      </c>
      <c r="H1247" s="290">
        <f t="shared" ref="H1247:M1247" si="408">H1251+H1253+H1249</f>
        <v>0</v>
      </c>
      <c r="I1247" s="290">
        <f t="shared" si="408"/>
        <v>0</v>
      </c>
      <c r="J1247" s="290">
        <f t="shared" si="408"/>
        <v>0</v>
      </c>
      <c r="K1247" s="290">
        <f t="shared" si="408"/>
        <v>25192.899999999998</v>
      </c>
      <c r="L1247" s="290">
        <f t="shared" si="408"/>
        <v>5027</v>
      </c>
      <c r="M1247" s="290">
        <f t="shared" si="408"/>
        <v>107435.3</v>
      </c>
      <c r="N1247" s="561"/>
      <c r="O1247" s="564"/>
      <c r="P1247" s="295"/>
      <c r="Q1247" s="295"/>
      <c r="R1247" s="295"/>
      <c r="S1247" s="295"/>
      <c r="T1247" s="295"/>
      <c r="U1247" s="295"/>
      <c r="V1247" s="295"/>
      <c r="W1247" s="295"/>
      <c r="X1247" s="295"/>
      <c r="Y1247" s="295"/>
      <c r="Z1247" s="295"/>
      <c r="AA1247" s="295"/>
      <c r="AB1247" s="295"/>
      <c r="AC1247" s="295"/>
      <c r="AD1247" s="295"/>
      <c r="AE1247" s="295"/>
      <c r="AF1247" s="295"/>
      <c r="AG1247" s="295"/>
      <c r="AH1247" s="295"/>
      <c r="AI1247" s="295"/>
      <c r="AZ1247" s="44"/>
      <c r="BA1247" s="44"/>
      <c r="BB1247" s="44"/>
      <c r="BC1247" s="44"/>
      <c r="BD1247" s="44"/>
      <c r="BE1247" s="44"/>
      <c r="BF1247" s="44"/>
      <c r="BG1247" s="44"/>
      <c r="BH1247" s="44"/>
      <c r="BI1247" s="44"/>
    </row>
    <row r="1248" spans="1:61" s="55" customFormat="1" ht="24.6" customHeight="1">
      <c r="A1248" s="1057" t="s">
        <v>645</v>
      </c>
      <c r="B1248" s="791" t="s">
        <v>89</v>
      </c>
      <c r="C1248" s="791"/>
      <c r="D1248" s="791"/>
      <c r="E1248" s="791"/>
      <c r="F1248" s="791"/>
      <c r="G1248" s="103">
        <f t="shared" ref="G1248:G1253" si="409">K1248</f>
        <v>0</v>
      </c>
      <c r="H1248" s="103"/>
      <c r="I1248" s="103"/>
      <c r="J1248" s="103"/>
      <c r="K1248" s="103">
        <v>0</v>
      </c>
      <c r="L1248" s="103"/>
      <c r="M1248" s="679"/>
      <c r="N1248" s="791"/>
      <c r="O1248" s="1030" t="s">
        <v>882</v>
      </c>
      <c r="P1248" s="295"/>
      <c r="Q1248" s="295"/>
      <c r="R1248" s="295"/>
      <c r="S1248" s="295"/>
      <c r="T1248" s="295"/>
      <c r="U1248" s="295"/>
      <c r="V1248" s="295"/>
      <c r="W1248" s="295"/>
      <c r="X1248" s="295"/>
      <c r="Y1248" s="295"/>
      <c r="Z1248" s="295"/>
      <c r="AA1248" s="295"/>
      <c r="AB1248" s="295"/>
      <c r="AC1248" s="295"/>
      <c r="AD1248" s="295"/>
      <c r="AE1248" s="295"/>
      <c r="AF1248" s="295"/>
      <c r="AG1248" s="295"/>
      <c r="AH1248" s="295"/>
      <c r="AI1248" s="295"/>
      <c r="AJ1248" s="295"/>
      <c r="AK1248" s="295"/>
      <c r="AL1248" s="295"/>
      <c r="AM1248" s="295"/>
      <c r="AN1248" s="295"/>
      <c r="AO1248" s="295"/>
      <c r="AP1248" s="295"/>
      <c r="AQ1248" s="295"/>
      <c r="AR1248" s="295"/>
      <c r="AS1248" s="295"/>
      <c r="AT1248" s="295"/>
      <c r="AU1248" s="295"/>
      <c r="AV1248" s="295"/>
      <c r="AW1248" s="295"/>
      <c r="AX1248" s="295"/>
      <c r="AY1248" s="294"/>
    </row>
    <row r="1249" spans="1:61" s="55" customFormat="1" ht="24.6" customHeight="1">
      <c r="A1249" s="1058"/>
      <c r="B1249" s="791" t="s">
        <v>248</v>
      </c>
      <c r="C1249" s="791"/>
      <c r="D1249" s="791"/>
      <c r="E1249" s="791"/>
      <c r="F1249" s="791"/>
      <c r="G1249" s="103">
        <f t="shared" si="409"/>
        <v>3930.3</v>
      </c>
      <c r="H1249" s="103"/>
      <c r="I1249" s="103"/>
      <c r="J1249" s="103"/>
      <c r="K1249" s="103">
        <v>3930.3</v>
      </c>
      <c r="L1249" s="103"/>
      <c r="M1249" s="679">
        <v>90000</v>
      </c>
      <c r="N1249" s="791"/>
      <c r="O1249" s="1031"/>
      <c r="P1249" s="295"/>
      <c r="Q1249" s="295"/>
      <c r="R1249" s="295"/>
      <c r="S1249" s="295"/>
      <c r="T1249" s="295"/>
      <c r="U1249" s="295"/>
      <c r="V1249" s="295"/>
      <c r="W1249" s="295"/>
      <c r="X1249" s="295"/>
      <c r="Y1249" s="295"/>
      <c r="Z1249" s="295"/>
      <c r="AA1249" s="295"/>
      <c r="AB1249" s="295"/>
      <c r="AC1249" s="295"/>
      <c r="AD1249" s="295"/>
      <c r="AE1249" s="295"/>
      <c r="AF1249" s="295"/>
      <c r="AG1249" s="295"/>
      <c r="AH1249" s="295"/>
      <c r="AI1249" s="295"/>
      <c r="AJ1249" s="295"/>
      <c r="AK1249" s="295"/>
      <c r="AL1249" s="295"/>
      <c r="AM1249" s="295"/>
      <c r="AN1249" s="295"/>
      <c r="AO1249" s="295"/>
      <c r="AP1249" s="295"/>
      <c r="AQ1249" s="295"/>
      <c r="AR1249" s="295"/>
      <c r="AS1249" s="295"/>
      <c r="AT1249" s="295"/>
      <c r="AU1249" s="295"/>
      <c r="AV1249" s="295"/>
      <c r="AW1249" s="295"/>
      <c r="AX1249" s="295"/>
      <c r="AY1249" s="294"/>
    </row>
    <row r="1250" spans="1:61" s="55" customFormat="1" ht="24.6" customHeight="1">
      <c r="A1250" s="1057" t="s">
        <v>646</v>
      </c>
      <c r="B1250" s="791" t="s">
        <v>89</v>
      </c>
      <c r="C1250" s="791"/>
      <c r="D1250" s="791"/>
      <c r="E1250" s="791"/>
      <c r="F1250" s="791"/>
      <c r="G1250" s="103">
        <f t="shared" si="409"/>
        <v>0</v>
      </c>
      <c r="H1250" s="103"/>
      <c r="I1250" s="103"/>
      <c r="J1250" s="103"/>
      <c r="K1250" s="103"/>
      <c r="L1250" s="103"/>
      <c r="M1250" s="679"/>
      <c r="N1250" s="791"/>
      <c r="O1250" s="1030" t="s">
        <v>882</v>
      </c>
      <c r="P1250" s="295"/>
      <c r="Q1250" s="295"/>
      <c r="R1250" s="295"/>
      <c r="S1250" s="295"/>
      <c r="T1250" s="295"/>
      <c r="U1250" s="295"/>
      <c r="V1250" s="295"/>
      <c r="W1250" s="295"/>
      <c r="X1250" s="295"/>
      <c r="Y1250" s="295"/>
      <c r="Z1250" s="295"/>
      <c r="AA1250" s="295"/>
      <c r="AB1250" s="295"/>
      <c r="AC1250" s="295"/>
      <c r="AD1250" s="295"/>
      <c r="AE1250" s="295"/>
      <c r="AF1250" s="295"/>
      <c r="AG1250" s="295"/>
      <c r="AH1250" s="295"/>
      <c r="AI1250" s="295"/>
      <c r="AJ1250" s="295"/>
      <c r="AK1250" s="295"/>
      <c r="AL1250" s="295"/>
      <c r="AM1250" s="295"/>
      <c r="AN1250" s="295"/>
      <c r="AO1250" s="295"/>
      <c r="AP1250" s="295"/>
      <c r="AQ1250" s="295"/>
      <c r="AR1250" s="295"/>
      <c r="AS1250" s="295"/>
      <c r="AT1250" s="295"/>
      <c r="AU1250" s="295"/>
      <c r="AV1250" s="295"/>
      <c r="AW1250" s="295"/>
      <c r="AX1250" s="295"/>
      <c r="AY1250" s="294"/>
    </row>
    <row r="1251" spans="1:61" s="55" customFormat="1" ht="24.6" customHeight="1">
      <c r="A1251" s="1058"/>
      <c r="B1251" s="791" t="s">
        <v>248</v>
      </c>
      <c r="C1251" s="791"/>
      <c r="D1251" s="791"/>
      <c r="E1251" s="791"/>
      <c r="F1251" s="791"/>
      <c r="G1251" s="103">
        <f t="shared" si="409"/>
        <v>1000</v>
      </c>
      <c r="H1251" s="103"/>
      <c r="I1251" s="103"/>
      <c r="J1251" s="103"/>
      <c r="K1251" s="103">
        <v>1000</v>
      </c>
      <c r="L1251" s="103"/>
      <c r="M1251" s="679"/>
      <c r="N1251" s="791"/>
      <c r="O1251" s="1031"/>
      <c r="P1251" s="295"/>
      <c r="Q1251" s="295"/>
      <c r="R1251" s="295"/>
      <c r="S1251" s="295"/>
      <c r="T1251" s="295"/>
      <c r="U1251" s="295"/>
      <c r="V1251" s="295"/>
      <c r="W1251" s="295"/>
      <c r="X1251" s="295"/>
      <c r="Y1251" s="295"/>
      <c r="Z1251" s="295"/>
      <c r="AA1251" s="295"/>
      <c r="AB1251" s="295"/>
      <c r="AC1251" s="295"/>
      <c r="AD1251" s="295"/>
      <c r="AE1251" s="295"/>
      <c r="AF1251" s="295"/>
      <c r="AG1251" s="295"/>
      <c r="AH1251" s="295"/>
      <c r="AI1251" s="295"/>
      <c r="AJ1251" s="295"/>
      <c r="AK1251" s="295"/>
      <c r="AL1251" s="295"/>
      <c r="AM1251" s="295"/>
      <c r="AN1251" s="295"/>
      <c r="AO1251" s="295"/>
      <c r="AP1251" s="295"/>
      <c r="AQ1251" s="295"/>
      <c r="AR1251" s="295"/>
      <c r="AS1251" s="295"/>
      <c r="AT1251" s="295"/>
      <c r="AU1251" s="295"/>
      <c r="AV1251" s="295"/>
      <c r="AW1251" s="295"/>
      <c r="AX1251" s="295"/>
      <c r="AY1251" s="294"/>
    </row>
    <row r="1252" spans="1:61" s="55" customFormat="1" ht="24.6" customHeight="1">
      <c r="A1252" s="1057" t="s">
        <v>879</v>
      </c>
      <c r="B1252" s="564" t="s">
        <v>89</v>
      </c>
      <c r="C1252" s="564"/>
      <c r="D1252" s="564"/>
      <c r="E1252" s="564"/>
      <c r="F1252" s="564"/>
      <c r="G1252" s="103">
        <f t="shared" si="409"/>
        <v>1.7</v>
      </c>
      <c r="H1252" s="103"/>
      <c r="I1252" s="103"/>
      <c r="J1252" s="103"/>
      <c r="K1252" s="103">
        <v>1.7</v>
      </c>
      <c r="L1252" s="103"/>
      <c r="M1252" s="679">
        <v>1.2</v>
      </c>
      <c r="N1252" s="564"/>
      <c r="O1252" s="1037" t="s">
        <v>1082</v>
      </c>
      <c r="P1252" s="295"/>
      <c r="Q1252" s="295"/>
      <c r="R1252" s="295"/>
      <c r="S1252" s="295"/>
      <c r="T1252" s="295"/>
      <c r="U1252" s="295"/>
      <c r="V1252" s="295"/>
      <c r="W1252" s="295"/>
      <c r="X1252" s="295"/>
      <c r="Y1252" s="295"/>
      <c r="Z1252" s="295"/>
      <c r="AA1252" s="295"/>
      <c r="AB1252" s="295"/>
      <c r="AC1252" s="295"/>
      <c r="AD1252" s="295"/>
      <c r="AE1252" s="295"/>
      <c r="AF1252" s="295"/>
      <c r="AG1252" s="295"/>
      <c r="AH1252" s="295"/>
      <c r="AI1252" s="295"/>
      <c r="AJ1252" s="295"/>
      <c r="AK1252" s="295"/>
      <c r="AL1252" s="295"/>
      <c r="AM1252" s="295"/>
      <c r="AN1252" s="295"/>
      <c r="AO1252" s="295"/>
      <c r="AP1252" s="295"/>
      <c r="AQ1252" s="295"/>
      <c r="AR1252" s="295"/>
      <c r="AS1252" s="295"/>
      <c r="AT1252" s="295"/>
      <c r="AU1252" s="295"/>
      <c r="AV1252" s="295"/>
      <c r="AW1252" s="295"/>
      <c r="AX1252" s="295"/>
      <c r="AY1252" s="294"/>
    </row>
    <row r="1253" spans="1:61" s="55" customFormat="1" ht="27.75" customHeight="1">
      <c r="A1253" s="1058"/>
      <c r="B1253" s="564" t="s">
        <v>248</v>
      </c>
      <c r="C1253" s="62"/>
      <c r="D1253" s="62"/>
      <c r="E1253" s="62"/>
      <c r="F1253" s="62"/>
      <c r="G1253" s="103">
        <f t="shared" si="409"/>
        <v>20262.599999999999</v>
      </c>
      <c r="H1253" s="103"/>
      <c r="I1253" s="103"/>
      <c r="J1253" s="103"/>
      <c r="K1253" s="103">
        <v>20262.599999999999</v>
      </c>
      <c r="L1253" s="103">
        <f>21000+3024-21000+2003</f>
        <v>5027</v>
      </c>
      <c r="M1253" s="679">
        <v>17435.3</v>
      </c>
      <c r="N1253" s="564"/>
      <c r="O1253" s="1037"/>
      <c r="P1253" s="295"/>
      <c r="Q1253" s="295"/>
      <c r="R1253" s="295"/>
      <c r="S1253" s="295"/>
      <c r="T1253" s="295"/>
      <c r="U1253" s="295"/>
      <c r="V1253" s="295"/>
      <c r="W1253" s="295"/>
      <c r="X1253" s="295"/>
      <c r="Y1253" s="295"/>
      <c r="Z1253" s="295"/>
      <c r="AA1253" s="295"/>
      <c r="AB1253" s="295"/>
      <c r="AC1253" s="295"/>
      <c r="AD1253" s="295"/>
      <c r="AE1253" s="295"/>
      <c r="AF1253" s="295"/>
      <c r="AG1253" s="295"/>
      <c r="AH1253" s="295"/>
      <c r="AI1253" s="295"/>
      <c r="AJ1253" s="295"/>
      <c r="AK1253" s="295"/>
      <c r="AL1253" s="295"/>
      <c r="AM1253" s="295"/>
      <c r="AN1253" s="295"/>
      <c r="AO1253" s="295"/>
      <c r="AP1253" s="295"/>
      <c r="AQ1253" s="295"/>
      <c r="AR1253" s="295"/>
      <c r="AS1253" s="295"/>
      <c r="AT1253" s="295"/>
      <c r="AU1253" s="295"/>
      <c r="AV1253" s="295"/>
      <c r="AW1253" s="295"/>
      <c r="AX1253" s="295"/>
      <c r="AY1253" s="294"/>
    </row>
    <row r="1254" spans="1:61" ht="27" customHeight="1">
      <c r="A1254" s="1062" t="s">
        <v>819</v>
      </c>
      <c r="B1254" s="62" t="s">
        <v>89</v>
      </c>
      <c r="C1254" s="100"/>
      <c r="D1254" s="100"/>
      <c r="E1254" s="100"/>
      <c r="F1254" s="100"/>
      <c r="G1254" s="108">
        <f>G1258+G1262</f>
        <v>1.3</v>
      </c>
      <c r="H1254" s="108">
        <f t="shared" ref="H1254:M1254" si="410">H1258+H1262</f>
        <v>0</v>
      </c>
      <c r="I1254" s="108">
        <f t="shared" si="410"/>
        <v>0</v>
      </c>
      <c r="J1254" s="108">
        <f t="shared" si="410"/>
        <v>0</v>
      </c>
      <c r="K1254" s="108">
        <f t="shared" si="410"/>
        <v>1.3</v>
      </c>
      <c r="L1254" s="108">
        <f t="shared" si="410"/>
        <v>0</v>
      </c>
      <c r="M1254" s="108">
        <f t="shared" si="410"/>
        <v>1</v>
      </c>
      <c r="N1254" s="562"/>
      <c r="O1254" s="100"/>
    </row>
    <row r="1255" spans="1:61" ht="27" customHeight="1">
      <c r="A1255" s="1063"/>
      <c r="B1255" s="62" t="s">
        <v>25</v>
      </c>
      <c r="C1255" s="100"/>
      <c r="D1255" s="100"/>
      <c r="E1255" s="100"/>
      <c r="F1255" s="100"/>
      <c r="G1255" s="108">
        <f>G1256+G1257</f>
        <v>15681</v>
      </c>
      <c r="H1255" s="108">
        <f t="shared" ref="H1255:M1255" si="411">H1256+H1257</f>
        <v>0</v>
      </c>
      <c r="I1255" s="108">
        <f t="shared" si="411"/>
        <v>0</v>
      </c>
      <c r="J1255" s="108">
        <f t="shared" si="411"/>
        <v>0</v>
      </c>
      <c r="K1255" s="108">
        <f t="shared" si="411"/>
        <v>15681</v>
      </c>
      <c r="L1255" s="108">
        <f t="shared" si="411"/>
        <v>0</v>
      </c>
      <c r="M1255" s="683">
        <f t="shared" si="411"/>
        <v>43588.3</v>
      </c>
      <c r="N1255" s="562"/>
      <c r="O1255" s="100"/>
    </row>
    <row r="1256" spans="1:61" ht="27" customHeight="1">
      <c r="A1256" s="1063"/>
      <c r="B1256" s="62" t="s">
        <v>10</v>
      </c>
      <c r="C1256" s="100"/>
      <c r="D1256" s="100"/>
      <c r="E1256" s="100"/>
      <c r="F1256" s="100"/>
      <c r="G1256" s="108">
        <f>G1260+G1263</f>
        <v>15681</v>
      </c>
      <c r="H1256" s="108">
        <f t="shared" ref="H1256:M1256" si="412">H1260+H1263</f>
        <v>0</v>
      </c>
      <c r="I1256" s="108">
        <f t="shared" si="412"/>
        <v>0</v>
      </c>
      <c r="J1256" s="108">
        <f t="shared" si="412"/>
        <v>0</v>
      </c>
      <c r="K1256" s="108">
        <f t="shared" si="412"/>
        <v>15681</v>
      </c>
      <c r="L1256" s="108">
        <f t="shared" si="412"/>
        <v>0</v>
      </c>
      <c r="M1256" s="108">
        <f t="shared" si="412"/>
        <v>43588.3</v>
      </c>
      <c r="N1256" s="562"/>
      <c r="O1256" s="100"/>
    </row>
    <row r="1257" spans="1:61" s="45" customFormat="1" ht="27.6" customHeight="1">
      <c r="A1257" s="1064"/>
      <c r="B1257" s="62" t="s">
        <v>502</v>
      </c>
      <c r="C1257" s="62"/>
      <c r="D1257" s="62"/>
      <c r="E1257" s="62"/>
      <c r="F1257" s="62"/>
      <c r="G1257" s="102">
        <f>G1261</f>
        <v>0</v>
      </c>
      <c r="H1257" s="102">
        <f t="shared" ref="H1257:M1257" si="413">H1261</f>
        <v>0</v>
      </c>
      <c r="I1257" s="102">
        <f t="shared" si="413"/>
        <v>0</v>
      </c>
      <c r="J1257" s="102">
        <f t="shared" si="413"/>
        <v>0</v>
      </c>
      <c r="K1257" s="102">
        <f t="shared" si="413"/>
        <v>0</v>
      </c>
      <c r="L1257" s="102">
        <f t="shared" si="413"/>
        <v>0</v>
      </c>
      <c r="M1257" s="499">
        <f t="shared" si="413"/>
        <v>0</v>
      </c>
      <c r="N1257" s="564"/>
      <c r="O1257" s="62"/>
      <c r="AJ1257" s="113"/>
      <c r="AK1257" s="113"/>
      <c r="AL1257" s="113"/>
      <c r="AM1257" s="113"/>
      <c r="AN1257" s="113"/>
      <c r="AO1257" s="113"/>
      <c r="AP1257" s="113"/>
      <c r="AQ1257" s="113"/>
      <c r="AR1257" s="113"/>
      <c r="AS1257" s="113"/>
      <c r="AT1257" s="113"/>
      <c r="AU1257" s="113"/>
      <c r="AV1257" s="113"/>
      <c r="AW1257" s="113"/>
      <c r="AX1257" s="113"/>
      <c r="AY1257" s="113"/>
      <c r="AZ1257" s="113"/>
      <c r="BA1257" s="113"/>
      <c r="BB1257" s="113"/>
      <c r="BC1257" s="113"/>
      <c r="BD1257" s="113"/>
      <c r="BE1257" s="113"/>
      <c r="BF1257" s="113"/>
      <c r="BG1257" s="113"/>
      <c r="BH1257" s="113"/>
      <c r="BI1257" s="113"/>
    </row>
    <row r="1258" spans="1:61" s="45" customFormat="1" ht="24.6" customHeight="1">
      <c r="A1258" s="1039" t="s">
        <v>227</v>
      </c>
      <c r="B1258" s="564" t="s">
        <v>89</v>
      </c>
      <c r="C1258" s="564">
        <v>176</v>
      </c>
      <c r="D1258" s="564" t="s">
        <v>15</v>
      </c>
      <c r="E1258" s="564">
        <v>6100404</v>
      </c>
      <c r="F1258" s="564">
        <v>244</v>
      </c>
      <c r="G1258" s="103">
        <f>K1258</f>
        <v>0</v>
      </c>
      <c r="H1258" s="103"/>
      <c r="I1258" s="103"/>
      <c r="J1258" s="103"/>
      <c r="K1258" s="103"/>
      <c r="L1258" s="103"/>
      <c r="M1258" s="679"/>
      <c r="N1258" s="564"/>
      <c r="O1258" s="1037" t="s">
        <v>881</v>
      </c>
      <c r="AJ1258" s="113"/>
      <c r="AK1258" s="113"/>
      <c r="AL1258" s="113"/>
      <c r="AM1258" s="113"/>
      <c r="AN1258" s="113"/>
      <c r="AO1258" s="113"/>
      <c r="AP1258" s="113"/>
      <c r="AQ1258" s="113"/>
      <c r="AR1258" s="113"/>
      <c r="AS1258" s="113"/>
      <c r="AT1258" s="113"/>
      <c r="AU1258" s="113"/>
      <c r="AV1258" s="113"/>
      <c r="AW1258" s="113"/>
      <c r="AX1258" s="113"/>
      <c r="AY1258" s="113"/>
      <c r="AZ1258" s="113"/>
      <c r="BA1258" s="113"/>
      <c r="BB1258" s="113"/>
      <c r="BC1258" s="113"/>
      <c r="BD1258" s="113"/>
      <c r="BE1258" s="113"/>
      <c r="BF1258" s="113"/>
      <c r="BG1258" s="113"/>
      <c r="BH1258" s="113"/>
      <c r="BI1258" s="113"/>
    </row>
    <row r="1259" spans="1:61" s="45" customFormat="1" ht="24.6" customHeight="1">
      <c r="A1259" s="1039"/>
      <c r="B1259" s="564" t="s">
        <v>25</v>
      </c>
      <c r="C1259" s="564"/>
      <c r="D1259" s="564"/>
      <c r="E1259" s="564"/>
      <c r="F1259" s="564"/>
      <c r="G1259" s="103">
        <f t="shared" ref="G1259:G1261" si="414">K1259</f>
        <v>0</v>
      </c>
      <c r="H1259" s="103"/>
      <c r="I1259" s="103"/>
      <c r="J1259" s="103"/>
      <c r="K1259" s="103">
        <f>K1260+K1261</f>
        <v>0</v>
      </c>
      <c r="L1259" s="103">
        <f t="shared" ref="L1259:M1259" si="415">L1260+L1261</f>
        <v>0</v>
      </c>
      <c r="M1259" s="679">
        <f t="shared" si="415"/>
        <v>30000</v>
      </c>
      <c r="N1259" s="564"/>
      <c r="O1259" s="1037"/>
      <c r="AJ1259" s="113"/>
      <c r="AK1259" s="113"/>
      <c r="AL1259" s="113"/>
      <c r="AM1259" s="113"/>
      <c r="AN1259" s="113"/>
      <c r="AO1259" s="113"/>
      <c r="AP1259" s="113"/>
      <c r="AQ1259" s="113"/>
      <c r="AR1259" s="113"/>
      <c r="AS1259" s="113"/>
      <c r="AT1259" s="113"/>
      <c r="AU1259" s="113"/>
      <c r="AV1259" s="113"/>
      <c r="AW1259" s="113"/>
      <c r="AX1259" s="113"/>
      <c r="AY1259" s="113"/>
      <c r="AZ1259" s="113"/>
      <c r="BA1259" s="113"/>
      <c r="BB1259" s="113"/>
      <c r="BC1259" s="113"/>
      <c r="BD1259" s="113"/>
      <c r="BE1259" s="113"/>
      <c r="BF1259" s="113"/>
      <c r="BG1259" s="113"/>
      <c r="BH1259" s="113"/>
      <c r="BI1259" s="113"/>
    </row>
    <row r="1260" spans="1:61" s="45" customFormat="1" ht="24.6" customHeight="1">
      <c r="A1260" s="1039"/>
      <c r="B1260" s="564" t="s">
        <v>10</v>
      </c>
      <c r="C1260" s="564"/>
      <c r="D1260" s="564"/>
      <c r="E1260" s="564"/>
      <c r="F1260" s="564"/>
      <c r="G1260" s="103">
        <f t="shared" si="414"/>
        <v>0</v>
      </c>
      <c r="H1260" s="103"/>
      <c r="I1260" s="103"/>
      <c r="J1260" s="103"/>
      <c r="K1260" s="103">
        <v>0</v>
      </c>
      <c r="L1260" s="103"/>
      <c r="M1260" s="679">
        <v>30000</v>
      </c>
      <c r="N1260" s="564"/>
      <c r="O1260" s="1037"/>
      <c r="AJ1260" s="113"/>
      <c r="AK1260" s="113"/>
      <c r="AL1260" s="113"/>
      <c r="AM1260" s="113"/>
      <c r="AN1260" s="113"/>
      <c r="AO1260" s="113"/>
      <c r="AP1260" s="113"/>
      <c r="AQ1260" s="113"/>
      <c r="AR1260" s="113"/>
      <c r="AS1260" s="113"/>
      <c r="AT1260" s="113"/>
      <c r="AU1260" s="113"/>
      <c r="AV1260" s="113"/>
      <c r="AW1260" s="113"/>
      <c r="AX1260" s="113"/>
      <c r="AY1260" s="113"/>
      <c r="AZ1260" s="113"/>
      <c r="BA1260" s="113"/>
      <c r="BB1260" s="113"/>
      <c r="BC1260" s="113"/>
      <c r="BD1260" s="113"/>
      <c r="BE1260" s="113"/>
      <c r="BF1260" s="113"/>
      <c r="BG1260" s="113"/>
      <c r="BH1260" s="113"/>
      <c r="BI1260" s="113"/>
    </row>
    <row r="1261" spans="1:61" ht="24.6" customHeight="1">
      <c r="A1261" s="1039"/>
      <c r="B1261" s="564" t="s">
        <v>502</v>
      </c>
      <c r="C1261" s="564"/>
      <c r="D1261" s="564"/>
      <c r="E1261" s="564"/>
      <c r="F1261" s="564"/>
      <c r="G1261" s="103">
        <f t="shared" si="414"/>
        <v>0</v>
      </c>
      <c r="H1261" s="103"/>
      <c r="I1261" s="103"/>
      <c r="J1261" s="103"/>
      <c r="K1261" s="103"/>
      <c r="L1261" s="103"/>
      <c r="M1261" s="679"/>
      <c r="N1261" s="564"/>
      <c r="O1261" s="1037"/>
    </row>
    <row r="1262" spans="1:61" ht="24.6" customHeight="1">
      <c r="A1262" s="1057" t="s">
        <v>879</v>
      </c>
      <c r="B1262" s="712" t="s">
        <v>89</v>
      </c>
      <c r="C1262" s="712"/>
      <c r="D1262" s="712"/>
      <c r="E1262" s="712"/>
      <c r="F1262" s="712"/>
      <c r="G1262" s="103">
        <f>K1262</f>
        <v>1.3</v>
      </c>
      <c r="H1262" s="103"/>
      <c r="I1262" s="103"/>
      <c r="J1262" s="103"/>
      <c r="K1262" s="103">
        <v>1.3</v>
      </c>
      <c r="L1262" s="103"/>
      <c r="M1262" s="679">
        <v>1</v>
      </c>
      <c r="N1262" s="712"/>
      <c r="O1262" s="1037" t="s">
        <v>1083</v>
      </c>
    </row>
    <row r="1263" spans="1:61" ht="24.6" customHeight="1">
      <c r="A1263" s="1058"/>
      <c r="B1263" s="712" t="s">
        <v>248</v>
      </c>
      <c r="C1263" s="712"/>
      <c r="D1263" s="712"/>
      <c r="E1263" s="712"/>
      <c r="F1263" s="712"/>
      <c r="G1263" s="103">
        <f>K1263</f>
        <v>15681</v>
      </c>
      <c r="H1263" s="103"/>
      <c r="I1263" s="103"/>
      <c r="J1263" s="103"/>
      <c r="K1263" s="103">
        <v>15681</v>
      </c>
      <c r="L1263" s="103"/>
      <c r="M1263" s="679">
        <f>13588.3</f>
        <v>13588.3</v>
      </c>
      <c r="N1263" s="712"/>
      <c r="O1263" s="1037"/>
    </row>
    <row r="1264" spans="1:61" ht="24.6" customHeight="1">
      <c r="A1264" s="1038" t="s">
        <v>140</v>
      </c>
      <c r="B1264" s="62" t="s">
        <v>89</v>
      </c>
      <c r="C1264" s="62"/>
      <c r="D1264" s="62"/>
      <c r="E1264" s="62"/>
      <c r="F1264" s="62"/>
      <c r="G1264" s="102">
        <f>G1268+G1272</f>
        <v>1.2</v>
      </c>
      <c r="H1264" s="102">
        <f t="shared" ref="H1264:M1264" si="416">H1268+H1272</f>
        <v>0</v>
      </c>
      <c r="I1264" s="102">
        <f t="shared" si="416"/>
        <v>0</v>
      </c>
      <c r="J1264" s="102">
        <f t="shared" si="416"/>
        <v>0</v>
      </c>
      <c r="K1264" s="102">
        <f t="shared" si="416"/>
        <v>1.2</v>
      </c>
      <c r="L1264" s="102">
        <f t="shared" si="416"/>
        <v>0</v>
      </c>
      <c r="M1264" s="499">
        <f t="shared" si="416"/>
        <v>1</v>
      </c>
      <c r="N1264" s="564"/>
      <c r="O1264" s="62"/>
    </row>
    <row r="1265" spans="1:67" ht="24.6" customHeight="1">
      <c r="A1265" s="1038"/>
      <c r="B1265" s="62" t="s">
        <v>25</v>
      </c>
      <c r="C1265" s="62"/>
      <c r="D1265" s="62"/>
      <c r="E1265" s="62"/>
      <c r="F1265" s="62"/>
      <c r="G1265" s="102">
        <f>G1266+G1267</f>
        <v>14658.7</v>
      </c>
      <c r="H1265" s="102">
        <f t="shared" ref="H1265:M1265" si="417">H1266+H1267</f>
        <v>0</v>
      </c>
      <c r="I1265" s="102">
        <f t="shared" si="417"/>
        <v>0</v>
      </c>
      <c r="J1265" s="102">
        <f t="shared" si="417"/>
        <v>0</v>
      </c>
      <c r="K1265" s="102">
        <f t="shared" si="417"/>
        <v>14658.7</v>
      </c>
      <c r="L1265" s="102">
        <f t="shared" si="417"/>
        <v>0</v>
      </c>
      <c r="M1265" s="499">
        <f t="shared" si="417"/>
        <v>42729</v>
      </c>
      <c r="N1265" s="564"/>
      <c r="O1265" s="62"/>
    </row>
    <row r="1266" spans="1:67" ht="24.6" customHeight="1">
      <c r="A1266" s="1038"/>
      <c r="B1266" s="62" t="s">
        <v>10</v>
      </c>
      <c r="C1266" s="62"/>
      <c r="D1266" s="62"/>
      <c r="E1266" s="62"/>
      <c r="F1266" s="62"/>
      <c r="G1266" s="102">
        <f>G1270+G1274</f>
        <v>14658.7</v>
      </c>
      <c r="H1266" s="102">
        <f t="shared" ref="H1266:M1267" si="418">H1270+H1274</f>
        <v>0</v>
      </c>
      <c r="I1266" s="102">
        <f t="shared" si="418"/>
        <v>0</v>
      </c>
      <c r="J1266" s="102">
        <f t="shared" si="418"/>
        <v>0</v>
      </c>
      <c r="K1266" s="102">
        <f t="shared" si="418"/>
        <v>14658.7</v>
      </c>
      <c r="L1266" s="102">
        <f t="shared" si="418"/>
        <v>0</v>
      </c>
      <c r="M1266" s="499">
        <f t="shared" si="418"/>
        <v>42729</v>
      </c>
      <c r="N1266" s="564"/>
      <c r="O1266" s="62"/>
    </row>
    <row r="1267" spans="1:67" ht="24.95" customHeight="1">
      <c r="A1267" s="1038"/>
      <c r="B1267" s="62" t="s">
        <v>502</v>
      </c>
      <c r="C1267" s="62"/>
      <c r="D1267" s="62"/>
      <c r="E1267" s="62"/>
      <c r="F1267" s="62"/>
      <c r="G1267" s="102">
        <f>G1271+G1275</f>
        <v>0</v>
      </c>
      <c r="H1267" s="102">
        <f t="shared" si="418"/>
        <v>0</v>
      </c>
      <c r="I1267" s="102">
        <f t="shared" si="418"/>
        <v>0</v>
      </c>
      <c r="J1267" s="102">
        <f t="shared" si="418"/>
        <v>0</v>
      </c>
      <c r="K1267" s="102">
        <f t="shared" si="418"/>
        <v>0</v>
      </c>
      <c r="L1267" s="102">
        <f t="shared" si="418"/>
        <v>0</v>
      </c>
      <c r="M1267" s="499">
        <f t="shared" si="418"/>
        <v>0</v>
      </c>
      <c r="N1267" s="564"/>
      <c r="O1267" s="62"/>
    </row>
    <row r="1268" spans="1:67" ht="24.95" customHeight="1">
      <c r="A1268" s="1028" t="s">
        <v>617</v>
      </c>
      <c r="B1268" s="564" t="s">
        <v>89</v>
      </c>
      <c r="C1268" s="564">
        <v>176</v>
      </c>
      <c r="D1268" s="564" t="s">
        <v>15</v>
      </c>
      <c r="E1268" s="564">
        <v>6100404</v>
      </c>
      <c r="F1268" s="564">
        <v>244</v>
      </c>
      <c r="G1268" s="103">
        <f>K1268</f>
        <v>0</v>
      </c>
      <c r="H1268" s="103"/>
      <c r="I1268" s="103"/>
      <c r="J1268" s="103"/>
      <c r="K1268" s="103"/>
      <c r="L1268" s="103"/>
      <c r="M1268" s="679"/>
      <c r="N1268" s="564"/>
      <c r="O1268" s="1037" t="s">
        <v>881</v>
      </c>
    </row>
    <row r="1269" spans="1:67" ht="24.95" customHeight="1">
      <c r="A1269" s="1036"/>
      <c r="B1269" s="564" t="s">
        <v>25</v>
      </c>
      <c r="C1269" s="564"/>
      <c r="D1269" s="564"/>
      <c r="E1269" s="564"/>
      <c r="F1269" s="564"/>
      <c r="G1269" s="103">
        <f t="shared" ref="G1269:G1271" si="419">K1269</f>
        <v>0</v>
      </c>
      <c r="H1269" s="103"/>
      <c r="I1269" s="103"/>
      <c r="J1269" s="103"/>
      <c r="K1269" s="103">
        <f>K1270+K1271</f>
        <v>0</v>
      </c>
      <c r="L1269" s="103">
        <f t="shared" ref="L1269:M1269" si="420">L1270+L1271</f>
        <v>0</v>
      </c>
      <c r="M1269" s="679">
        <f t="shared" si="420"/>
        <v>30000</v>
      </c>
      <c r="N1269" s="564"/>
      <c r="O1269" s="1037"/>
    </row>
    <row r="1270" spans="1:67" ht="24.95" customHeight="1">
      <c r="A1270" s="1036"/>
      <c r="B1270" s="564" t="s">
        <v>10</v>
      </c>
      <c r="C1270" s="564"/>
      <c r="D1270" s="564"/>
      <c r="E1270" s="564"/>
      <c r="F1270" s="564"/>
      <c r="G1270" s="103">
        <f t="shared" si="419"/>
        <v>0</v>
      </c>
      <c r="H1270" s="103"/>
      <c r="I1270" s="103"/>
      <c r="J1270" s="103"/>
      <c r="K1270" s="103"/>
      <c r="L1270" s="103"/>
      <c r="M1270" s="679">
        <v>30000</v>
      </c>
      <c r="N1270" s="564"/>
      <c r="O1270" s="1037"/>
    </row>
    <row r="1271" spans="1:67" ht="24.95" customHeight="1">
      <c r="A1271" s="1029"/>
      <c r="B1271" s="564" t="s">
        <v>502</v>
      </c>
      <c r="C1271" s="564"/>
      <c r="D1271" s="564"/>
      <c r="E1271" s="564"/>
      <c r="F1271" s="564"/>
      <c r="G1271" s="103">
        <f t="shared" si="419"/>
        <v>0</v>
      </c>
      <c r="H1271" s="103"/>
      <c r="I1271" s="103"/>
      <c r="J1271" s="103"/>
      <c r="K1271" s="103"/>
      <c r="L1271" s="103"/>
      <c r="M1271" s="679"/>
      <c r="N1271" s="564"/>
      <c r="O1271" s="1037"/>
    </row>
    <row r="1272" spans="1:67" ht="24.95" customHeight="1">
      <c r="A1272" s="1028" t="s">
        <v>879</v>
      </c>
      <c r="B1272" s="564" t="s">
        <v>89</v>
      </c>
      <c r="C1272" s="564"/>
      <c r="D1272" s="564"/>
      <c r="E1272" s="564"/>
      <c r="F1272" s="564"/>
      <c r="G1272" s="103">
        <f>K1272</f>
        <v>1.2</v>
      </c>
      <c r="H1272" s="103"/>
      <c r="I1272" s="103"/>
      <c r="J1272" s="103"/>
      <c r="K1272" s="103">
        <v>1.2</v>
      </c>
      <c r="L1272" s="103"/>
      <c r="M1272" s="679">
        <v>1</v>
      </c>
      <c r="N1272" s="564"/>
      <c r="O1272" s="1030" t="s">
        <v>1084</v>
      </c>
    </row>
    <row r="1273" spans="1:67" ht="24.95" customHeight="1">
      <c r="A1273" s="1036"/>
      <c r="B1273" s="564" t="s">
        <v>25</v>
      </c>
      <c r="C1273" s="564"/>
      <c r="D1273" s="564"/>
      <c r="E1273" s="564"/>
      <c r="F1273" s="564"/>
      <c r="G1273" s="103">
        <f t="shared" ref="G1273:G1275" si="421">K1273</f>
        <v>14658.7</v>
      </c>
      <c r="H1273" s="103"/>
      <c r="I1273" s="103"/>
      <c r="J1273" s="103"/>
      <c r="K1273" s="103">
        <f>K1274+K1275</f>
        <v>14658.7</v>
      </c>
      <c r="L1273" s="103">
        <f t="shared" ref="L1273:M1273" si="422">L1274+L1275</f>
        <v>0</v>
      </c>
      <c r="M1273" s="679">
        <f t="shared" si="422"/>
        <v>12729</v>
      </c>
      <c r="N1273" s="564"/>
      <c r="O1273" s="1032"/>
    </row>
    <row r="1274" spans="1:67" ht="24.95" customHeight="1">
      <c r="A1274" s="1036"/>
      <c r="B1274" s="564" t="s">
        <v>10</v>
      </c>
      <c r="C1274" s="564"/>
      <c r="D1274" s="564"/>
      <c r="E1274" s="564"/>
      <c r="F1274" s="564"/>
      <c r="G1274" s="103">
        <f t="shared" si="421"/>
        <v>14658.7</v>
      </c>
      <c r="H1274" s="103"/>
      <c r="I1274" s="103"/>
      <c r="J1274" s="103"/>
      <c r="K1274" s="103">
        <v>14658.7</v>
      </c>
      <c r="L1274" s="103"/>
      <c r="M1274" s="679">
        <v>12729</v>
      </c>
      <c r="N1274" s="564"/>
      <c r="O1274" s="1032"/>
    </row>
    <row r="1275" spans="1:67" ht="24.75" hidden="1" customHeight="1">
      <c r="A1275" s="1029"/>
      <c r="B1275" s="564" t="s">
        <v>502</v>
      </c>
      <c r="C1275" s="564"/>
      <c r="D1275" s="564"/>
      <c r="E1275" s="564"/>
      <c r="F1275" s="564"/>
      <c r="G1275" s="103">
        <f t="shared" si="421"/>
        <v>0</v>
      </c>
      <c r="H1275" s="103"/>
      <c r="I1275" s="103"/>
      <c r="J1275" s="103"/>
      <c r="K1275" s="103"/>
      <c r="L1275" s="103"/>
      <c r="M1275" s="679"/>
      <c r="N1275" s="564"/>
      <c r="O1275" s="1031"/>
    </row>
    <row r="1276" spans="1:67" ht="23.45" customHeight="1">
      <c r="A1276" s="985" t="s">
        <v>141</v>
      </c>
      <c r="B1276" s="62" t="s">
        <v>89</v>
      </c>
      <c r="C1276" s="62"/>
      <c r="D1276" s="62"/>
      <c r="E1276" s="62"/>
      <c r="F1276" s="62"/>
      <c r="G1276" s="102">
        <f>G1280+G1282</f>
        <v>1</v>
      </c>
      <c r="H1276" s="102">
        <f t="shared" ref="H1276:M1276" si="423">H1280+H1282</f>
        <v>0</v>
      </c>
      <c r="I1276" s="102">
        <f t="shared" si="423"/>
        <v>0</v>
      </c>
      <c r="J1276" s="102">
        <f t="shared" si="423"/>
        <v>0</v>
      </c>
      <c r="K1276" s="102">
        <f t="shared" si="423"/>
        <v>1</v>
      </c>
      <c r="L1276" s="102">
        <f t="shared" si="423"/>
        <v>0</v>
      </c>
      <c r="M1276" s="499">
        <f t="shared" si="423"/>
        <v>1</v>
      </c>
      <c r="N1276" s="564"/>
      <c r="O1276" s="564"/>
    </row>
    <row r="1277" spans="1:67" ht="24">
      <c r="A1277" s="986"/>
      <c r="B1277" s="373" t="s">
        <v>248</v>
      </c>
      <c r="C1277" s="373"/>
      <c r="D1277" s="373"/>
      <c r="E1277" s="373"/>
      <c r="F1277" s="373"/>
      <c r="G1277" s="290">
        <f>G1281+G1283+G1279</f>
        <v>29885.8</v>
      </c>
      <c r="H1277" s="290">
        <f t="shared" ref="H1277:M1277" si="424">H1281+H1283+H1279</f>
        <v>0</v>
      </c>
      <c r="I1277" s="290">
        <f t="shared" si="424"/>
        <v>0</v>
      </c>
      <c r="J1277" s="290">
        <f t="shared" si="424"/>
        <v>0</v>
      </c>
      <c r="K1277" s="290">
        <f t="shared" si="424"/>
        <v>29885.8</v>
      </c>
      <c r="L1277" s="290">
        <f t="shared" si="424"/>
        <v>0</v>
      </c>
      <c r="M1277" s="290">
        <f t="shared" si="424"/>
        <v>51235.4</v>
      </c>
      <c r="N1277" s="561"/>
      <c r="O1277" s="564"/>
      <c r="P1277" s="295"/>
      <c r="Q1277" s="295"/>
      <c r="R1277" s="295"/>
      <c r="S1277" s="295"/>
      <c r="T1277" s="295"/>
      <c r="U1277" s="295"/>
      <c r="V1277" s="295"/>
      <c r="W1277" s="295"/>
      <c r="X1277" s="295"/>
      <c r="Y1277" s="295"/>
      <c r="Z1277" s="295"/>
      <c r="AA1277" s="295"/>
      <c r="AB1277" s="295"/>
      <c r="AC1277" s="295"/>
      <c r="AD1277" s="295"/>
      <c r="AE1277" s="295"/>
      <c r="AF1277" s="295"/>
      <c r="AG1277" s="295"/>
      <c r="AH1277" s="295"/>
      <c r="AI1277" s="295"/>
      <c r="BJ1277" s="295"/>
      <c r="BK1277" s="295"/>
      <c r="BL1277" s="295"/>
      <c r="BM1277" s="295"/>
      <c r="BN1277" s="295"/>
    </row>
    <row r="1278" spans="1:67" s="55" customFormat="1" ht="26.45" customHeight="1">
      <c r="A1278" s="1039" t="s">
        <v>648</v>
      </c>
      <c r="B1278" s="791" t="s">
        <v>89</v>
      </c>
      <c r="C1278" s="791"/>
      <c r="D1278" s="791"/>
      <c r="E1278" s="791"/>
      <c r="F1278" s="791"/>
      <c r="G1278" s="103">
        <f t="shared" ref="G1278:G1283" si="425">K1278</f>
        <v>0</v>
      </c>
      <c r="H1278" s="103"/>
      <c r="I1278" s="103"/>
      <c r="J1278" s="103"/>
      <c r="K1278" s="103"/>
      <c r="L1278" s="103"/>
      <c r="M1278" s="679"/>
      <c r="N1278" s="791"/>
      <c r="O1278" s="1030" t="s">
        <v>881</v>
      </c>
      <c r="P1278" s="295"/>
      <c r="Q1278" s="295"/>
      <c r="R1278" s="295"/>
      <c r="S1278" s="295"/>
      <c r="T1278" s="295"/>
      <c r="U1278" s="295"/>
      <c r="V1278" s="295"/>
      <c r="W1278" s="295"/>
      <c r="X1278" s="295"/>
      <c r="Y1278" s="295"/>
      <c r="Z1278" s="295"/>
      <c r="AA1278" s="295"/>
      <c r="AB1278" s="295"/>
      <c r="AC1278" s="295"/>
      <c r="AD1278" s="295"/>
      <c r="AE1278" s="295"/>
      <c r="AF1278" s="295"/>
      <c r="AG1278" s="295"/>
      <c r="AH1278" s="294"/>
      <c r="AI1278" s="350"/>
      <c r="AJ1278" s="295"/>
      <c r="AK1278" s="295"/>
      <c r="AL1278" s="295"/>
      <c r="AM1278" s="295"/>
      <c r="AN1278" s="295"/>
      <c r="AO1278" s="295"/>
      <c r="AP1278" s="295"/>
      <c r="AQ1278" s="295"/>
      <c r="AR1278" s="295"/>
      <c r="AS1278" s="295"/>
      <c r="AT1278" s="295"/>
      <c r="AU1278" s="295"/>
      <c r="AV1278" s="295"/>
      <c r="AW1278" s="295"/>
      <c r="AX1278" s="295"/>
      <c r="AY1278" s="295"/>
      <c r="AZ1278" s="295"/>
      <c r="BA1278" s="295"/>
      <c r="BB1278" s="295"/>
      <c r="BC1278" s="295"/>
      <c r="BD1278" s="295"/>
      <c r="BE1278" s="295"/>
      <c r="BF1278" s="295"/>
      <c r="BG1278" s="295"/>
      <c r="BH1278" s="295"/>
      <c r="BI1278" s="295"/>
      <c r="BJ1278" s="295"/>
      <c r="BK1278" s="295"/>
      <c r="BL1278" s="295"/>
      <c r="BM1278" s="295"/>
      <c r="BN1278" s="295"/>
      <c r="BO1278" s="294"/>
    </row>
    <row r="1279" spans="1:67" s="55" customFormat="1" ht="26.45" customHeight="1">
      <c r="A1279" s="1039"/>
      <c r="B1279" s="788" t="s">
        <v>248</v>
      </c>
      <c r="C1279" s="791"/>
      <c r="D1279" s="791"/>
      <c r="E1279" s="791"/>
      <c r="F1279" s="791"/>
      <c r="G1279" s="103">
        <f t="shared" si="425"/>
        <v>1000</v>
      </c>
      <c r="H1279" s="103"/>
      <c r="I1279" s="103"/>
      <c r="J1279" s="103"/>
      <c r="K1279" s="103">
        <v>1000</v>
      </c>
      <c r="L1279" s="103"/>
      <c r="M1279" s="679"/>
      <c r="N1279" s="791"/>
      <c r="O1279" s="1031"/>
      <c r="P1279" s="295"/>
      <c r="Q1279" s="295"/>
      <c r="R1279" s="295"/>
      <c r="S1279" s="295"/>
      <c r="T1279" s="295"/>
      <c r="U1279" s="295"/>
      <c r="V1279" s="295"/>
      <c r="W1279" s="295"/>
      <c r="X1279" s="295"/>
      <c r="Y1279" s="295"/>
      <c r="Z1279" s="295"/>
      <c r="AA1279" s="295"/>
      <c r="AB1279" s="295"/>
      <c r="AC1279" s="295"/>
      <c r="AD1279" s="295"/>
      <c r="AE1279" s="295"/>
      <c r="AF1279" s="295"/>
      <c r="AG1279" s="295"/>
      <c r="AH1279" s="294"/>
      <c r="AI1279" s="350"/>
      <c r="AJ1279" s="295"/>
      <c r="AK1279" s="295"/>
      <c r="AL1279" s="295"/>
      <c r="AM1279" s="295"/>
      <c r="AN1279" s="295"/>
      <c r="AO1279" s="295"/>
      <c r="AP1279" s="295"/>
      <c r="AQ1279" s="295"/>
      <c r="AR1279" s="295"/>
      <c r="AS1279" s="295"/>
      <c r="AT1279" s="295"/>
      <c r="AU1279" s="295"/>
      <c r="AV1279" s="295"/>
      <c r="AW1279" s="295"/>
      <c r="AX1279" s="295"/>
      <c r="AY1279" s="295"/>
      <c r="AZ1279" s="295"/>
      <c r="BA1279" s="295"/>
      <c r="BB1279" s="295"/>
      <c r="BC1279" s="295"/>
      <c r="BD1279" s="295"/>
      <c r="BE1279" s="295"/>
      <c r="BF1279" s="295"/>
      <c r="BG1279" s="295"/>
      <c r="BH1279" s="295"/>
      <c r="BI1279" s="295"/>
      <c r="BJ1279" s="295"/>
      <c r="BK1279" s="295"/>
      <c r="BL1279" s="295"/>
      <c r="BM1279" s="295"/>
      <c r="BN1279" s="295"/>
      <c r="BO1279" s="294"/>
    </row>
    <row r="1280" spans="1:67" s="55" customFormat="1" ht="26.45" customHeight="1">
      <c r="A1280" s="1039" t="s">
        <v>649</v>
      </c>
      <c r="B1280" s="564" t="s">
        <v>89</v>
      </c>
      <c r="C1280" s="564"/>
      <c r="D1280" s="564"/>
      <c r="E1280" s="564"/>
      <c r="F1280" s="564"/>
      <c r="G1280" s="103">
        <f t="shared" si="425"/>
        <v>0</v>
      </c>
      <c r="H1280" s="103"/>
      <c r="I1280" s="103"/>
      <c r="J1280" s="103"/>
      <c r="K1280" s="103"/>
      <c r="L1280" s="103"/>
      <c r="M1280" s="679"/>
      <c r="N1280" s="564"/>
      <c r="O1280" s="1030" t="s">
        <v>881</v>
      </c>
      <c r="P1280" s="295"/>
      <c r="Q1280" s="295"/>
      <c r="R1280" s="295"/>
      <c r="S1280" s="295"/>
      <c r="T1280" s="295"/>
      <c r="U1280" s="295"/>
      <c r="V1280" s="295"/>
      <c r="W1280" s="295"/>
      <c r="X1280" s="295"/>
      <c r="Y1280" s="295"/>
      <c r="Z1280" s="295"/>
      <c r="AA1280" s="295"/>
      <c r="AB1280" s="295"/>
      <c r="AC1280" s="295"/>
      <c r="AD1280" s="295"/>
      <c r="AE1280" s="295"/>
      <c r="AF1280" s="295"/>
      <c r="AG1280" s="295"/>
      <c r="AH1280" s="294"/>
      <c r="AI1280" s="350"/>
      <c r="AJ1280" s="295"/>
      <c r="AK1280" s="295"/>
      <c r="AL1280" s="295"/>
      <c r="AM1280" s="295"/>
      <c r="AN1280" s="295"/>
      <c r="AO1280" s="295"/>
      <c r="AP1280" s="295"/>
      <c r="AQ1280" s="295"/>
      <c r="AR1280" s="295"/>
      <c r="AS1280" s="295"/>
      <c r="AT1280" s="295"/>
      <c r="AU1280" s="295"/>
      <c r="AV1280" s="295"/>
      <c r="AW1280" s="295"/>
      <c r="AX1280" s="295"/>
      <c r="AY1280" s="295"/>
      <c r="AZ1280" s="295"/>
      <c r="BA1280" s="295"/>
      <c r="BB1280" s="295"/>
      <c r="BC1280" s="295"/>
      <c r="BD1280" s="295"/>
      <c r="BE1280" s="295"/>
      <c r="BF1280" s="295"/>
      <c r="BG1280" s="295"/>
      <c r="BH1280" s="295"/>
      <c r="BI1280" s="295"/>
      <c r="BJ1280" s="295"/>
      <c r="BK1280" s="295"/>
      <c r="BL1280" s="295"/>
      <c r="BM1280" s="295"/>
      <c r="BN1280" s="295"/>
      <c r="BO1280" s="294"/>
    </row>
    <row r="1281" spans="1:67" s="55" customFormat="1" ht="26.45" customHeight="1">
      <c r="A1281" s="1039"/>
      <c r="B1281" s="561" t="s">
        <v>248</v>
      </c>
      <c r="C1281" s="564"/>
      <c r="D1281" s="564"/>
      <c r="E1281" s="564"/>
      <c r="F1281" s="564"/>
      <c r="G1281" s="103">
        <f t="shared" si="425"/>
        <v>16000</v>
      </c>
      <c r="H1281" s="103"/>
      <c r="I1281" s="103"/>
      <c r="J1281" s="103"/>
      <c r="K1281" s="103">
        <v>16000</v>
      </c>
      <c r="L1281" s="103"/>
      <c r="M1281" s="679">
        <v>40000</v>
      </c>
      <c r="N1281" s="564"/>
      <c r="O1281" s="1031"/>
      <c r="P1281" s="295"/>
      <c r="Q1281" s="295"/>
      <c r="R1281" s="295"/>
      <c r="S1281" s="295"/>
      <c r="T1281" s="295"/>
      <c r="U1281" s="295"/>
      <c r="V1281" s="295"/>
      <c r="W1281" s="295"/>
      <c r="X1281" s="295"/>
      <c r="Y1281" s="295"/>
      <c r="Z1281" s="295"/>
      <c r="AA1281" s="295"/>
      <c r="AB1281" s="295"/>
      <c r="AC1281" s="295"/>
      <c r="AD1281" s="295"/>
      <c r="AE1281" s="295"/>
      <c r="AF1281" s="295"/>
      <c r="AG1281" s="295"/>
      <c r="AH1281" s="294"/>
      <c r="AI1281" s="350"/>
      <c r="AJ1281" s="295"/>
      <c r="AK1281" s="295"/>
      <c r="AL1281" s="295"/>
      <c r="AM1281" s="295"/>
      <c r="AN1281" s="295"/>
      <c r="AO1281" s="295"/>
      <c r="AP1281" s="295"/>
      <c r="AQ1281" s="295"/>
      <c r="AR1281" s="295"/>
      <c r="AS1281" s="295"/>
      <c r="AT1281" s="295"/>
      <c r="AU1281" s="295"/>
      <c r="AV1281" s="295"/>
      <c r="AW1281" s="295"/>
      <c r="AX1281" s="295"/>
      <c r="AY1281" s="295"/>
      <c r="AZ1281" s="295"/>
      <c r="BA1281" s="295"/>
      <c r="BB1281" s="295"/>
      <c r="BC1281" s="295"/>
      <c r="BD1281" s="295"/>
      <c r="BE1281" s="295"/>
      <c r="BF1281" s="295"/>
      <c r="BG1281" s="295"/>
      <c r="BH1281" s="295"/>
      <c r="BI1281" s="295"/>
      <c r="BJ1281" s="295"/>
      <c r="BK1281" s="295"/>
      <c r="BL1281" s="295"/>
      <c r="BM1281" s="295"/>
      <c r="BN1281" s="295"/>
      <c r="BO1281" s="294"/>
    </row>
    <row r="1282" spans="1:67" s="55" customFormat="1" ht="26.45" customHeight="1">
      <c r="A1282" s="1028" t="s">
        <v>879</v>
      </c>
      <c r="B1282" s="564" t="s">
        <v>89</v>
      </c>
      <c r="C1282" s="564"/>
      <c r="D1282" s="564"/>
      <c r="E1282" s="564"/>
      <c r="F1282" s="564"/>
      <c r="G1282" s="103">
        <f t="shared" si="425"/>
        <v>1</v>
      </c>
      <c r="H1282" s="103"/>
      <c r="I1282" s="103"/>
      <c r="J1282" s="103"/>
      <c r="K1282" s="103">
        <v>1</v>
      </c>
      <c r="L1282" s="103"/>
      <c r="M1282" s="679">
        <v>1</v>
      </c>
      <c r="N1282" s="564"/>
      <c r="O1282" s="1030" t="s">
        <v>1085</v>
      </c>
      <c r="P1282" s="295"/>
      <c r="Q1282" s="295"/>
      <c r="R1282" s="295"/>
      <c r="S1282" s="295"/>
      <c r="T1282" s="295"/>
      <c r="U1282" s="295"/>
      <c r="V1282" s="295"/>
      <c r="W1282" s="295"/>
      <c r="X1282" s="295"/>
      <c r="Y1282" s="295"/>
      <c r="Z1282" s="295"/>
      <c r="AA1282" s="295"/>
      <c r="AB1282" s="295"/>
      <c r="AC1282" s="295"/>
      <c r="AD1282" s="295"/>
      <c r="AE1282" s="295"/>
      <c r="AF1282" s="295"/>
      <c r="AG1282" s="295"/>
      <c r="AH1282" s="294"/>
      <c r="AI1282" s="350"/>
      <c r="AJ1282" s="295"/>
      <c r="AK1282" s="295"/>
      <c r="AL1282" s="295"/>
      <c r="AM1282" s="295"/>
      <c r="AN1282" s="295"/>
      <c r="AO1282" s="295"/>
      <c r="AP1282" s="295"/>
      <c r="AQ1282" s="295"/>
      <c r="AR1282" s="295"/>
      <c r="AS1282" s="295"/>
      <c r="AT1282" s="295"/>
      <c r="AU1282" s="295"/>
      <c r="AV1282" s="295"/>
      <c r="AW1282" s="295"/>
      <c r="AX1282" s="295"/>
      <c r="AY1282" s="295"/>
      <c r="AZ1282" s="295"/>
      <c r="BA1282" s="295"/>
      <c r="BB1282" s="295"/>
      <c r="BC1282" s="295"/>
      <c r="BD1282" s="295"/>
      <c r="BE1282" s="295"/>
      <c r="BF1282" s="295"/>
      <c r="BG1282" s="295"/>
      <c r="BH1282" s="295"/>
      <c r="BI1282" s="295"/>
      <c r="BJ1282" s="295"/>
      <c r="BK1282" s="295"/>
      <c r="BL1282" s="295"/>
      <c r="BM1282" s="295"/>
      <c r="BN1282" s="295"/>
      <c r="BO1282" s="294"/>
    </row>
    <row r="1283" spans="1:67" s="55" customFormat="1" ht="24.75" customHeight="1">
      <c r="A1283" s="1029"/>
      <c r="B1283" s="564" t="s">
        <v>248</v>
      </c>
      <c r="C1283" s="564"/>
      <c r="D1283" s="564"/>
      <c r="E1283" s="564"/>
      <c r="F1283" s="564"/>
      <c r="G1283" s="103">
        <f t="shared" si="425"/>
        <v>12885.8</v>
      </c>
      <c r="H1283" s="103"/>
      <c r="I1283" s="103"/>
      <c r="J1283" s="103"/>
      <c r="K1283" s="103">
        <v>12885.8</v>
      </c>
      <c r="L1283" s="103"/>
      <c r="M1283" s="679">
        <v>11235.4</v>
      </c>
      <c r="N1283" s="564"/>
      <c r="O1283" s="1031"/>
      <c r="P1283" s="295"/>
      <c r="Q1283" s="295"/>
      <c r="R1283" s="295"/>
      <c r="S1283" s="295"/>
      <c r="T1283" s="295"/>
      <c r="U1283" s="295"/>
      <c r="V1283" s="295"/>
      <c r="W1283" s="295"/>
      <c r="X1283" s="295"/>
      <c r="Y1283" s="295"/>
      <c r="Z1283" s="295"/>
      <c r="AA1283" s="295"/>
      <c r="AB1283" s="295"/>
      <c r="AC1283" s="295"/>
      <c r="AD1283" s="295"/>
      <c r="AE1283" s="295"/>
      <c r="AF1283" s="295"/>
      <c r="AG1283" s="295"/>
      <c r="AH1283" s="294"/>
      <c r="AI1283" s="350"/>
      <c r="AJ1283" s="295"/>
      <c r="AK1283" s="295"/>
      <c r="AL1283" s="295"/>
      <c r="AM1283" s="295"/>
      <c r="AN1283" s="295"/>
      <c r="AO1283" s="295"/>
      <c r="AP1283" s="295"/>
      <c r="AQ1283" s="295"/>
      <c r="AR1283" s="295"/>
      <c r="AS1283" s="295"/>
      <c r="AT1283" s="295"/>
      <c r="AU1283" s="295"/>
      <c r="AV1283" s="295"/>
      <c r="AW1283" s="295"/>
      <c r="AX1283" s="295"/>
      <c r="AY1283" s="295"/>
      <c r="AZ1283" s="295"/>
      <c r="BA1283" s="295"/>
      <c r="BB1283" s="295"/>
      <c r="BC1283" s="295"/>
      <c r="BD1283" s="295"/>
      <c r="BE1283" s="295"/>
      <c r="BF1283" s="295"/>
      <c r="BG1283" s="295"/>
      <c r="BH1283" s="295"/>
      <c r="BI1283" s="295"/>
      <c r="BJ1283" s="295"/>
      <c r="BK1283" s="295"/>
      <c r="BL1283" s="295"/>
      <c r="BM1283" s="295"/>
      <c r="BN1283" s="295"/>
      <c r="BO1283" s="294"/>
    </row>
    <row r="1284" spans="1:67" s="295" customFormat="1" ht="24.75" customHeight="1">
      <c r="A1284" s="985" t="s">
        <v>107</v>
      </c>
      <c r="B1284" s="62" t="s">
        <v>89</v>
      </c>
      <c r="C1284" s="562"/>
      <c r="D1284" s="562"/>
      <c r="E1284" s="562"/>
      <c r="F1284" s="562"/>
      <c r="G1284" s="108">
        <f>G1286+G1288+G1290+G1292</f>
        <v>7.3000000000000007</v>
      </c>
      <c r="H1284" s="108">
        <f t="shared" ref="H1284:M1284" si="426">H1286+H1288+H1290+H1292</f>
        <v>0</v>
      </c>
      <c r="I1284" s="108">
        <f t="shared" si="426"/>
        <v>0</v>
      </c>
      <c r="J1284" s="108">
        <f t="shared" si="426"/>
        <v>0</v>
      </c>
      <c r="K1284" s="108">
        <f t="shared" si="426"/>
        <v>7.3000000000000007</v>
      </c>
      <c r="L1284" s="108">
        <f t="shared" si="426"/>
        <v>0</v>
      </c>
      <c r="M1284" s="108">
        <f t="shared" si="426"/>
        <v>1</v>
      </c>
      <c r="N1284" s="562"/>
      <c r="O1284" s="562"/>
    </row>
    <row r="1285" spans="1:67" s="295" customFormat="1" ht="24.75" customHeight="1">
      <c r="A1285" s="987"/>
      <c r="B1285" s="373" t="s">
        <v>248</v>
      </c>
      <c r="C1285" s="562"/>
      <c r="D1285" s="562"/>
      <c r="E1285" s="562"/>
      <c r="F1285" s="562"/>
      <c r="G1285" s="108">
        <f>G1287+G1289+G1291+G1293</f>
        <v>100839.2</v>
      </c>
      <c r="H1285" s="108">
        <f t="shared" ref="H1285:M1285" si="427">H1287+H1289+H1291+H1293</f>
        <v>0</v>
      </c>
      <c r="I1285" s="108">
        <f t="shared" si="427"/>
        <v>0</v>
      </c>
      <c r="J1285" s="108">
        <f t="shared" si="427"/>
        <v>0</v>
      </c>
      <c r="K1285" s="108">
        <f t="shared" si="427"/>
        <v>100839.2</v>
      </c>
      <c r="L1285" s="108">
        <f t="shared" si="427"/>
        <v>0</v>
      </c>
      <c r="M1285" s="108">
        <f t="shared" si="427"/>
        <v>42277</v>
      </c>
      <c r="N1285" s="562"/>
      <c r="O1285" s="562"/>
    </row>
    <row r="1286" spans="1:67" s="295" customFormat="1" ht="24.75" customHeight="1">
      <c r="A1286" s="1028" t="s">
        <v>535</v>
      </c>
      <c r="B1286" s="791" t="s">
        <v>89</v>
      </c>
      <c r="C1286" s="789"/>
      <c r="D1286" s="789"/>
      <c r="E1286" s="789"/>
      <c r="F1286" s="789"/>
      <c r="G1286" s="292">
        <f>K1286</f>
        <v>6.2</v>
      </c>
      <c r="H1286" s="292"/>
      <c r="I1286" s="292"/>
      <c r="J1286" s="292"/>
      <c r="K1286" s="292">
        <v>6.2</v>
      </c>
      <c r="L1286" s="292">
        <v>0</v>
      </c>
      <c r="M1286" s="684">
        <v>0</v>
      </c>
      <c r="N1286" s="789"/>
      <c r="O1286" s="1030" t="s">
        <v>1046</v>
      </c>
    </row>
    <row r="1287" spans="1:67" s="295" customFormat="1" ht="24.75" customHeight="1">
      <c r="A1287" s="1029"/>
      <c r="B1287" s="791" t="s">
        <v>248</v>
      </c>
      <c r="C1287" s="789"/>
      <c r="D1287" s="789"/>
      <c r="E1287" s="789"/>
      <c r="F1287" s="789"/>
      <c r="G1287" s="292">
        <f>K1287</f>
        <v>87453</v>
      </c>
      <c r="H1287" s="292"/>
      <c r="I1287" s="292"/>
      <c r="J1287" s="292"/>
      <c r="K1287" s="292">
        <f>93453-6000</f>
        <v>87453</v>
      </c>
      <c r="L1287" s="292">
        <v>0</v>
      </c>
      <c r="M1287" s="684">
        <v>15000</v>
      </c>
      <c r="N1287" s="789"/>
      <c r="O1287" s="1031"/>
    </row>
    <row r="1288" spans="1:67" s="295" customFormat="1" ht="24.75" customHeight="1">
      <c r="A1288" s="1028" t="s">
        <v>1023</v>
      </c>
      <c r="B1288" s="791" t="s">
        <v>89</v>
      </c>
      <c r="C1288" s="789"/>
      <c r="D1288" s="789"/>
      <c r="E1288" s="789"/>
      <c r="F1288" s="789"/>
      <c r="G1288" s="292"/>
      <c r="H1288" s="292"/>
      <c r="I1288" s="292"/>
      <c r="J1288" s="292"/>
      <c r="K1288" s="292"/>
      <c r="L1288" s="292">
        <v>0</v>
      </c>
      <c r="M1288" s="684">
        <v>0</v>
      </c>
      <c r="N1288" s="789"/>
      <c r="O1288" s="1030" t="s">
        <v>881</v>
      </c>
    </row>
    <row r="1289" spans="1:67" s="295" customFormat="1" ht="24.75" customHeight="1">
      <c r="A1289" s="1029"/>
      <c r="B1289" s="791" t="s">
        <v>248</v>
      </c>
      <c r="C1289" s="789"/>
      <c r="D1289" s="789"/>
      <c r="E1289" s="789"/>
      <c r="F1289" s="789"/>
      <c r="G1289" s="292"/>
      <c r="H1289" s="292"/>
      <c r="I1289" s="292"/>
      <c r="J1289" s="292"/>
      <c r="K1289" s="292"/>
      <c r="L1289" s="292">
        <v>0</v>
      </c>
      <c r="M1289" s="684">
        <v>15000</v>
      </c>
      <c r="N1289" s="789"/>
      <c r="O1289" s="1031"/>
    </row>
    <row r="1290" spans="1:67" s="295" customFormat="1" ht="24.75" customHeight="1">
      <c r="A1290" s="1028" t="s">
        <v>1025</v>
      </c>
      <c r="B1290" s="791" t="s">
        <v>89</v>
      </c>
      <c r="C1290" s="789"/>
      <c r="D1290" s="789"/>
      <c r="E1290" s="789"/>
      <c r="F1290" s="789"/>
      <c r="G1290" s="292"/>
      <c r="H1290" s="292"/>
      <c r="I1290" s="292"/>
      <c r="J1290" s="292"/>
      <c r="K1290" s="292"/>
      <c r="L1290" s="292">
        <v>0</v>
      </c>
      <c r="M1290" s="684">
        <v>0</v>
      </c>
      <c r="N1290" s="789"/>
      <c r="O1290" s="1030" t="s">
        <v>881</v>
      </c>
    </row>
    <row r="1291" spans="1:67" s="295" customFormat="1" ht="24.75" customHeight="1">
      <c r="A1291" s="1029"/>
      <c r="B1291" s="791" t="s">
        <v>248</v>
      </c>
      <c r="C1291" s="789"/>
      <c r="D1291" s="789"/>
      <c r="E1291" s="789"/>
      <c r="F1291" s="789"/>
      <c r="G1291" s="292"/>
      <c r="H1291" s="292"/>
      <c r="I1291" s="292"/>
      <c r="J1291" s="292"/>
      <c r="K1291" s="292"/>
      <c r="L1291" s="292">
        <v>0</v>
      </c>
      <c r="M1291" s="684">
        <v>620</v>
      </c>
      <c r="N1291" s="789"/>
      <c r="O1291" s="1031"/>
    </row>
    <row r="1292" spans="1:67" s="295" customFormat="1" ht="24.75" customHeight="1">
      <c r="A1292" s="1028" t="s">
        <v>879</v>
      </c>
      <c r="B1292" s="564" t="s">
        <v>89</v>
      </c>
      <c r="C1292" s="562"/>
      <c r="D1292" s="562"/>
      <c r="E1292" s="562"/>
      <c r="F1292" s="562"/>
      <c r="G1292" s="292">
        <f>K1292</f>
        <v>1.1000000000000001</v>
      </c>
      <c r="H1292" s="292"/>
      <c r="I1292" s="292"/>
      <c r="J1292" s="292"/>
      <c r="K1292" s="292">
        <v>1.1000000000000001</v>
      </c>
      <c r="L1292" s="292"/>
      <c r="M1292" s="684">
        <v>1</v>
      </c>
      <c r="N1292" s="562"/>
      <c r="O1292" s="1030" t="s">
        <v>1086</v>
      </c>
    </row>
    <row r="1293" spans="1:67" s="295" customFormat="1" ht="24.75" customHeight="1">
      <c r="A1293" s="1029"/>
      <c r="B1293" s="564" t="s">
        <v>248</v>
      </c>
      <c r="C1293" s="562"/>
      <c r="D1293" s="562"/>
      <c r="E1293" s="562"/>
      <c r="F1293" s="562"/>
      <c r="G1293" s="292">
        <f>K1293</f>
        <v>13386.2</v>
      </c>
      <c r="H1293" s="292"/>
      <c r="I1293" s="292"/>
      <c r="J1293" s="292"/>
      <c r="K1293" s="292">
        <v>13386.2</v>
      </c>
      <c r="L1293" s="292">
        <f>19000-19000</f>
        <v>0</v>
      </c>
      <c r="M1293" s="684">
        <v>11657</v>
      </c>
      <c r="N1293" s="562"/>
      <c r="O1293" s="1031"/>
    </row>
    <row r="1294" spans="1:67" s="295" customFormat="1" ht="24.75" customHeight="1">
      <c r="A1294" s="985" t="s">
        <v>164</v>
      </c>
      <c r="B1294" s="62" t="s">
        <v>89</v>
      </c>
      <c r="C1294" s="562"/>
      <c r="D1294" s="562"/>
      <c r="E1294" s="562"/>
      <c r="F1294" s="562"/>
      <c r="G1294" s="108">
        <f>G1298+G1300+G1304+G1306</f>
        <v>4.3</v>
      </c>
      <c r="H1294" s="108">
        <f t="shared" ref="H1294:M1294" si="428">H1298+H1300+H1304+H1306</f>
        <v>0</v>
      </c>
      <c r="I1294" s="108">
        <f t="shared" si="428"/>
        <v>0</v>
      </c>
      <c r="J1294" s="108">
        <f t="shared" si="428"/>
        <v>0</v>
      </c>
      <c r="K1294" s="108">
        <f t="shared" si="428"/>
        <v>4.3</v>
      </c>
      <c r="L1294" s="108">
        <f t="shared" si="428"/>
        <v>0</v>
      </c>
      <c r="M1294" s="683">
        <f t="shared" si="428"/>
        <v>1</v>
      </c>
      <c r="N1294" s="562"/>
      <c r="O1294" s="562"/>
    </row>
    <row r="1295" spans="1:67" s="295" customFormat="1" ht="24.75" customHeight="1">
      <c r="A1295" s="986"/>
      <c r="B1295" s="62" t="s">
        <v>25</v>
      </c>
      <c r="C1295" s="562"/>
      <c r="D1295" s="562"/>
      <c r="E1295" s="562"/>
      <c r="F1295" s="562"/>
      <c r="G1295" s="108">
        <f>G1296+G1297</f>
        <v>72987</v>
      </c>
      <c r="H1295" s="108">
        <f t="shared" ref="H1295:M1295" si="429">H1296+H1297</f>
        <v>0</v>
      </c>
      <c r="I1295" s="108">
        <f t="shared" si="429"/>
        <v>0</v>
      </c>
      <c r="J1295" s="108">
        <f t="shared" si="429"/>
        <v>0</v>
      </c>
      <c r="K1295" s="108">
        <f t="shared" si="429"/>
        <v>72987</v>
      </c>
      <c r="L1295" s="108">
        <f t="shared" si="429"/>
        <v>8284</v>
      </c>
      <c r="M1295" s="683">
        <f t="shared" si="429"/>
        <v>67760.7</v>
      </c>
      <c r="N1295" s="562"/>
      <c r="O1295" s="562"/>
    </row>
    <row r="1296" spans="1:67" s="295" customFormat="1" ht="24.75" customHeight="1">
      <c r="A1296" s="986"/>
      <c r="B1296" s="62" t="s">
        <v>10</v>
      </c>
      <c r="C1296" s="562"/>
      <c r="D1296" s="562"/>
      <c r="E1296" s="562"/>
      <c r="F1296" s="562"/>
      <c r="G1296" s="108">
        <f>G1299+G1302+G1307++G1305</f>
        <v>72987</v>
      </c>
      <c r="H1296" s="108">
        <f t="shared" ref="H1296:M1296" si="430">H1299+H1302+H1307++H1305</f>
        <v>0</v>
      </c>
      <c r="I1296" s="108">
        <f t="shared" si="430"/>
        <v>0</v>
      </c>
      <c r="J1296" s="108">
        <f t="shared" si="430"/>
        <v>0</v>
      </c>
      <c r="K1296" s="108">
        <f t="shared" si="430"/>
        <v>72987</v>
      </c>
      <c r="L1296" s="108">
        <f t="shared" si="430"/>
        <v>8284</v>
      </c>
      <c r="M1296" s="108">
        <f t="shared" si="430"/>
        <v>67760.7</v>
      </c>
      <c r="N1296" s="562"/>
      <c r="O1296" s="562"/>
    </row>
    <row r="1297" spans="1:66" s="295" customFormat="1" ht="24.75" customHeight="1">
      <c r="A1297" s="987"/>
      <c r="B1297" s="62" t="s">
        <v>502</v>
      </c>
      <c r="C1297" s="562"/>
      <c r="D1297" s="562"/>
      <c r="E1297" s="562"/>
      <c r="F1297" s="562"/>
      <c r="G1297" s="108">
        <f>G1303</f>
        <v>0</v>
      </c>
      <c r="H1297" s="108">
        <f t="shared" ref="H1297:M1297" si="431">H1303</f>
        <v>0</v>
      </c>
      <c r="I1297" s="108">
        <f t="shared" si="431"/>
        <v>0</v>
      </c>
      <c r="J1297" s="108">
        <f t="shared" si="431"/>
        <v>0</v>
      </c>
      <c r="K1297" s="108">
        <f t="shared" si="431"/>
        <v>0</v>
      </c>
      <c r="L1297" s="108">
        <f t="shared" si="431"/>
        <v>0</v>
      </c>
      <c r="M1297" s="683">
        <f t="shared" si="431"/>
        <v>0</v>
      </c>
      <c r="N1297" s="562"/>
      <c r="O1297" s="562"/>
    </row>
    <row r="1298" spans="1:66" s="295" customFormat="1" ht="24.75" customHeight="1">
      <c r="A1298" s="1028" t="s">
        <v>652</v>
      </c>
      <c r="B1298" s="564" t="s">
        <v>89</v>
      </c>
      <c r="C1298" s="562"/>
      <c r="D1298" s="562"/>
      <c r="E1298" s="562"/>
      <c r="F1298" s="562"/>
      <c r="G1298" s="292"/>
      <c r="H1298" s="292"/>
      <c r="I1298" s="292"/>
      <c r="J1298" s="292"/>
      <c r="K1298" s="292"/>
      <c r="L1298" s="292"/>
      <c r="M1298" s="684"/>
      <c r="N1298" s="562"/>
      <c r="O1298" s="1030" t="s">
        <v>881</v>
      </c>
    </row>
    <row r="1299" spans="1:66" s="295" customFormat="1" ht="24.75" customHeight="1">
      <c r="A1299" s="1029"/>
      <c r="B1299" s="564" t="s">
        <v>248</v>
      </c>
      <c r="C1299" s="562"/>
      <c r="D1299" s="562"/>
      <c r="E1299" s="562"/>
      <c r="F1299" s="562"/>
      <c r="G1299" s="292"/>
      <c r="H1299" s="292"/>
      <c r="I1299" s="292"/>
      <c r="J1299" s="292"/>
      <c r="K1299" s="292"/>
      <c r="L1299" s="292"/>
      <c r="M1299" s="684">
        <v>10200</v>
      </c>
      <c r="N1299" s="562"/>
      <c r="O1299" s="1031"/>
    </row>
    <row r="1300" spans="1:66" s="295" customFormat="1" ht="24.75" customHeight="1">
      <c r="A1300" s="1028" t="s">
        <v>653</v>
      </c>
      <c r="B1300" s="564" t="s">
        <v>89</v>
      </c>
      <c r="C1300" s="562"/>
      <c r="D1300" s="562"/>
      <c r="E1300" s="562"/>
      <c r="F1300" s="562"/>
      <c r="G1300" s="292">
        <f>K1300</f>
        <v>3</v>
      </c>
      <c r="H1300" s="292"/>
      <c r="I1300" s="292"/>
      <c r="J1300" s="292"/>
      <c r="K1300" s="292">
        <v>3</v>
      </c>
      <c r="L1300" s="292"/>
      <c r="M1300" s="684"/>
      <c r="N1300" s="562"/>
      <c r="O1300" s="1030" t="s">
        <v>1047</v>
      </c>
    </row>
    <row r="1301" spans="1:66" s="295" customFormat="1" ht="24.75" customHeight="1">
      <c r="A1301" s="1036"/>
      <c r="B1301" s="564" t="s">
        <v>25</v>
      </c>
      <c r="C1301" s="562"/>
      <c r="D1301" s="562"/>
      <c r="E1301" s="562"/>
      <c r="F1301" s="562"/>
      <c r="G1301" s="292">
        <f t="shared" ref="G1301:G1303" si="432">K1301</f>
        <v>31034.6</v>
      </c>
      <c r="H1301" s="292"/>
      <c r="I1301" s="292"/>
      <c r="J1301" s="292"/>
      <c r="K1301" s="292">
        <v>31034.6</v>
      </c>
      <c r="L1301" s="292">
        <f t="shared" ref="L1301" si="433">L1302+L1303</f>
        <v>0</v>
      </c>
      <c r="M1301" s="684">
        <v>45000</v>
      </c>
      <c r="N1301" s="562"/>
      <c r="O1301" s="1032"/>
    </row>
    <row r="1302" spans="1:66" s="295" customFormat="1" ht="24.75" customHeight="1">
      <c r="A1302" s="1036"/>
      <c r="B1302" s="564" t="s">
        <v>10</v>
      </c>
      <c r="C1302" s="562"/>
      <c r="D1302" s="562"/>
      <c r="E1302" s="562"/>
      <c r="F1302" s="562"/>
      <c r="G1302" s="292">
        <f t="shared" si="432"/>
        <v>31034.6</v>
      </c>
      <c r="H1302" s="292"/>
      <c r="I1302" s="292"/>
      <c r="J1302" s="292"/>
      <c r="K1302" s="292">
        <v>31034.6</v>
      </c>
      <c r="L1302" s="292"/>
      <c r="M1302" s="684">
        <v>45000</v>
      </c>
      <c r="N1302" s="562"/>
      <c r="O1302" s="1032"/>
    </row>
    <row r="1303" spans="1:66" s="295" customFormat="1" ht="24.75" customHeight="1">
      <c r="A1303" s="1029"/>
      <c r="B1303" s="564" t="s">
        <v>502</v>
      </c>
      <c r="C1303" s="562"/>
      <c r="D1303" s="562"/>
      <c r="E1303" s="562"/>
      <c r="F1303" s="562"/>
      <c r="G1303" s="292">
        <f t="shared" si="432"/>
        <v>0</v>
      </c>
      <c r="H1303" s="292"/>
      <c r="I1303" s="292"/>
      <c r="J1303" s="292"/>
      <c r="K1303" s="292"/>
      <c r="L1303" s="292"/>
      <c r="M1303" s="684"/>
      <c r="N1303" s="562"/>
      <c r="O1303" s="1031"/>
    </row>
    <row r="1304" spans="1:66" s="295" customFormat="1" ht="24.75" customHeight="1">
      <c r="A1304" s="1028" t="s">
        <v>654</v>
      </c>
      <c r="B1304" s="564" t="s">
        <v>89</v>
      </c>
      <c r="C1304" s="562"/>
      <c r="D1304" s="562"/>
      <c r="E1304" s="562"/>
      <c r="F1304" s="562"/>
      <c r="G1304" s="292">
        <f t="shared" ref="G1304:G1309" si="434">K1304</f>
        <v>0</v>
      </c>
      <c r="H1304" s="292"/>
      <c r="I1304" s="292"/>
      <c r="J1304" s="292"/>
      <c r="K1304" s="292"/>
      <c r="L1304" s="292"/>
      <c r="M1304" s="684"/>
      <c r="N1304" s="562"/>
      <c r="O1304" s="1030" t="s">
        <v>881</v>
      </c>
    </row>
    <row r="1305" spans="1:66" s="295" customFormat="1" ht="24.75" customHeight="1">
      <c r="A1305" s="1029"/>
      <c r="B1305" s="564" t="s">
        <v>248</v>
      </c>
      <c r="C1305" s="562"/>
      <c r="D1305" s="562"/>
      <c r="E1305" s="562"/>
      <c r="F1305" s="562"/>
      <c r="G1305" s="292">
        <f t="shared" si="434"/>
        <v>8040</v>
      </c>
      <c r="H1305" s="292"/>
      <c r="I1305" s="292"/>
      <c r="J1305" s="292"/>
      <c r="K1305" s="292">
        <v>8040</v>
      </c>
      <c r="L1305" s="292"/>
      <c r="M1305" s="684"/>
      <c r="N1305" s="562"/>
      <c r="O1305" s="1031"/>
    </row>
    <row r="1306" spans="1:66" s="295" customFormat="1" ht="24.75" customHeight="1">
      <c r="A1306" s="1028" t="s">
        <v>879</v>
      </c>
      <c r="B1306" s="564" t="s">
        <v>89</v>
      </c>
      <c r="C1306" s="562"/>
      <c r="D1306" s="562"/>
      <c r="E1306" s="562"/>
      <c r="F1306" s="562"/>
      <c r="G1306" s="292">
        <f t="shared" si="434"/>
        <v>1.3</v>
      </c>
      <c r="H1306" s="292"/>
      <c r="I1306" s="292"/>
      <c r="J1306" s="292"/>
      <c r="K1306" s="292">
        <v>1.3</v>
      </c>
      <c r="L1306" s="292"/>
      <c r="M1306" s="684">
        <v>1</v>
      </c>
      <c r="N1306" s="562"/>
      <c r="O1306" s="1030" t="s">
        <v>1087</v>
      </c>
    </row>
    <row r="1307" spans="1:66" s="295" customFormat="1" ht="24.75" customHeight="1">
      <c r="A1307" s="1029"/>
      <c r="B1307" s="564" t="s">
        <v>248</v>
      </c>
      <c r="C1307" s="562"/>
      <c r="D1307" s="562"/>
      <c r="E1307" s="562"/>
      <c r="F1307" s="562"/>
      <c r="G1307" s="292">
        <f t="shared" si="434"/>
        <v>33912.400000000001</v>
      </c>
      <c r="H1307" s="292"/>
      <c r="I1307" s="292"/>
      <c r="J1307" s="292"/>
      <c r="K1307" s="292">
        <f>14912.4+19000</f>
        <v>33912.400000000001</v>
      </c>
      <c r="L1307" s="292">
        <f>17000+8784-17000-500</f>
        <v>8284</v>
      </c>
      <c r="M1307" s="684">
        <v>12560.7</v>
      </c>
      <c r="N1307" s="562"/>
      <c r="O1307" s="1031"/>
    </row>
    <row r="1308" spans="1:66" ht="66" customHeight="1">
      <c r="A1308" s="77" t="s">
        <v>32</v>
      </c>
      <c r="B1308" s="562" t="s">
        <v>248</v>
      </c>
      <c r="C1308" s="562">
        <v>176</v>
      </c>
      <c r="D1308" s="562" t="s">
        <v>15</v>
      </c>
      <c r="E1308" s="562">
        <v>6100404</v>
      </c>
      <c r="F1308" s="562">
        <v>244</v>
      </c>
      <c r="G1308" s="292">
        <f t="shared" si="434"/>
        <v>7500</v>
      </c>
      <c r="H1308" s="292"/>
      <c r="I1308" s="292"/>
      <c r="J1308" s="292">
        <v>0</v>
      </c>
      <c r="K1308" s="292">
        <v>7500</v>
      </c>
      <c r="L1308" s="292">
        <v>4000</v>
      </c>
      <c r="M1308" s="684">
        <v>17125</v>
      </c>
      <c r="N1308" s="562"/>
      <c r="O1308" s="563" t="s">
        <v>479</v>
      </c>
      <c r="P1308" s="295"/>
      <c r="Q1308" s="295"/>
      <c r="R1308" s="295"/>
      <c r="S1308" s="295"/>
      <c r="T1308" s="295"/>
      <c r="U1308" s="295"/>
      <c r="V1308" s="295"/>
      <c r="W1308" s="295"/>
      <c r="X1308" s="295"/>
      <c r="Y1308" s="295"/>
      <c r="Z1308" s="295"/>
      <c r="AA1308" s="295"/>
      <c r="AB1308" s="295"/>
      <c r="AC1308" s="295"/>
      <c r="AD1308" s="295"/>
      <c r="AE1308" s="295"/>
      <c r="AF1308" s="295"/>
      <c r="AG1308" s="295"/>
      <c r="AH1308" s="295"/>
      <c r="AI1308" s="295"/>
      <c r="BJ1308" s="295"/>
      <c r="BK1308" s="295"/>
      <c r="BL1308" s="295"/>
      <c r="BM1308" s="295"/>
      <c r="BN1308" s="295"/>
    </row>
    <row r="1309" spans="1:66" ht="50.25" customHeight="1">
      <c r="A1309" s="573" t="s">
        <v>1048</v>
      </c>
      <c r="B1309" s="564" t="s">
        <v>248</v>
      </c>
      <c r="C1309" s="564"/>
      <c r="D1309" s="564"/>
      <c r="E1309" s="564"/>
      <c r="F1309" s="564"/>
      <c r="G1309" s="103">
        <f t="shared" si="434"/>
        <v>20000</v>
      </c>
      <c r="H1309" s="103"/>
      <c r="I1309" s="103"/>
      <c r="J1309" s="103"/>
      <c r="K1309" s="103">
        <v>20000</v>
      </c>
      <c r="L1309" s="103">
        <v>12000</v>
      </c>
      <c r="M1309" s="679">
        <v>20000</v>
      </c>
      <c r="N1309" s="564"/>
      <c r="O1309" s="790" t="s">
        <v>1049</v>
      </c>
      <c r="P1309" s="295"/>
      <c r="Q1309" s="295"/>
      <c r="R1309" s="295"/>
      <c r="S1309" s="295"/>
      <c r="T1309" s="295"/>
      <c r="U1309" s="295"/>
      <c r="V1309" s="295"/>
      <c r="W1309" s="295"/>
      <c r="X1309" s="295"/>
      <c r="Y1309" s="295"/>
      <c r="Z1309" s="295"/>
      <c r="AA1309" s="295"/>
      <c r="AB1309" s="295"/>
      <c r="AC1309" s="295"/>
      <c r="AD1309" s="295"/>
      <c r="AE1309" s="295"/>
      <c r="AF1309" s="295"/>
      <c r="AG1309" s="295"/>
      <c r="AH1309" s="295"/>
      <c r="AI1309" s="295"/>
      <c r="BJ1309" s="295"/>
      <c r="BK1309" s="295"/>
      <c r="BL1309" s="295"/>
      <c r="BM1309" s="295"/>
      <c r="BN1309" s="295"/>
    </row>
    <row r="1310" spans="1:66" ht="20.25" customHeight="1">
      <c r="A1310" s="985" t="s">
        <v>983</v>
      </c>
      <c r="B1310" s="787" t="s">
        <v>89</v>
      </c>
      <c r="C1310" s="564"/>
      <c r="D1310" s="564"/>
      <c r="E1310" s="564"/>
      <c r="F1310" s="564"/>
      <c r="G1310" s="102"/>
      <c r="H1310" s="103"/>
      <c r="I1310" s="102"/>
      <c r="J1310" s="102"/>
      <c r="K1310" s="102">
        <v>0</v>
      </c>
      <c r="L1310" s="102">
        <v>0</v>
      </c>
      <c r="M1310" s="499"/>
      <c r="N1310" s="1030" t="s">
        <v>816</v>
      </c>
      <c r="O1310" s="1030" t="s">
        <v>982</v>
      </c>
      <c r="P1310" s="295"/>
      <c r="Q1310" s="295"/>
      <c r="R1310" s="295"/>
      <c r="S1310" s="295"/>
      <c r="T1310" s="295"/>
      <c r="U1310" s="295"/>
      <c r="V1310" s="295"/>
      <c r="W1310" s="295"/>
      <c r="X1310" s="295"/>
      <c r="Y1310" s="295"/>
      <c r="Z1310" s="295"/>
      <c r="AA1310" s="295"/>
      <c r="AB1310" s="295"/>
      <c r="AC1310" s="295"/>
      <c r="AD1310" s="295"/>
      <c r="AE1310" s="295"/>
      <c r="AF1310" s="295"/>
      <c r="AG1310" s="295"/>
      <c r="AH1310" s="295"/>
      <c r="AI1310" s="295"/>
      <c r="BJ1310" s="295"/>
      <c r="BK1310" s="295"/>
      <c r="BL1310" s="295"/>
      <c r="BM1310" s="295"/>
      <c r="BN1310" s="295"/>
    </row>
    <row r="1311" spans="1:66" ht="23.25" customHeight="1">
      <c r="A1311" s="986"/>
      <c r="B1311" s="787" t="s">
        <v>500</v>
      </c>
      <c r="C1311" s="564"/>
      <c r="D1311" s="564"/>
      <c r="E1311" s="564"/>
      <c r="F1311" s="564"/>
      <c r="G1311" s="102"/>
      <c r="H1311" s="102"/>
      <c r="I1311" s="102"/>
      <c r="J1311" s="102"/>
      <c r="K1311" s="102"/>
      <c r="L1311" s="102"/>
      <c r="M1311" s="102"/>
      <c r="N1311" s="1032"/>
      <c r="O1311" s="1032"/>
      <c r="P1311" s="295"/>
      <c r="Q1311" s="295"/>
      <c r="R1311" s="295"/>
      <c r="S1311" s="295"/>
      <c r="T1311" s="295"/>
      <c r="U1311" s="295"/>
      <c r="V1311" s="295"/>
      <c r="W1311" s="295"/>
      <c r="X1311" s="295"/>
      <c r="Y1311" s="295"/>
      <c r="Z1311" s="295"/>
      <c r="AA1311" s="295"/>
      <c r="AB1311" s="295"/>
      <c r="AC1311" s="295"/>
      <c r="AD1311" s="295"/>
      <c r="AE1311" s="295"/>
      <c r="AF1311" s="295"/>
      <c r="AG1311" s="295"/>
      <c r="AH1311" s="295"/>
      <c r="AI1311" s="295"/>
      <c r="BJ1311" s="295"/>
      <c r="BK1311" s="295"/>
      <c r="BL1311" s="295"/>
      <c r="BM1311" s="295"/>
      <c r="BN1311" s="295"/>
    </row>
    <row r="1312" spans="1:66" ht="27" customHeight="1">
      <c r="A1312" s="986"/>
      <c r="B1312" s="787" t="s">
        <v>501</v>
      </c>
      <c r="C1312" s="564"/>
      <c r="D1312" s="564"/>
      <c r="E1312" s="564"/>
      <c r="F1312" s="564"/>
      <c r="G1312" s="102">
        <f>H1312</f>
        <v>6854.1</v>
      </c>
      <c r="H1312" s="102">
        <f t="shared" ref="H1312:M1312" si="435">H1313+H1314+H1315</f>
        <v>6854.1</v>
      </c>
      <c r="I1312" s="102">
        <f t="shared" si="435"/>
        <v>0</v>
      </c>
      <c r="J1312" s="102">
        <f t="shared" si="435"/>
        <v>0</v>
      </c>
      <c r="K1312" s="102">
        <f t="shared" si="435"/>
        <v>0</v>
      </c>
      <c r="L1312" s="102">
        <f t="shared" si="435"/>
        <v>0</v>
      </c>
      <c r="M1312" s="499">
        <f t="shared" si="435"/>
        <v>0</v>
      </c>
      <c r="N1312" s="1032"/>
      <c r="O1312" s="1032"/>
      <c r="P1312" s="295"/>
      <c r="Q1312" s="295"/>
      <c r="R1312" s="295"/>
      <c r="S1312" s="295"/>
      <c r="T1312" s="295"/>
      <c r="U1312" s="295"/>
      <c r="V1312" s="295"/>
      <c r="W1312" s="295"/>
      <c r="X1312" s="295"/>
      <c r="Y1312" s="295"/>
      <c r="Z1312" s="295"/>
      <c r="AA1312" s="295"/>
      <c r="AB1312" s="295"/>
      <c r="AC1312" s="295"/>
      <c r="AD1312" s="295"/>
      <c r="AE1312" s="295"/>
      <c r="AF1312" s="295"/>
      <c r="AG1312" s="295"/>
      <c r="AH1312" s="295"/>
      <c r="AI1312" s="295"/>
      <c r="BJ1312" s="295"/>
      <c r="BK1312" s="295"/>
      <c r="BL1312" s="295"/>
      <c r="BM1312" s="295"/>
      <c r="BN1312" s="295"/>
    </row>
    <row r="1313" spans="1:66" ht="19.5" customHeight="1">
      <c r="A1313" s="986"/>
      <c r="B1313" s="787" t="s">
        <v>502</v>
      </c>
      <c r="C1313" s="564"/>
      <c r="D1313" s="564"/>
      <c r="E1313" s="564"/>
      <c r="F1313" s="564"/>
      <c r="G1313" s="102">
        <f t="shared" ref="G1313:G1315" si="436">K1313</f>
        <v>0</v>
      </c>
      <c r="H1313" s="102">
        <f t="shared" ref="H1313:M1315" si="437">H1318+H1322+H1326+H1330+H1334</f>
        <v>0</v>
      </c>
      <c r="I1313" s="102">
        <f t="shared" si="437"/>
        <v>0</v>
      </c>
      <c r="J1313" s="102">
        <f t="shared" si="437"/>
        <v>0</v>
      </c>
      <c r="K1313" s="102">
        <f t="shared" si="437"/>
        <v>0</v>
      </c>
      <c r="L1313" s="102">
        <f t="shared" si="437"/>
        <v>0</v>
      </c>
      <c r="M1313" s="499">
        <f t="shared" si="437"/>
        <v>0</v>
      </c>
      <c r="N1313" s="1032"/>
      <c r="O1313" s="1032"/>
      <c r="P1313" s="295"/>
      <c r="Q1313" s="295"/>
      <c r="R1313" s="295"/>
      <c r="S1313" s="295"/>
      <c r="T1313" s="295"/>
      <c r="U1313" s="295"/>
      <c r="V1313" s="295"/>
      <c r="W1313" s="295"/>
      <c r="X1313" s="295"/>
      <c r="Y1313" s="295"/>
      <c r="Z1313" s="295"/>
      <c r="AA1313" s="295"/>
      <c r="AB1313" s="295"/>
      <c r="AC1313" s="295"/>
      <c r="AD1313" s="295"/>
      <c r="AE1313" s="295"/>
      <c r="AF1313" s="295"/>
      <c r="AG1313" s="295"/>
      <c r="AH1313" s="295"/>
      <c r="AI1313" s="295"/>
      <c r="BJ1313" s="295"/>
      <c r="BK1313" s="295"/>
      <c r="BL1313" s="295"/>
      <c r="BM1313" s="295"/>
      <c r="BN1313" s="295"/>
    </row>
    <row r="1314" spans="1:66" ht="21.75" customHeight="1">
      <c r="A1314" s="986"/>
      <c r="B1314" s="787" t="s">
        <v>10</v>
      </c>
      <c r="C1314" s="564"/>
      <c r="D1314" s="564"/>
      <c r="E1314" s="564"/>
      <c r="F1314" s="564"/>
      <c r="G1314" s="102">
        <f>H1314</f>
        <v>6854.1</v>
      </c>
      <c r="H1314" s="102">
        <v>6854.1</v>
      </c>
      <c r="I1314" s="102">
        <f t="shared" si="437"/>
        <v>0</v>
      </c>
      <c r="J1314" s="102">
        <f t="shared" si="437"/>
        <v>0</v>
      </c>
      <c r="K1314" s="102"/>
      <c r="L1314" s="102">
        <f t="shared" si="437"/>
        <v>0</v>
      </c>
      <c r="M1314" s="499">
        <f t="shared" si="437"/>
        <v>0</v>
      </c>
      <c r="N1314" s="1032"/>
      <c r="O1314" s="1032"/>
      <c r="P1314" s="295"/>
      <c r="Q1314" s="295"/>
      <c r="R1314" s="295"/>
      <c r="S1314" s="295"/>
      <c r="T1314" s="295"/>
      <c r="U1314" s="295"/>
      <c r="V1314" s="295"/>
      <c r="W1314" s="295"/>
      <c r="X1314" s="295"/>
      <c r="Y1314" s="295"/>
      <c r="Z1314" s="295"/>
      <c r="AA1314" s="295"/>
      <c r="AB1314" s="295"/>
      <c r="AC1314" s="295"/>
      <c r="AD1314" s="295"/>
      <c r="AE1314" s="295"/>
      <c r="AF1314" s="295"/>
      <c r="AG1314" s="295"/>
      <c r="AH1314" s="295"/>
      <c r="AI1314" s="295"/>
      <c r="BJ1314" s="295"/>
      <c r="BK1314" s="295"/>
      <c r="BL1314" s="295"/>
      <c r="BM1314" s="295"/>
      <c r="BN1314" s="295"/>
    </row>
    <row r="1315" spans="1:66" ht="21" customHeight="1">
      <c r="A1315" s="986"/>
      <c r="B1315" s="787" t="s">
        <v>442</v>
      </c>
      <c r="C1315" s="564"/>
      <c r="D1315" s="564"/>
      <c r="E1315" s="564"/>
      <c r="F1315" s="564"/>
      <c r="G1315" s="102">
        <f t="shared" si="436"/>
        <v>0</v>
      </c>
      <c r="H1315" s="102">
        <f t="shared" si="437"/>
        <v>0</v>
      </c>
      <c r="I1315" s="102">
        <f t="shared" si="437"/>
        <v>0</v>
      </c>
      <c r="J1315" s="102">
        <f t="shared" si="437"/>
        <v>0</v>
      </c>
      <c r="K1315" s="102">
        <f t="shared" si="437"/>
        <v>0</v>
      </c>
      <c r="L1315" s="102">
        <f t="shared" si="437"/>
        <v>0</v>
      </c>
      <c r="M1315" s="499">
        <f t="shared" si="437"/>
        <v>0</v>
      </c>
      <c r="N1315" s="1032"/>
      <c r="O1315" s="1032"/>
      <c r="P1315" s="295"/>
      <c r="Q1315" s="295"/>
      <c r="R1315" s="295"/>
      <c r="S1315" s="295"/>
      <c r="T1315" s="295"/>
      <c r="U1315" s="295"/>
      <c r="V1315" s="295"/>
      <c r="W1315" s="295"/>
      <c r="X1315" s="295"/>
      <c r="Y1315" s="295"/>
      <c r="Z1315" s="295"/>
      <c r="AA1315" s="295"/>
      <c r="AB1315" s="295"/>
      <c r="AC1315" s="295"/>
      <c r="AD1315" s="295"/>
      <c r="AE1315" s="295"/>
      <c r="AF1315" s="295"/>
      <c r="AG1315" s="295"/>
      <c r="AH1315" s="295"/>
      <c r="AI1315" s="295"/>
      <c r="BJ1315" s="295"/>
      <c r="BK1315" s="295"/>
      <c r="BL1315" s="295"/>
      <c r="BM1315" s="295"/>
      <c r="BN1315" s="295"/>
    </row>
    <row r="1316" spans="1:66" ht="23.25" customHeight="1">
      <c r="A1316" s="987"/>
      <c r="B1316" s="787" t="s">
        <v>454</v>
      </c>
      <c r="C1316" s="564"/>
      <c r="D1316" s="564"/>
      <c r="E1316" s="564"/>
      <c r="F1316" s="564"/>
      <c r="G1316" s="102"/>
      <c r="H1316" s="103"/>
      <c r="I1316" s="102"/>
      <c r="J1316" s="102"/>
      <c r="K1316" s="102"/>
      <c r="L1316" s="102"/>
      <c r="M1316" s="499"/>
      <c r="N1316" s="1031"/>
      <c r="O1316" s="1031"/>
      <c r="P1316" s="295"/>
      <c r="Q1316" s="295"/>
      <c r="R1316" s="295"/>
      <c r="S1316" s="295"/>
      <c r="T1316" s="295"/>
      <c r="U1316" s="295"/>
      <c r="V1316" s="295"/>
      <c r="W1316" s="295"/>
      <c r="X1316" s="295"/>
      <c r="Y1316" s="295"/>
      <c r="Z1316" s="295"/>
      <c r="AA1316" s="295"/>
      <c r="AB1316" s="295"/>
      <c r="AC1316" s="295"/>
      <c r="AD1316" s="295"/>
      <c r="AE1316" s="295"/>
      <c r="AF1316" s="295"/>
      <c r="AG1316" s="295"/>
      <c r="AH1316" s="295"/>
      <c r="AI1316" s="295"/>
      <c r="BJ1316" s="295"/>
      <c r="BK1316" s="295"/>
      <c r="BL1316" s="295"/>
      <c r="BM1316" s="295"/>
      <c r="BN1316" s="295"/>
    </row>
    <row r="1317" spans="1:66" ht="27.75" hidden="1" customHeight="1">
      <c r="A1317" s="985" t="s">
        <v>75</v>
      </c>
      <c r="B1317" s="128" t="s">
        <v>25</v>
      </c>
      <c r="C1317" s="564"/>
      <c r="D1317" s="564"/>
      <c r="E1317" s="564"/>
      <c r="F1317" s="564"/>
      <c r="G1317" s="102">
        <f>G1318+G1319+G1320</f>
        <v>0</v>
      </c>
      <c r="H1317" s="102">
        <f t="shared" ref="H1317:M1317" si="438">H1318+H1319+H1320</f>
        <v>0</v>
      </c>
      <c r="I1317" s="102">
        <f t="shared" si="438"/>
        <v>0</v>
      </c>
      <c r="J1317" s="102">
        <f t="shared" si="438"/>
        <v>0</v>
      </c>
      <c r="K1317" s="102">
        <f t="shared" si="438"/>
        <v>0</v>
      </c>
      <c r="L1317" s="102">
        <f t="shared" si="438"/>
        <v>0</v>
      </c>
      <c r="M1317" s="499">
        <f t="shared" si="438"/>
        <v>0</v>
      </c>
      <c r="N1317" s="564"/>
      <c r="O1317" s="1030"/>
      <c r="P1317" s="295"/>
      <c r="Q1317" s="295"/>
      <c r="R1317" s="295"/>
      <c r="S1317" s="295"/>
      <c r="T1317" s="295"/>
      <c r="U1317" s="295"/>
      <c r="V1317" s="295"/>
      <c r="W1317" s="295"/>
      <c r="X1317" s="295"/>
      <c r="Y1317" s="295"/>
      <c r="Z1317" s="295"/>
      <c r="AA1317" s="295"/>
      <c r="AB1317" s="295"/>
      <c r="AC1317" s="295"/>
      <c r="AD1317" s="295"/>
      <c r="AE1317" s="295"/>
      <c r="AF1317" s="295"/>
      <c r="AG1317" s="295"/>
      <c r="AH1317" s="295"/>
      <c r="AI1317" s="295"/>
      <c r="BJ1317" s="295"/>
      <c r="BK1317" s="295"/>
      <c r="BL1317" s="295"/>
      <c r="BM1317" s="295"/>
      <c r="BN1317" s="295"/>
    </row>
    <row r="1318" spans="1:66" ht="26.25" hidden="1" customHeight="1">
      <c r="A1318" s="986"/>
      <c r="B1318" s="559" t="s">
        <v>10</v>
      </c>
      <c r="C1318" s="564"/>
      <c r="D1318" s="564"/>
      <c r="E1318" s="564"/>
      <c r="F1318" s="564"/>
      <c r="G1318" s="102">
        <f>K1318</f>
        <v>0</v>
      </c>
      <c r="H1318" s="103"/>
      <c r="I1318" s="102"/>
      <c r="J1318" s="102"/>
      <c r="K1318" s="102"/>
      <c r="L1318" s="102"/>
      <c r="M1318" s="499"/>
      <c r="N1318" s="564"/>
      <c r="O1318" s="1032"/>
      <c r="P1318" s="295"/>
      <c r="Q1318" s="295"/>
      <c r="R1318" s="295"/>
      <c r="S1318" s="295"/>
      <c r="T1318" s="295"/>
      <c r="U1318" s="295"/>
      <c r="V1318" s="295"/>
      <c r="W1318" s="295"/>
      <c r="X1318" s="295"/>
      <c r="Y1318" s="295"/>
      <c r="Z1318" s="295"/>
      <c r="AA1318" s="295"/>
      <c r="AB1318" s="295"/>
      <c r="AC1318" s="295"/>
      <c r="AD1318" s="295"/>
      <c r="AE1318" s="295"/>
      <c r="AF1318" s="295"/>
      <c r="AG1318" s="295"/>
      <c r="AH1318" s="295"/>
      <c r="AI1318" s="295"/>
      <c r="BJ1318" s="295"/>
      <c r="BK1318" s="295"/>
      <c r="BL1318" s="295"/>
      <c r="BM1318" s="295"/>
      <c r="BN1318" s="295"/>
    </row>
    <row r="1319" spans="1:66" ht="26.25" hidden="1" customHeight="1">
      <c r="A1319" s="986"/>
      <c r="B1319" s="559" t="s">
        <v>443</v>
      </c>
      <c r="C1319" s="564"/>
      <c r="D1319" s="564"/>
      <c r="E1319" s="564"/>
      <c r="F1319" s="564"/>
      <c r="G1319" s="102">
        <f>K1319</f>
        <v>0</v>
      </c>
      <c r="H1319" s="103"/>
      <c r="I1319" s="102"/>
      <c r="J1319" s="102"/>
      <c r="K1319" s="102"/>
      <c r="L1319" s="102"/>
      <c r="M1319" s="499"/>
      <c r="N1319" s="564"/>
      <c r="O1319" s="1032"/>
      <c r="P1319" s="295"/>
      <c r="Q1319" s="295"/>
      <c r="R1319" s="295"/>
      <c r="S1319" s="295"/>
      <c r="T1319" s="295"/>
      <c r="U1319" s="295"/>
      <c r="V1319" s="295"/>
      <c r="W1319" s="295"/>
      <c r="X1319" s="295"/>
      <c r="Y1319" s="295"/>
      <c r="Z1319" s="295"/>
      <c r="AA1319" s="295"/>
      <c r="AB1319" s="295"/>
      <c r="AC1319" s="295"/>
      <c r="AD1319" s="295"/>
      <c r="AE1319" s="295"/>
      <c r="AF1319" s="295"/>
      <c r="AG1319" s="295"/>
      <c r="AH1319" s="295"/>
      <c r="AI1319" s="295"/>
      <c r="BJ1319" s="295"/>
      <c r="BK1319" s="295"/>
      <c r="BL1319" s="295"/>
      <c r="BM1319" s="295"/>
      <c r="BN1319" s="295"/>
    </row>
    <row r="1320" spans="1:66" ht="26.25" hidden="1" customHeight="1">
      <c r="A1320" s="987"/>
      <c r="B1320" s="559" t="s">
        <v>476</v>
      </c>
      <c r="C1320" s="564"/>
      <c r="D1320" s="564"/>
      <c r="E1320" s="564"/>
      <c r="F1320" s="564"/>
      <c r="G1320" s="102"/>
      <c r="H1320" s="103"/>
      <c r="I1320" s="102"/>
      <c r="J1320" s="102"/>
      <c r="K1320" s="102"/>
      <c r="L1320" s="102"/>
      <c r="M1320" s="499"/>
      <c r="N1320" s="564"/>
      <c r="O1320" s="1031"/>
      <c r="P1320" s="295"/>
      <c r="Q1320" s="295"/>
      <c r="R1320" s="295"/>
      <c r="S1320" s="295"/>
      <c r="T1320" s="295"/>
      <c r="U1320" s="295"/>
      <c r="V1320" s="295"/>
      <c r="W1320" s="295"/>
      <c r="X1320" s="295"/>
      <c r="Y1320" s="295"/>
      <c r="Z1320" s="295"/>
      <c r="AA1320" s="295"/>
      <c r="AB1320" s="295"/>
      <c r="AC1320" s="295"/>
      <c r="AD1320" s="295"/>
      <c r="AE1320" s="295"/>
      <c r="AF1320" s="295"/>
      <c r="AG1320" s="295"/>
      <c r="AH1320" s="295"/>
      <c r="AI1320" s="295"/>
      <c r="BJ1320" s="295"/>
      <c r="BK1320" s="295"/>
      <c r="BL1320" s="295"/>
      <c r="BM1320" s="295"/>
      <c r="BN1320" s="295"/>
    </row>
    <row r="1321" spans="1:66" ht="26.25" hidden="1" customHeight="1">
      <c r="A1321" s="985" t="s">
        <v>76</v>
      </c>
      <c r="B1321" s="128" t="s">
        <v>25</v>
      </c>
      <c r="C1321" s="564"/>
      <c r="D1321" s="564"/>
      <c r="E1321" s="564"/>
      <c r="F1321" s="564"/>
      <c r="G1321" s="102">
        <f>G1322+G1323+G1324</f>
        <v>0</v>
      </c>
      <c r="H1321" s="102">
        <f t="shared" ref="H1321:M1321" si="439">H1322+H1323+H1324</f>
        <v>0</v>
      </c>
      <c r="I1321" s="102">
        <f t="shared" si="439"/>
        <v>0</v>
      </c>
      <c r="J1321" s="102">
        <f t="shared" si="439"/>
        <v>0</v>
      </c>
      <c r="K1321" s="102">
        <f t="shared" si="439"/>
        <v>0</v>
      </c>
      <c r="L1321" s="102">
        <f t="shared" si="439"/>
        <v>0</v>
      </c>
      <c r="M1321" s="499">
        <f t="shared" si="439"/>
        <v>0</v>
      </c>
      <c r="N1321" s="564"/>
      <c r="O1321" s="1030"/>
      <c r="P1321" s="295"/>
      <c r="Q1321" s="295"/>
      <c r="R1321" s="295"/>
      <c r="S1321" s="295"/>
      <c r="T1321" s="295"/>
      <c r="U1321" s="295"/>
      <c r="V1321" s="295"/>
      <c r="W1321" s="295"/>
      <c r="X1321" s="295"/>
      <c r="Y1321" s="295"/>
      <c r="Z1321" s="295"/>
      <c r="AA1321" s="295"/>
      <c r="AB1321" s="295"/>
      <c r="AC1321" s="295"/>
      <c r="AD1321" s="295"/>
      <c r="AE1321" s="295"/>
      <c r="AF1321" s="295"/>
      <c r="AG1321" s="295"/>
      <c r="AH1321" s="295"/>
      <c r="AI1321" s="295"/>
      <c r="BJ1321" s="295"/>
      <c r="BK1321" s="295"/>
      <c r="BL1321" s="295"/>
      <c r="BM1321" s="295"/>
      <c r="BN1321" s="295"/>
    </row>
    <row r="1322" spans="1:66" ht="26.25" hidden="1" customHeight="1">
      <c r="A1322" s="986"/>
      <c r="B1322" s="559" t="s">
        <v>10</v>
      </c>
      <c r="C1322" s="564"/>
      <c r="D1322" s="564"/>
      <c r="E1322" s="564"/>
      <c r="F1322" s="564"/>
      <c r="G1322" s="102">
        <f>K1322</f>
        <v>0</v>
      </c>
      <c r="H1322" s="103"/>
      <c r="I1322" s="102"/>
      <c r="J1322" s="102"/>
      <c r="K1322" s="102"/>
      <c r="L1322" s="102"/>
      <c r="M1322" s="499"/>
      <c r="N1322" s="564"/>
      <c r="O1322" s="1032"/>
      <c r="P1322" s="295"/>
      <c r="Q1322" s="295"/>
      <c r="R1322" s="295"/>
      <c r="S1322" s="295"/>
      <c r="T1322" s="295"/>
      <c r="U1322" s="295"/>
      <c r="V1322" s="295"/>
      <c r="W1322" s="295"/>
      <c r="X1322" s="295"/>
      <c r="Y1322" s="295"/>
      <c r="Z1322" s="295"/>
      <c r="AA1322" s="295"/>
      <c r="AB1322" s="295"/>
      <c r="AC1322" s="295"/>
      <c r="AD1322" s="295"/>
      <c r="AE1322" s="295"/>
      <c r="AF1322" s="295"/>
      <c r="AG1322" s="295"/>
      <c r="AH1322" s="295"/>
      <c r="AI1322" s="295"/>
      <c r="BJ1322" s="295"/>
      <c r="BK1322" s="295"/>
      <c r="BL1322" s="295"/>
      <c r="BM1322" s="295"/>
      <c r="BN1322" s="295"/>
    </row>
    <row r="1323" spans="1:66" ht="21.75" hidden="1" customHeight="1">
      <c r="A1323" s="986"/>
      <c r="B1323" s="559" t="s">
        <v>443</v>
      </c>
      <c r="C1323" s="564"/>
      <c r="D1323" s="564"/>
      <c r="E1323" s="564"/>
      <c r="F1323" s="564"/>
      <c r="G1323" s="102">
        <f>K1323</f>
        <v>0</v>
      </c>
      <c r="H1323" s="103"/>
      <c r="I1323" s="102"/>
      <c r="J1323" s="102"/>
      <c r="K1323" s="102"/>
      <c r="L1323" s="102"/>
      <c r="M1323" s="499"/>
      <c r="N1323" s="564"/>
      <c r="O1323" s="1032"/>
      <c r="P1323" s="295"/>
      <c r="Q1323" s="295"/>
      <c r="R1323" s="295"/>
      <c r="S1323" s="295"/>
      <c r="T1323" s="295"/>
      <c r="U1323" s="295"/>
      <c r="V1323" s="295"/>
      <c r="W1323" s="295"/>
      <c r="X1323" s="295"/>
      <c r="Y1323" s="295"/>
      <c r="Z1323" s="295"/>
      <c r="AA1323" s="295"/>
      <c r="AB1323" s="295"/>
      <c r="AC1323" s="295"/>
      <c r="AD1323" s="295"/>
      <c r="AE1323" s="295"/>
      <c r="AF1323" s="295"/>
      <c r="AG1323" s="295"/>
      <c r="AH1323" s="295"/>
      <c r="AI1323" s="295"/>
      <c r="BJ1323" s="295"/>
      <c r="BK1323" s="295"/>
      <c r="BL1323" s="295"/>
      <c r="BM1323" s="295"/>
      <c r="BN1323" s="295"/>
    </row>
    <row r="1324" spans="1:66" ht="21.75" hidden="1" customHeight="1">
      <c r="A1324" s="987"/>
      <c r="B1324" s="559" t="s">
        <v>476</v>
      </c>
      <c r="C1324" s="564"/>
      <c r="D1324" s="564"/>
      <c r="E1324" s="564"/>
      <c r="F1324" s="564"/>
      <c r="G1324" s="102"/>
      <c r="H1324" s="103"/>
      <c r="I1324" s="102"/>
      <c r="J1324" s="102"/>
      <c r="K1324" s="102"/>
      <c r="L1324" s="102"/>
      <c r="M1324" s="499"/>
      <c r="N1324" s="564"/>
      <c r="O1324" s="1031"/>
      <c r="P1324" s="295"/>
      <c r="Q1324" s="295"/>
      <c r="R1324" s="295"/>
      <c r="S1324" s="295"/>
      <c r="T1324" s="295"/>
      <c r="U1324" s="295"/>
      <c r="V1324" s="295"/>
      <c r="W1324" s="295"/>
      <c r="X1324" s="295"/>
      <c r="Y1324" s="295"/>
      <c r="Z1324" s="295"/>
      <c r="AA1324" s="295"/>
      <c r="AB1324" s="295"/>
      <c r="AC1324" s="295"/>
      <c r="AD1324" s="295"/>
      <c r="AE1324" s="295"/>
      <c r="AF1324" s="295"/>
      <c r="AG1324" s="295"/>
      <c r="AH1324" s="295"/>
      <c r="AI1324" s="295"/>
      <c r="BJ1324" s="295"/>
      <c r="BK1324" s="295"/>
      <c r="BL1324" s="295"/>
      <c r="BM1324" s="295"/>
      <c r="BN1324" s="295"/>
    </row>
    <row r="1325" spans="1:66" ht="21.75" hidden="1" customHeight="1">
      <c r="A1325" s="985" t="s">
        <v>77</v>
      </c>
      <c r="B1325" s="128" t="s">
        <v>25</v>
      </c>
      <c r="C1325" s="564"/>
      <c r="D1325" s="564"/>
      <c r="E1325" s="564"/>
      <c r="F1325" s="564"/>
      <c r="G1325" s="102">
        <f>G1326+G1327+G1328</f>
        <v>0</v>
      </c>
      <c r="H1325" s="102">
        <f t="shared" ref="H1325:K1325" si="440">H1326+H1327+H1328</f>
        <v>0</v>
      </c>
      <c r="I1325" s="102">
        <f t="shared" si="440"/>
        <v>0</v>
      </c>
      <c r="J1325" s="102">
        <f t="shared" si="440"/>
        <v>0</v>
      </c>
      <c r="K1325" s="102">
        <f t="shared" si="440"/>
        <v>0</v>
      </c>
      <c r="L1325" s="102"/>
      <c r="M1325" s="499"/>
      <c r="N1325" s="564"/>
      <c r="O1325" s="1030"/>
      <c r="P1325" s="295"/>
      <c r="Q1325" s="295"/>
      <c r="R1325" s="295"/>
      <c r="S1325" s="295"/>
      <c r="T1325" s="295"/>
      <c r="U1325" s="295"/>
      <c r="V1325" s="295"/>
      <c r="W1325" s="295"/>
      <c r="X1325" s="295"/>
      <c r="Y1325" s="295"/>
      <c r="Z1325" s="295"/>
      <c r="AA1325" s="295"/>
      <c r="AB1325" s="295"/>
      <c r="AC1325" s="295"/>
      <c r="AD1325" s="295"/>
      <c r="AE1325" s="295"/>
      <c r="AF1325" s="295"/>
      <c r="AG1325" s="295"/>
      <c r="AH1325" s="295"/>
      <c r="AI1325" s="295"/>
      <c r="BJ1325" s="295"/>
      <c r="BK1325" s="295"/>
      <c r="BL1325" s="295"/>
      <c r="BM1325" s="295"/>
      <c r="BN1325" s="295"/>
    </row>
    <row r="1326" spans="1:66" ht="21.75" hidden="1" customHeight="1">
      <c r="A1326" s="986"/>
      <c r="B1326" s="559" t="s">
        <v>10</v>
      </c>
      <c r="C1326" s="564"/>
      <c r="D1326" s="564"/>
      <c r="E1326" s="564"/>
      <c r="F1326" s="564"/>
      <c r="G1326" s="102"/>
      <c r="H1326" s="103"/>
      <c r="I1326" s="102"/>
      <c r="J1326" s="102"/>
      <c r="K1326" s="102"/>
      <c r="L1326" s="102"/>
      <c r="M1326" s="499"/>
      <c r="N1326" s="564"/>
      <c r="O1326" s="1032"/>
      <c r="P1326" s="295"/>
      <c r="Q1326" s="295"/>
      <c r="R1326" s="295"/>
      <c r="S1326" s="295"/>
      <c r="T1326" s="295"/>
      <c r="U1326" s="295"/>
      <c r="V1326" s="295"/>
      <c r="W1326" s="295"/>
      <c r="X1326" s="295"/>
      <c r="Y1326" s="295"/>
      <c r="Z1326" s="295"/>
      <c r="AA1326" s="295"/>
      <c r="AB1326" s="295"/>
      <c r="AC1326" s="295"/>
      <c r="AD1326" s="295"/>
      <c r="AE1326" s="295"/>
      <c r="AF1326" s="295"/>
      <c r="AG1326" s="295"/>
      <c r="AH1326" s="295"/>
      <c r="AI1326" s="295"/>
      <c r="BJ1326" s="295"/>
      <c r="BK1326" s="295"/>
      <c r="BL1326" s="295"/>
      <c r="BM1326" s="295"/>
      <c r="BN1326" s="295"/>
    </row>
    <row r="1327" spans="1:66" ht="21.75" hidden="1" customHeight="1">
      <c r="A1327" s="986"/>
      <c r="B1327" s="559" t="s">
        <v>443</v>
      </c>
      <c r="C1327" s="564"/>
      <c r="D1327" s="564"/>
      <c r="E1327" s="564"/>
      <c r="F1327" s="564"/>
      <c r="G1327" s="102">
        <f>K1327</f>
        <v>0</v>
      </c>
      <c r="H1327" s="103"/>
      <c r="I1327" s="102"/>
      <c r="J1327" s="102"/>
      <c r="K1327" s="102">
        <v>0</v>
      </c>
      <c r="L1327" s="102"/>
      <c r="M1327" s="499"/>
      <c r="N1327" s="564"/>
      <c r="O1327" s="1032"/>
      <c r="P1327" s="295"/>
      <c r="Q1327" s="295"/>
      <c r="R1327" s="295"/>
      <c r="S1327" s="295"/>
      <c r="T1327" s="295"/>
      <c r="U1327" s="295"/>
      <c r="V1327" s="295"/>
      <c r="W1327" s="295"/>
      <c r="X1327" s="295"/>
      <c r="Y1327" s="295"/>
      <c r="Z1327" s="295"/>
      <c r="AA1327" s="295"/>
      <c r="AB1327" s="295"/>
      <c r="AC1327" s="295"/>
      <c r="AD1327" s="295"/>
      <c r="AE1327" s="295"/>
      <c r="AF1327" s="295"/>
      <c r="AG1327" s="295"/>
      <c r="AH1327" s="295"/>
      <c r="AI1327" s="295"/>
      <c r="BJ1327" s="295"/>
      <c r="BK1327" s="295"/>
      <c r="BL1327" s="295"/>
      <c r="BM1327" s="295"/>
      <c r="BN1327" s="295"/>
    </row>
    <row r="1328" spans="1:66" ht="21.75" hidden="1" customHeight="1">
      <c r="A1328" s="987"/>
      <c r="B1328" s="559" t="s">
        <v>476</v>
      </c>
      <c r="C1328" s="564"/>
      <c r="D1328" s="564"/>
      <c r="E1328" s="564"/>
      <c r="F1328" s="564"/>
      <c r="G1328" s="102"/>
      <c r="H1328" s="103"/>
      <c r="I1328" s="102"/>
      <c r="J1328" s="102"/>
      <c r="K1328" s="102"/>
      <c r="L1328" s="102"/>
      <c r="M1328" s="499"/>
      <c r="N1328" s="564"/>
      <c r="O1328" s="1031"/>
      <c r="P1328" s="295"/>
      <c r="Q1328" s="295"/>
      <c r="R1328" s="295"/>
      <c r="S1328" s="295"/>
      <c r="T1328" s="295"/>
      <c r="U1328" s="295"/>
      <c r="V1328" s="295"/>
      <c r="W1328" s="295"/>
      <c r="X1328" s="295"/>
      <c r="Y1328" s="295"/>
      <c r="Z1328" s="295"/>
      <c r="AA1328" s="295"/>
      <c r="AB1328" s="295"/>
      <c r="AC1328" s="295"/>
      <c r="AD1328" s="295"/>
      <c r="AE1328" s="295"/>
      <c r="AF1328" s="295"/>
      <c r="AG1328" s="295"/>
      <c r="AH1328" s="295"/>
      <c r="AI1328" s="295"/>
      <c r="BJ1328" s="295"/>
      <c r="BK1328" s="295"/>
      <c r="BL1328" s="295"/>
      <c r="BM1328" s="295"/>
      <c r="BN1328" s="295"/>
    </row>
    <row r="1329" spans="1:66" ht="21.75" hidden="1" customHeight="1">
      <c r="A1329" s="985" t="s">
        <v>78</v>
      </c>
      <c r="B1329" s="128" t="s">
        <v>25</v>
      </c>
      <c r="C1329" s="564"/>
      <c r="D1329" s="564"/>
      <c r="E1329" s="564"/>
      <c r="F1329" s="564"/>
      <c r="G1329" s="102">
        <f>G1330+G1331+G1332</f>
        <v>0</v>
      </c>
      <c r="H1329" s="102">
        <f t="shared" ref="H1329:K1329" si="441">H1330+H1331+H1332</f>
        <v>0</v>
      </c>
      <c r="I1329" s="102">
        <f t="shared" si="441"/>
        <v>0</v>
      </c>
      <c r="J1329" s="102">
        <f t="shared" si="441"/>
        <v>0</v>
      </c>
      <c r="K1329" s="102">
        <f t="shared" si="441"/>
        <v>0</v>
      </c>
      <c r="L1329" s="102"/>
      <c r="M1329" s="499"/>
      <c r="N1329" s="564"/>
      <c r="O1329" s="1030"/>
      <c r="P1329" s="295"/>
      <c r="Q1329" s="295"/>
      <c r="R1329" s="295"/>
      <c r="S1329" s="295"/>
      <c r="T1329" s="295"/>
      <c r="U1329" s="295"/>
      <c r="V1329" s="295"/>
      <c r="W1329" s="295"/>
      <c r="X1329" s="295"/>
      <c r="Y1329" s="295"/>
      <c r="Z1329" s="295"/>
      <c r="AA1329" s="295"/>
      <c r="AB1329" s="295"/>
      <c r="AC1329" s="295"/>
      <c r="AD1329" s="295"/>
      <c r="AE1329" s="295"/>
      <c r="AF1329" s="295"/>
      <c r="AG1329" s="295"/>
      <c r="AH1329" s="295"/>
      <c r="AI1329" s="295"/>
      <c r="BJ1329" s="295"/>
      <c r="BK1329" s="295"/>
      <c r="BL1329" s="295"/>
      <c r="BM1329" s="295"/>
      <c r="BN1329" s="295"/>
    </row>
    <row r="1330" spans="1:66" ht="21.75" hidden="1" customHeight="1">
      <c r="A1330" s="986"/>
      <c r="B1330" s="559" t="s">
        <v>10</v>
      </c>
      <c r="C1330" s="564"/>
      <c r="D1330" s="564"/>
      <c r="E1330" s="564"/>
      <c r="F1330" s="564"/>
      <c r="G1330" s="102">
        <f>K1330</f>
        <v>0</v>
      </c>
      <c r="H1330" s="103"/>
      <c r="I1330" s="102"/>
      <c r="J1330" s="102"/>
      <c r="K1330" s="102"/>
      <c r="L1330" s="102"/>
      <c r="M1330" s="499"/>
      <c r="N1330" s="564"/>
      <c r="O1330" s="1032"/>
      <c r="P1330" s="295"/>
      <c r="Q1330" s="295"/>
      <c r="R1330" s="295"/>
      <c r="S1330" s="295"/>
      <c r="T1330" s="295"/>
      <c r="U1330" s="295"/>
      <c r="V1330" s="295"/>
      <c r="W1330" s="295"/>
      <c r="X1330" s="295"/>
      <c r="Y1330" s="295"/>
      <c r="Z1330" s="295"/>
      <c r="AA1330" s="295"/>
      <c r="AB1330" s="295"/>
      <c r="AC1330" s="295"/>
      <c r="AD1330" s="295"/>
      <c r="AE1330" s="295"/>
      <c r="AF1330" s="295"/>
      <c r="AG1330" s="295"/>
      <c r="AH1330" s="295"/>
      <c r="AI1330" s="295"/>
      <c r="BJ1330" s="295"/>
      <c r="BK1330" s="295"/>
      <c r="BL1330" s="295"/>
      <c r="BM1330" s="295"/>
      <c r="BN1330" s="295"/>
    </row>
    <row r="1331" spans="1:66" ht="21.75" hidden="1" customHeight="1">
      <c r="A1331" s="986"/>
      <c r="B1331" s="559" t="s">
        <v>443</v>
      </c>
      <c r="C1331" s="564"/>
      <c r="D1331" s="564"/>
      <c r="E1331" s="564"/>
      <c r="F1331" s="564"/>
      <c r="G1331" s="102">
        <f>K1331</f>
        <v>0</v>
      </c>
      <c r="H1331" s="103"/>
      <c r="I1331" s="102"/>
      <c r="J1331" s="102"/>
      <c r="K1331" s="102">
        <v>0</v>
      </c>
      <c r="L1331" s="102"/>
      <c r="M1331" s="499"/>
      <c r="N1331" s="564"/>
      <c r="O1331" s="1032"/>
      <c r="P1331" s="295"/>
      <c r="Q1331" s="295"/>
      <c r="R1331" s="295"/>
      <c r="S1331" s="295"/>
      <c r="T1331" s="295"/>
      <c r="U1331" s="295"/>
      <c r="V1331" s="295"/>
      <c r="W1331" s="295"/>
      <c r="X1331" s="295"/>
      <c r="Y1331" s="295"/>
      <c r="Z1331" s="295"/>
      <c r="AA1331" s="295"/>
      <c r="AB1331" s="295"/>
      <c r="AC1331" s="295"/>
      <c r="AD1331" s="295"/>
      <c r="AE1331" s="295"/>
      <c r="AF1331" s="295"/>
      <c r="AG1331" s="295"/>
      <c r="AH1331" s="295"/>
      <c r="AI1331" s="295"/>
      <c r="BJ1331" s="295"/>
      <c r="BK1331" s="295"/>
      <c r="BL1331" s="295"/>
      <c r="BM1331" s="295"/>
      <c r="BN1331" s="295"/>
    </row>
    <row r="1332" spans="1:66" ht="21.75" hidden="1" customHeight="1">
      <c r="A1332" s="987"/>
      <c r="B1332" s="559" t="s">
        <v>476</v>
      </c>
      <c r="C1332" s="564"/>
      <c r="D1332" s="564"/>
      <c r="E1332" s="564"/>
      <c r="F1332" s="564"/>
      <c r="G1332" s="102"/>
      <c r="H1332" s="103"/>
      <c r="I1332" s="102"/>
      <c r="J1332" s="102"/>
      <c r="K1332" s="102"/>
      <c r="L1332" s="102"/>
      <c r="M1332" s="499"/>
      <c r="N1332" s="564"/>
      <c r="O1332" s="1031"/>
      <c r="P1332" s="295"/>
      <c r="Q1332" s="295"/>
      <c r="R1332" s="295"/>
      <c r="S1332" s="295"/>
      <c r="T1332" s="295"/>
      <c r="U1332" s="295"/>
      <c r="V1332" s="295"/>
      <c r="W1332" s="295"/>
      <c r="X1332" s="295"/>
      <c r="Y1332" s="295"/>
      <c r="Z1332" s="295"/>
      <c r="AA1332" s="295"/>
      <c r="AB1332" s="295"/>
      <c r="AC1332" s="295"/>
      <c r="AD1332" s="295"/>
      <c r="AE1332" s="295"/>
      <c r="AF1332" s="295"/>
      <c r="AG1332" s="295"/>
      <c r="AH1332" s="295"/>
      <c r="AI1332" s="295"/>
      <c r="BJ1332" s="295"/>
      <c r="BK1332" s="295"/>
      <c r="BL1332" s="295"/>
      <c r="BM1332" s="295"/>
      <c r="BN1332" s="295"/>
    </row>
    <row r="1333" spans="1:66" ht="21.75" hidden="1" customHeight="1">
      <c r="A1333" s="985" t="s">
        <v>79</v>
      </c>
      <c r="B1333" s="128" t="s">
        <v>25</v>
      </c>
      <c r="C1333" s="564"/>
      <c r="D1333" s="564"/>
      <c r="E1333" s="564"/>
      <c r="F1333" s="564"/>
      <c r="G1333" s="102"/>
      <c r="H1333" s="102">
        <f t="shared" ref="H1333:L1333" si="442">H1334+H1335+H1336</f>
        <v>0</v>
      </c>
      <c r="I1333" s="102">
        <f t="shared" si="442"/>
        <v>0</v>
      </c>
      <c r="J1333" s="102">
        <f t="shared" si="442"/>
        <v>0</v>
      </c>
      <c r="K1333" s="102">
        <f t="shared" si="442"/>
        <v>0</v>
      </c>
      <c r="L1333" s="102">
        <f t="shared" si="442"/>
        <v>0</v>
      </c>
      <c r="M1333" s="499"/>
      <c r="N1333" s="564"/>
      <c r="O1333" s="1030"/>
      <c r="P1333" s="295"/>
      <c r="Q1333" s="295"/>
      <c r="R1333" s="295"/>
      <c r="S1333" s="295"/>
      <c r="T1333" s="295"/>
      <c r="U1333" s="295"/>
      <c r="V1333" s="295"/>
      <c r="W1333" s="295"/>
      <c r="X1333" s="295"/>
      <c r="Y1333" s="295"/>
      <c r="Z1333" s="295"/>
      <c r="AA1333" s="295"/>
      <c r="AB1333" s="295"/>
      <c r="AC1333" s="295"/>
      <c r="AD1333" s="295"/>
      <c r="AE1333" s="295"/>
      <c r="AF1333" s="295"/>
      <c r="AG1333" s="295"/>
      <c r="AH1333" s="295"/>
      <c r="AI1333" s="295"/>
      <c r="BJ1333" s="295"/>
      <c r="BK1333" s="295"/>
      <c r="BL1333" s="295"/>
      <c r="BM1333" s="295"/>
      <c r="BN1333" s="295"/>
    </row>
    <row r="1334" spans="1:66" ht="21.75" hidden="1" customHeight="1">
      <c r="A1334" s="986"/>
      <c r="B1334" s="559" t="s">
        <v>10</v>
      </c>
      <c r="C1334" s="564"/>
      <c r="D1334" s="564"/>
      <c r="E1334" s="564"/>
      <c r="F1334" s="564"/>
      <c r="G1334" s="102">
        <f>K1334</f>
        <v>0</v>
      </c>
      <c r="H1334" s="103"/>
      <c r="I1334" s="102"/>
      <c r="J1334" s="102"/>
      <c r="K1334" s="102"/>
      <c r="L1334" s="102"/>
      <c r="M1334" s="499"/>
      <c r="N1334" s="564"/>
      <c r="O1334" s="1032"/>
      <c r="P1334" s="295"/>
      <c r="Q1334" s="295"/>
      <c r="R1334" s="295"/>
      <c r="S1334" s="295"/>
      <c r="T1334" s="295"/>
      <c r="U1334" s="295"/>
      <c r="V1334" s="295"/>
      <c r="W1334" s="295"/>
      <c r="X1334" s="295"/>
      <c r="Y1334" s="295"/>
      <c r="Z1334" s="295"/>
      <c r="AA1334" s="295"/>
      <c r="AB1334" s="295"/>
      <c r="AC1334" s="295"/>
      <c r="AD1334" s="295"/>
      <c r="AE1334" s="295"/>
      <c r="AF1334" s="295"/>
      <c r="AG1334" s="295"/>
      <c r="AH1334" s="295"/>
      <c r="AI1334" s="295"/>
      <c r="BJ1334" s="295"/>
      <c r="BK1334" s="295"/>
      <c r="BL1334" s="295"/>
      <c r="BM1334" s="295"/>
      <c r="BN1334" s="295"/>
    </row>
    <row r="1335" spans="1:66" ht="21.75" hidden="1" customHeight="1">
      <c r="A1335" s="986"/>
      <c r="B1335" s="559" t="s">
        <v>443</v>
      </c>
      <c r="C1335" s="564"/>
      <c r="D1335" s="564"/>
      <c r="E1335" s="564"/>
      <c r="F1335" s="564"/>
      <c r="G1335" s="102">
        <f>K1335</f>
        <v>0</v>
      </c>
      <c r="H1335" s="103"/>
      <c r="I1335" s="102"/>
      <c r="J1335" s="102"/>
      <c r="K1335" s="102">
        <v>0</v>
      </c>
      <c r="L1335" s="102"/>
      <c r="M1335" s="499"/>
      <c r="N1335" s="564"/>
      <c r="O1335" s="1032"/>
      <c r="P1335" s="295"/>
      <c r="Q1335" s="295"/>
      <c r="R1335" s="295"/>
      <c r="S1335" s="295"/>
      <c r="T1335" s="295"/>
      <c r="U1335" s="295"/>
      <c r="V1335" s="295"/>
      <c r="W1335" s="295"/>
      <c r="X1335" s="295"/>
      <c r="Y1335" s="295"/>
      <c r="Z1335" s="295"/>
      <c r="AA1335" s="295"/>
      <c r="AB1335" s="295"/>
      <c r="AC1335" s="295"/>
      <c r="AD1335" s="295"/>
      <c r="AE1335" s="295"/>
      <c r="AF1335" s="295"/>
      <c r="AG1335" s="295"/>
      <c r="AH1335" s="295"/>
      <c r="AI1335" s="295"/>
      <c r="BJ1335" s="295"/>
      <c r="BK1335" s="295"/>
      <c r="BL1335" s="295"/>
      <c r="BM1335" s="295"/>
      <c r="BN1335" s="295"/>
    </row>
    <row r="1336" spans="1:66" ht="27" hidden="1" customHeight="1">
      <c r="A1336" s="987"/>
      <c r="B1336" s="559" t="s">
        <v>476</v>
      </c>
      <c r="C1336" s="564"/>
      <c r="D1336" s="564"/>
      <c r="E1336" s="564"/>
      <c r="F1336" s="564"/>
      <c r="G1336" s="102"/>
      <c r="H1336" s="103"/>
      <c r="I1336" s="102"/>
      <c r="J1336" s="102"/>
      <c r="K1336" s="102"/>
      <c r="L1336" s="102"/>
      <c r="M1336" s="499"/>
      <c r="N1336" s="564"/>
      <c r="O1336" s="1031"/>
    </row>
    <row r="1337" spans="1:66" ht="21" hidden="1" customHeight="1">
      <c r="A1337" s="985" t="s">
        <v>659</v>
      </c>
      <c r="B1337" s="128" t="s">
        <v>25</v>
      </c>
      <c r="C1337" s="564"/>
      <c r="D1337" s="564"/>
      <c r="E1337" s="564"/>
      <c r="F1337" s="564"/>
      <c r="G1337" s="102">
        <f>G1338+G1339+G1340</f>
        <v>0</v>
      </c>
      <c r="H1337" s="102">
        <f t="shared" ref="H1337:M1337" si="443">H1338+H1339+H1340</f>
        <v>6854.1</v>
      </c>
      <c r="I1337" s="102">
        <f t="shared" si="443"/>
        <v>0</v>
      </c>
      <c r="J1337" s="102">
        <f t="shared" si="443"/>
        <v>0</v>
      </c>
      <c r="K1337" s="102">
        <f t="shared" si="443"/>
        <v>0</v>
      </c>
      <c r="L1337" s="102">
        <f t="shared" si="443"/>
        <v>0</v>
      </c>
      <c r="M1337" s="499">
        <f t="shared" si="443"/>
        <v>0</v>
      </c>
      <c r="N1337" s="564"/>
      <c r="O1337" s="1030"/>
    </row>
    <row r="1338" spans="1:66" ht="18.75" hidden="1" customHeight="1">
      <c r="A1338" s="986"/>
      <c r="B1338" s="559" t="s">
        <v>10</v>
      </c>
      <c r="C1338" s="564"/>
      <c r="D1338" s="564"/>
      <c r="E1338" s="564"/>
      <c r="F1338" s="564"/>
      <c r="G1338" s="102"/>
      <c r="H1338" s="102">
        <f t="shared" ref="H1338:J1339" si="444">H14+H528+H882+H1313</f>
        <v>0</v>
      </c>
      <c r="I1338" s="102">
        <f t="shared" si="444"/>
        <v>0</v>
      </c>
      <c r="J1338" s="102">
        <f t="shared" si="444"/>
        <v>0</v>
      </c>
      <c r="K1338" s="102"/>
      <c r="L1338" s="102"/>
      <c r="M1338" s="499"/>
      <c r="N1338" s="564"/>
      <c r="O1338" s="1032"/>
    </row>
    <row r="1339" spans="1:66" ht="18.75" hidden="1" customHeight="1">
      <c r="A1339" s="986"/>
      <c r="B1339" s="559" t="s">
        <v>443</v>
      </c>
      <c r="C1339" s="564"/>
      <c r="D1339" s="564"/>
      <c r="E1339" s="564"/>
      <c r="F1339" s="564"/>
      <c r="G1339" s="102"/>
      <c r="H1339" s="102">
        <f t="shared" si="444"/>
        <v>6854.1</v>
      </c>
      <c r="I1339" s="102">
        <f t="shared" si="444"/>
        <v>0</v>
      </c>
      <c r="J1339" s="102">
        <f t="shared" si="444"/>
        <v>0</v>
      </c>
      <c r="K1339" s="102"/>
      <c r="L1339" s="102"/>
      <c r="M1339" s="499"/>
      <c r="N1339" s="564"/>
      <c r="O1339" s="1032"/>
    </row>
    <row r="1340" spans="1:66" ht="25.5" hidden="1" customHeight="1">
      <c r="A1340" s="986"/>
      <c r="B1340" s="559" t="s">
        <v>476</v>
      </c>
      <c r="C1340" s="564"/>
      <c r="D1340" s="564"/>
      <c r="E1340" s="564"/>
      <c r="F1340" s="564"/>
      <c r="G1340" s="102"/>
      <c r="H1340" s="102">
        <f t="shared" ref="H1340:J1340" si="445">H1315</f>
        <v>0</v>
      </c>
      <c r="I1340" s="102">
        <f t="shared" si="445"/>
        <v>0</v>
      </c>
      <c r="J1340" s="102">
        <f t="shared" si="445"/>
        <v>0</v>
      </c>
      <c r="K1340" s="102"/>
      <c r="L1340" s="102"/>
      <c r="M1340" s="499"/>
      <c r="N1340" s="564"/>
      <c r="O1340" s="1032"/>
    </row>
    <row r="1341" spans="1:66" ht="29.25" hidden="1" customHeight="1">
      <c r="A1341" s="987"/>
      <c r="B1341" s="559" t="s">
        <v>454</v>
      </c>
      <c r="C1341" s="560"/>
      <c r="D1341" s="560"/>
      <c r="E1341" s="560"/>
      <c r="F1341" s="560"/>
      <c r="G1341" s="23"/>
      <c r="H1341" s="23"/>
      <c r="I1341" s="23"/>
      <c r="J1341" s="23"/>
      <c r="K1341" s="23"/>
      <c r="L1341" s="23"/>
      <c r="M1341" s="698"/>
      <c r="N1341" s="559"/>
      <c r="O1341" s="1031"/>
      <c r="AJ1341" s="44"/>
      <c r="AK1341" s="44"/>
      <c r="AL1341" s="44"/>
      <c r="AM1341" s="44"/>
      <c r="AN1341" s="44"/>
      <c r="AO1341" s="44"/>
      <c r="AP1341" s="44"/>
      <c r="AQ1341" s="44"/>
      <c r="AR1341" s="44"/>
      <c r="AS1341" s="44"/>
      <c r="AT1341" s="44"/>
      <c r="AU1341" s="44"/>
      <c r="AV1341" s="44"/>
      <c r="AW1341" s="44"/>
      <c r="AX1341" s="44"/>
      <c r="AY1341" s="44"/>
      <c r="AZ1341" s="44"/>
      <c r="BA1341" s="44"/>
      <c r="BB1341" s="44"/>
      <c r="BC1341" s="44"/>
      <c r="BD1341" s="44"/>
      <c r="BE1341" s="44"/>
      <c r="BF1341" s="44"/>
      <c r="BG1341" s="44"/>
      <c r="BH1341" s="44"/>
      <c r="BI1341" s="44"/>
    </row>
    <row r="1342" spans="1:66" ht="17.25" customHeight="1">
      <c r="A1342" s="1136"/>
      <c r="B1342" s="1136"/>
      <c r="C1342" s="1136"/>
      <c r="D1342" s="1136"/>
      <c r="E1342" s="1136"/>
      <c r="F1342" s="1136"/>
      <c r="G1342" s="1136"/>
      <c r="H1342" s="1136"/>
      <c r="I1342" s="1136"/>
      <c r="J1342" s="1136"/>
      <c r="K1342" s="1136"/>
      <c r="L1342" s="1136"/>
      <c r="M1342" s="1136"/>
      <c r="N1342" s="1136"/>
      <c r="O1342" s="1136"/>
      <c r="AJ1342" s="44"/>
      <c r="AK1342" s="44"/>
      <c r="AL1342" s="44"/>
      <c r="AM1342" s="44"/>
      <c r="AN1342" s="44"/>
      <c r="AO1342" s="44"/>
      <c r="AP1342" s="44"/>
      <c r="AQ1342" s="44"/>
      <c r="AR1342" s="44"/>
      <c r="AS1342" s="44"/>
      <c r="AT1342" s="44"/>
      <c r="AU1342" s="44"/>
      <c r="AV1342" s="44"/>
      <c r="AW1342" s="44"/>
      <c r="AX1342" s="44"/>
      <c r="AY1342" s="44"/>
      <c r="AZ1342" s="44"/>
      <c r="BA1342" s="44"/>
      <c r="BB1342" s="44"/>
      <c r="BC1342" s="44"/>
      <c r="BD1342" s="44"/>
      <c r="BE1342" s="44"/>
      <c r="BF1342" s="44"/>
      <c r="BG1342" s="44"/>
      <c r="BH1342" s="44"/>
      <c r="BI1342" s="44"/>
    </row>
    <row r="1343" spans="1:66" ht="39.6" customHeight="1">
      <c r="A1343" s="1136" t="s">
        <v>674</v>
      </c>
      <c r="B1343" s="1136"/>
      <c r="C1343" s="1136"/>
      <c r="D1343" s="1136"/>
      <c r="E1343" s="1136"/>
      <c r="F1343" s="1136"/>
      <c r="G1343" s="1136"/>
      <c r="H1343" s="1136"/>
      <c r="I1343" s="1136"/>
      <c r="J1343" s="1136"/>
      <c r="K1343" s="1136"/>
      <c r="L1343" s="1136"/>
      <c r="M1343" s="1136"/>
      <c r="N1343" s="1136"/>
      <c r="O1343" s="1136"/>
      <c r="AJ1343" s="44"/>
      <c r="AK1343" s="44"/>
      <c r="AL1343" s="44"/>
      <c r="AM1343" s="44"/>
      <c r="AN1343" s="44"/>
      <c r="AO1343" s="44"/>
      <c r="AP1343" s="44"/>
      <c r="AQ1343" s="44"/>
      <c r="AR1343" s="44"/>
      <c r="AS1343" s="44"/>
      <c r="AT1343" s="44"/>
      <c r="AU1343" s="44"/>
      <c r="AV1343" s="44"/>
      <c r="AW1343" s="44"/>
      <c r="AX1343" s="44"/>
      <c r="AY1343" s="44"/>
      <c r="AZ1343" s="44"/>
      <c r="BA1343" s="44"/>
      <c r="BB1343" s="44"/>
      <c r="BC1343" s="44"/>
      <c r="BD1343" s="44"/>
      <c r="BE1343" s="44"/>
      <c r="BF1343" s="44"/>
      <c r="BG1343" s="44"/>
      <c r="BH1343" s="44"/>
      <c r="BI1343" s="44"/>
    </row>
    <row r="1344" spans="1:66" ht="24.6" customHeight="1">
      <c r="A1344" s="1136"/>
      <c r="B1344" s="1136"/>
      <c r="C1344" s="1136"/>
      <c r="D1344" s="1136"/>
      <c r="E1344" s="1136"/>
      <c r="F1344" s="1136"/>
      <c r="G1344" s="1136"/>
      <c r="H1344" s="1136"/>
      <c r="I1344" s="1136"/>
      <c r="J1344" s="1136"/>
      <c r="K1344" s="1136"/>
      <c r="L1344" s="1136"/>
      <c r="M1344" s="1136"/>
      <c r="N1344" s="1136"/>
      <c r="O1344" s="1136"/>
      <c r="AJ1344" s="44"/>
      <c r="AK1344" s="44"/>
      <c r="AL1344" s="44"/>
      <c r="AM1344" s="44"/>
      <c r="AN1344" s="44"/>
      <c r="AO1344" s="44"/>
      <c r="AP1344" s="44"/>
      <c r="AQ1344" s="44"/>
      <c r="AR1344" s="44"/>
      <c r="AS1344" s="44"/>
      <c r="AT1344" s="44"/>
      <c r="AU1344" s="44"/>
      <c r="AV1344" s="44"/>
      <c r="AW1344" s="44"/>
      <c r="AX1344" s="44"/>
      <c r="AY1344" s="44"/>
      <c r="AZ1344" s="44"/>
      <c r="BA1344" s="44"/>
      <c r="BB1344" s="44"/>
      <c r="BC1344" s="44"/>
      <c r="BD1344" s="44"/>
      <c r="BE1344" s="44"/>
      <c r="BF1344" s="44"/>
      <c r="BG1344" s="44"/>
      <c r="BH1344" s="44"/>
      <c r="BI1344" s="44"/>
    </row>
    <row r="1345" spans="1:61" ht="31.15" hidden="1" customHeight="1">
      <c r="A1345" s="1136" t="s">
        <v>562</v>
      </c>
      <c r="B1345" s="1136"/>
      <c r="C1345" s="1136"/>
      <c r="D1345" s="1136"/>
      <c r="E1345" s="1136"/>
      <c r="F1345" s="1136"/>
      <c r="G1345" s="1136"/>
      <c r="H1345" s="1136"/>
      <c r="I1345" s="1136"/>
      <c r="J1345" s="1136"/>
      <c r="K1345" s="1136"/>
      <c r="L1345" s="1136"/>
      <c r="M1345" s="1136"/>
      <c r="N1345" s="1136"/>
      <c r="O1345" s="1136"/>
      <c r="AJ1345" s="44"/>
      <c r="AK1345" s="44"/>
      <c r="AL1345" s="44"/>
      <c r="AM1345" s="44"/>
      <c r="AN1345" s="44"/>
      <c r="AO1345" s="44"/>
      <c r="AP1345" s="44"/>
      <c r="AQ1345" s="44"/>
      <c r="AR1345" s="44"/>
      <c r="AS1345" s="44"/>
      <c r="AT1345" s="44"/>
      <c r="AU1345" s="44"/>
      <c r="AV1345" s="44"/>
      <c r="AW1345" s="44"/>
      <c r="AX1345" s="44"/>
      <c r="AY1345" s="44"/>
      <c r="AZ1345" s="44"/>
      <c r="BA1345" s="44"/>
      <c r="BB1345" s="44"/>
      <c r="BC1345" s="44"/>
      <c r="BD1345" s="44"/>
      <c r="BE1345" s="44"/>
      <c r="BF1345" s="44"/>
      <c r="BG1345" s="44"/>
      <c r="BH1345" s="44"/>
      <c r="BI1345" s="44"/>
    </row>
    <row r="1346" spans="1:61">
      <c r="A1346" s="1137"/>
      <c r="B1346" s="1137"/>
      <c r="C1346" s="1137"/>
      <c r="D1346" s="1137"/>
      <c r="E1346" s="1137"/>
      <c r="F1346" s="1137"/>
      <c r="G1346" s="1137"/>
      <c r="H1346" s="1137"/>
      <c r="I1346" s="1137"/>
      <c r="J1346" s="1137"/>
      <c r="K1346" s="1137"/>
      <c r="L1346" s="1137"/>
      <c r="M1346" s="1137"/>
      <c r="N1346" s="1137"/>
      <c r="O1346" s="1137"/>
      <c r="AJ1346" s="44"/>
      <c r="AK1346" s="44"/>
      <c r="AL1346" s="44"/>
      <c r="AM1346" s="44"/>
      <c r="AN1346" s="44"/>
      <c r="AO1346" s="44"/>
      <c r="AP1346" s="44"/>
      <c r="AQ1346" s="44"/>
      <c r="AR1346" s="44"/>
      <c r="AS1346" s="44"/>
      <c r="AT1346" s="44"/>
      <c r="AU1346" s="44"/>
      <c r="AV1346" s="44"/>
      <c r="AW1346" s="44"/>
      <c r="AX1346" s="44"/>
      <c r="AY1346" s="44"/>
      <c r="AZ1346" s="44"/>
      <c r="BA1346" s="44"/>
      <c r="BB1346" s="44"/>
      <c r="BC1346" s="44"/>
      <c r="BD1346" s="44"/>
      <c r="BE1346" s="44"/>
      <c r="BF1346" s="44"/>
      <c r="BG1346" s="44"/>
      <c r="BH1346" s="44"/>
      <c r="BI1346" s="44"/>
    </row>
  </sheetData>
  <mergeCells count="763">
    <mergeCell ref="O492:O495"/>
    <mergeCell ref="A484:A487"/>
    <mergeCell ref="O484:O487"/>
    <mergeCell ref="A488:A491"/>
    <mergeCell ref="O488:O491"/>
    <mergeCell ref="A492:A495"/>
    <mergeCell ref="A480:A483"/>
    <mergeCell ref="A430:A433"/>
    <mergeCell ref="O430:O433"/>
    <mergeCell ref="A434:A437"/>
    <mergeCell ref="O434:O437"/>
    <mergeCell ref="A438:A441"/>
    <mergeCell ref="A442:A445"/>
    <mergeCell ref="O442:O445"/>
    <mergeCell ref="A462:A465"/>
    <mergeCell ref="O462:O465"/>
    <mergeCell ref="A466:A469"/>
    <mergeCell ref="O466:O469"/>
    <mergeCell ref="A446:A449"/>
    <mergeCell ref="O446:O449"/>
    <mergeCell ref="A450:A453"/>
    <mergeCell ref="O450:O453"/>
    <mergeCell ref="A454:A457"/>
    <mergeCell ref="A458:A461"/>
    <mergeCell ref="A496:A499"/>
    <mergeCell ref="O496:O499"/>
    <mergeCell ref="A500:A503"/>
    <mergeCell ref="N516:N519"/>
    <mergeCell ref="A504:A507"/>
    <mergeCell ref="O500:O503"/>
    <mergeCell ref="O504:O507"/>
    <mergeCell ref="A508:A511"/>
    <mergeCell ref="A512:A515"/>
    <mergeCell ref="O508:O511"/>
    <mergeCell ref="O512:O515"/>
    <mergeCell ref="A516:A519"/>
    <mergeCell ref="O516:O519"/>
    <mergeCell ref="A1346:O1346"/>
    <mergeCell ref="A3:O4"/>
    <mergeCell ref="A1:O2"/>
    <mergeCell ref="A1337:A1341"/>
    <mergeCell ref="O1337:O1341"/>
    <mergeCell ref="A1342:O1342"/>
    <mergeCell ref="A1343:O1343"/>
    <mergeCell ref="A1344:O1344"/>
    <mergeCell ref="A1345:O1345"/>
    <mergeCell ref="A1325:A1328"/>
    <mergeCell ref="O1325:O1328"/>
    <mergeCell ref="A1329:A1332"/>
    <mergeCell ref="O1329:O1332"/>
    <mergeCell ref="A1333:A1336"/>
    <mergeCell ref="O1333:O1336"/>
    <mergeCell ref="A1310:A1316"/>
    <mergeCell ref="N1310:N1316"/>
    <mergeCell ref="O1310:O1316"/>
    <mergeCell ref="A1317:A1320"/>
    <mergeCell ref="O1317:O1320"/>
    <mergeCell ref="A1321:A1324"/>
    <mergeCell ref="O1321:O1324"/>
    <mergeCell ref="A1300:A1303"/>
    <mergeCell ref="O1300:O1303"/>
    <mergeCell ref="A1304:A1305"/>
    <mergeCell ref="O1304:O1305"/>
    <mergeCell ref="A1306:A1307"/>
    <mergeCell ref="O1306:O1307"/>
    <mergeCell ref="A1284:A1285"/>
    <mergeCell ref="A1292:A1293"/>
    <mergeCell ref="O1292:O1293"/>
    <mergeCell ref="A1294:A1297"/>
    <mergeCell ref="A1298:A1299"/>
    <mergeCell ref="O1298:O1299"/>
    <mergeCell ref="A1286:A1287"/>
    <mergeCell ref="O1286:O1287"/>
    <mergeCell ref="A1290:A1291"/>
    <mergeCell ref="O1290:O1291"/>
    <mergeCell ref="A1288:A1289"/>
    <mergeCell ref="O1288:O1289"/>
    <mergeCell ref="A1272:A1275"/>
    <mergeCell ref="O1272:O1275"/>
    <mergeCell ref="A1276:A1277"/>
    <mergeCell ref="A1280:A1281"/>
    <mergeCell ref="O1280:O1281"/>
    <mergeCell ref="A1282:A1283"/>
    <mergeCell ref="O1282:O1283"/>
    <mergeCell ref="A1254:A1257"/>
    <mergeCell ref="A1258:A1261"/>
    <mergeCell ref="O1258:O1261"/>
    <mergeCell ref="A1264:A1267"/>
    <mergeCell ref="A1268:A1271"/>
    <mergeCell ref="O1268:O1271"/>
    <mergeCell ref="A1262:A1263"/>
    <mergeCell ref="O1262:O1263"/>
    <mergeCell ref="A1278:A1279"/>
    <mergeCell ref="O1278:O1279"/>
    <mergeCell ref="A1244:A1245"/>
    <mergeCell ref="O1244:O1245"/>
    <mergeCell ref="A1246:A1247"/>
    <mergeCell ref="A1250:A1251"/>
    <mergeCell ref="O1250:O1251"/>
    <mergeCell ref="A1252:A1253"/>
    <mergeCell ref="O1252:O1253"/>
    <mergeCell ref="A1230:A1233"/>
    <mergeCell ref="A1234:A1237"/>
    <mergeCell ref="O1234:O1237"/>
    <mergeCell ref="A1238:A1241"/>
    <mergeCell ref="O1238:O1241"/>
    <mergeCell ref="A1242:A1243"/>
    <mergeCell ref="O1242:O1243"/>
    <mergeCell ref="A1248:A1249"/>
    <mergeCell ref="O1248:O1249"/>
    <mergeCell ref="A1218:A1221"/>
    <mergeCell ref="A1222:A1223"/>
    <mergeCell ref="O1222:O1223"/>
    <mergeCell ref="A1224:A1227"/>
    <mergeCell ref="O1224:O1227"/>
    <mergeCell ref="A1228:A1229"/>
    <mergeCell ref="O1228:O1229"/>
    <mergeCell ref="A1210:A1211"/>
    <mergeCell ref="O1210:O1211"/>
    <mergeCell ref="A1212:A1213"/>
    <mergeCell ref="A1214:A1215"/>
    <mergeCell ref="O1214:O1215"/>
    <mergeCell ref="A1216:A1217"/>
    <mergeCell ref="O1216:O1217"/>
    <mergeCell ref="A1196:A1199"/>
    <mergeCell ref="O1196:O1199"/>
    <mergeCell ref="A1200:A1203"/>
    <mergeCell ref="A1204:A1205"/>
    <mergeCell ref="O1204:O1205"/>
    <mergeCell ref="A1206:A1209"/>
    <mergeCell ref="O1206:O1209"/>
    <mergeCell ref="A1182:A1185"/>
    <mergeCell ref="O1182:O1185"/>
    <mergeCell ref="A1186:A1189"/>
    <mergeCell ref="A1190:A1193"/>
    <mergeCell ref="O1190:O1193"/>
    <mergeCell ref="A1194:A1195"/>
    <mergeCell ref="O1194:O1195"/>
    <mergeCell ref="A1170:A1173"/>
    <mergeCell ref="O1170:O1173"/>
    <mergeCell ref="A1174:A1177"/>
    <mergeCell ref="O1174:O1177"/>
    <mergeCell ref="A1178:A1181"/>
    <mergeCell ref="O1178:O1181"/>
    <mergeCell ref="A1158:A1161"/>
    <mergeCell ref="O1158:O1161"/>
    <mergeCell ref="A1162:A1165"/>
    <mergeCell ref="O1162:O1165"/>
    <mergeCell ref="A1166:A1169"/>
    <mergeCell ref="O1166:O1169"/>
    <mergeCell ref="A1144:A1145"/>
    <mergeCell ref="O1144:O1145"/>
    <mergeCell ref="A1146:A1149"/>
    <mergeCell ref="A1150:A1153"/>
    <mergeCell ref="O1150:O1153"/>
    <mergeCell ref="A1154:A1157"/>
    <mergeCell ref="O1154:O1157"/>
    <mergeCell ref="A1134:A1137"/>
    <mergeCell ref="O1134:O1137"/>
    <mergeCell ref="A1138:A1141"/>
    <mergeCell ref="O1138:O1141"/>
    <mergeCell ref="A1142:A1143"/>
    <mergeCell ref="O1142:O1143"/>
    <mergeCell ref="A1120:A1123"/>
    <mergeCell ref="O1120:O1123"/>
    <mergeCell ref="A1124:A1125"/>
    <mergeCell ref="O1124:O1125"/>
    <mergeCell ref="A1126:A1129"/>
    <mergeCell ref="A1132:A1133"/>
    <mergeCell ref="O1132:O1133"/>
    <mergeCell ref="A1108:A1109"/>
    <mergeCell ref="O1108:O1109"/>
    <mergeCell ref="A1110:A1111"/>
    <mergeCell ref="O1110:O1111"/>
    <mergeCell ref="A1112:A1115"/>
    <mergeCell ref="A1118:A1119"/>
    <mergeCell ref="O1118:O1119"/>
    <mergeCell ref="A1130:A1131"/>
    <mergeCell ref="O1130:O1131"/>
    <mergeCell ref="A1116:A1117"/>
    <mergeCell ref="O1116:O1117"/>
    <mergeCell ref="A1090:A1093"/>
    <mergeCell ref="A1098:A1101"/>
    <mergeCell ref="O1098:O1101"/>
    <mergeCell ref="A1104:A1105"/>
    <mergeCell ref="A1106:A1107"/>
    <mergeCell ref="O1106:O1107"/>
    <mergeCell ref="A1084:A1085"/>
    <mergeCell ref="O1084:O1085"/>
    <mergeCell ref="A1086:A1087"/>
    <mergeCell ref="O1086:O1087"/>
    <mergeCell ref="A1088:A1089"/>
    <mergeCell ref="O1088:O1089"/>
    <mergeCell ref="A1102:A1103"/>
    <mergeCell ref="O1102:O1103"/>
    <mergeCell ref="A1094:A1097"/>
    <mergeCell ref="O1094:O1097"/>
    <mergeCell ref="A1080:A1081"/>
    <mergeCell ref="O1080:O1081"/>
    <mergeCell ref="A1082:A1083"/>
    <mergeCell ref="O1082:O1083"/>
    <mergeCell ref="A1070:A1071"/>
    <mergeCell ref="O1070:O1071"/>
    <mergeCell ref="A1072:A1073"/>
    <mergeCell ref="A1074:A1075"/>
    <mergeCell ref="O1074:O1075"/>
    <mergeCell ref="A1076:A1077"/>
    <mergeCell ref="O1076:O1077"/>
    <mergeCell ref="A1040:A1043"/>
    <mergeCell ref="A1044:A1045"/>
    <mergeCell ref="O1044:O1045"/>
    <mergeCell ref="A1048:A1049"/>
    <mergeCell ref="O1048:O1049"/>
    <mergeCell ref="A1046:A1047"/>
    <mergeCell ref="O1046:O1047"/>
    <mergeCell ref="A1078:A1079"/>
    <mergeCell ref="O1078:O1079"/>
    <mergeCell ref="A1050:A1053"/>
    <mergeCell ref="O1050:O1053"/>
    <mergeCell ref="A1054:A1057"/>
    <mergeCell ref="A1058:A1061"/>
    <mergeCell ref="O1058:O1061"/>
    <mergeCell ref="A1066:A1069"/>
    <mergeCell ref="O1066:O1069"/>
    <mergeCell ref="A997:A998"/>
    <mergeCell ref="O997:O998"/>
    <mergeCell ref="A999:A1000"/>
    <mergeCell ref="O999:O1000"/>
    <mergeCell ref="A1001:A1004"/>
    <mergeCell ref="O1005:O1008"/>
    <mergeCell ref="A989:A990"/>
    <mergeCell ref="A991:A992"/>
    <mergeCell ref="O991:O992"/>
    <mergeCell ref="A993:A994"/>
    <mergeCell ref="O993:O994"/>
    <mergeCell ref="A995:A996"/>
    <mergeCell ref="O995:O996"/>
    <mergeCell ref="A981:A982"/>
    <mergeCell ref="O981:O982"/>
    <mergeCell ref="A983:A984"/>
    <mergeCell ref="A985:A986"/>
    <mergeCell ref="O985:O986"/>
    <mergeCell ref="A987:A988"/>
    <mergeCell ref="O987:O988"/>
    <mergeCell ref="A975:A976"/>
    <mergeCell ref="O975:O976"/>
    <mergeCell ref="A977:A978"/>
    <mergeCell ref="O977:O978"/>
    <mergeCell ref="A979:A980"/>
    <mergeCell ref="O979:O980"/>
    <mergeCell ref="A963:A966"/>
    <mergeCell ref="O963:O966"/>
    <mergeCell ref="O967:O970"/>
    <mergeCell ref="A971:A972"/>
    <mergeCell ref="A973:A974"/>
    <mergeCell ref="O973:O974"/>
    <mergeCell ref="A931:A934"/>
    <mergeCell ref="A939:A942"/>
    <mergeCell ref="O939:O942"/>
    <mergeCell ref="A943:A946"/>
    <mergeCell ref="O943:O946"/>
    <mergeCell ref="A947:A950"/>
    <mergeCell ref="A935:A938"/>
    <mergeCell ref="O935:O938"/>
    <mergeCell ref="A951:A954"/>
    <mergeCell ref="O951:O954"/>
    <mergeCell ref="A955:A958"/>
    <mergeCell ref="O955:O958"/>
    <mergeCell ref="A959:A962"/>
    <mergeCell ref="O959:O962"/>
    <mergeCell ref="A923:A926"/>
    <mergeCell ref="O923:O926"/>
    <mergeCell ref="A927:A928"/>
    <mergeCell ref="O927:O928"/>
    <mergeCell ref="A929:A930"/>
    <mergeCell ref="O929:O930"/>
    <mergeCell ref="A907:A910"/>
    <mergeCell ref="A911:A914"/>
    <mergeCell ref="A917:A918"/>
    <mergeCell ref="O917:O918"/>
    <mergeCell ref="A919:A922"/>
    <mergeCell ref="O911:O914"/>
    <mergeCell ref="A915:A916"/>
    <mergeCell ref="O915:O916"/>
    <mergeCell ref="A901:A902"/>
    <mergeCell ref="O901:O902"/>
    <mergeCell ref="A903:A904"/>
    <mergeCell ref="O903:O904"/>
    <mergeCell ref="A905:A906"/>
    <mergeCell ref="O905:O906"/>
    <mergeCell ref="A886:A889"/>
    <mergeCell ref="A893:A896"/>
    <mergeCell ref="O893:O896"/>
    <mergeCell ref="A897:A898"/>
    <mergeCell ref="A899:A900"/>
    <mergeCell ref="O899:O900"/>
    <mergeCell ref="A890:A892"/>
    <mergeCell ref="O890:O892"/>
    <mergeCell ref="A863:A864"/>
    <mergeCell ref="O863:O864"/>
    <mergeCell ref="A865:A866"/>
    <mergeCell ref="O865:O866"/>
    <mergeCell ref="A879:A885"/>
    <mergeCell ref="N879:N885"/>
    <mergeCell ref="O879:O885"/>
    <mergeCell ref="A855:A856"/>
    <mergeCell ref="A857:A858"/>
    <mergeCell ref="O857:O858"/>
    <mergeCell ref="A859:A860"/>
    <mergeCell ref="O859:O860"/>
    <mergeCell ref="A861:A862"/>
    <mergeCell ref="A869:A871"/>
    <mergeCell ref="N869:N871"/>
    <mergeCell ref="O869:O871"/>
    <mergeCell ref="A872:A878"/>
    <mergeCell ref="N872:N878"/>
    <mergeCell ref="O872:O878"/>
    <mergeCell ref="A847:A848"/>
    <mergeCell ref="O847:O848"/>
    <mergeCell ref="A849:A850"/>
    <mergeCell ref="O849:O850"/>
    <mergeCell ref="A853:A854"/>
    <mergeCell ref="O853:O854"/>
    <mergeCell ref="A837:A838"/>
    <mergeCell ref="A839:A840"/>
    <mergeCell ref="O839:O840"/>
    <mergeCell ref="A841:A842"/>
    <mergeCell ref="O841:O842"/>
    <mergeCell ref="A845:A846"/>
    <mergeCell ref="A851:A852"/>
    <mergeCell ref="O851:O852"/>
    <mergeCell ref="A843:A844"/>
    <mergeCell ref="A825:A828"/>
    <mergeCell ref="A829:A830"/>
    <mergeCell ref="O829:O830"/>
    <mergeCell ref="A831:A834"/>
    <mergeCell ref="O831:O834"/>
    <mergeCell ref="A835:A836"/>
    <mergeCell ref="O835:O836"/>
    <mergeCell ref="A811:A812"/>
    <mergeCell ref="O811:O812"/>
    <mergeCell ref="A813:A816"/>
    <mergeCell ref="A817:A820"/>
    <mergeCell ref="O817:O820"/>
    <mergeCell ref="A821:A824"/>
    <mergeCell ref="O821:O824"/>
    <mergeCell ref="A795:A796"/>
    <mergeCell ref="O795:O796"/>
    <mergeCell ref="A797:A802"/>
    <mergeCell ref="A803:A806"/>
    <mergeCell ref="O803:O806"/>
    <mergeCell ref="A807:A810"/>
    <mergeCell ref="O807:O810"/>
    <mergeCell ref="A785:A788"/>
    <mergeCell ref="O785:O788"/>
    <mergeCell ref="A789:A790"/>
    <mergeCell ref="A791:A792"/>
    <mergeCell ref="O791:O792"/>
    <mergeCell ref="A793:A794"/>
    <mergeCell ref="O793:O794"/>
    <mergeCell ref="A773:A774"/>
    <mergeCell ref="O773:O774"/>
    <mergeCell ref="A775:A778"/>
    <mergeCell ref="A779:A780"/>
    <mergeCell ref="O779:O780"/>
    <mergeCell ref="A781:A784"/>
    <mergeCell ref="O781:O784"/>
    <mergeCell ref="A763:A764"/>
    <mergeCell ref="O763:O764"/>
    <mergeCell ref="A767:A768"/>
    <mergeCell ref="O767:O768"/>
    <mergeCell ref="A771:A772"/>
    <mergeCell ref="O771:O772"/>
    <mergeCell ref="A730:A734"/>
    <mergeCell ref="O730:O734"/>
    <mergeCell ref="A735:A738"/>
    <mergeCell ref="O735:O738"/>
    <mergeCell ref="A743:A744"/>
    <mergeCell ref="O743:O744"/>
    <mergeCell ref="A739:A740"/>
    <mergeCell ref="O739:O740"/>
    <mergeCell ref="A749:A750"/>
    <mergeCell ref="O749:O750"/>
    <mergeCell ref="A720:A721"/>
    <mergeCell ref="O720:O721"/>
    <mergeCell ref="A722:A725"/>
    <mergeCell ref="A726:A727"/>
    <mergeCell ref="O726:O727"/>
    <mergeCell ref="A728:A729"/>
    <mergeCell ref="O728:O729"/>
    <mergeCell ref="A706:A707"/>
    <mergeCell ref="O706:O707"/>
    <mergeCell ref="A708:A711"/>
    <mergeCell ref="O708:O709"/>
    <mergeCell ref="A712:A715"/>
    <mergeCell ref="A716:A717"/>
    <mergeCell ref="O716:O717"/>
    <mergeCell ref="A718:A719"/>
    <mergeCell ref="O718:O719"/>
    <mergeCell ref="A694:A695"/>
    <mergeCell ref="O694:O695"/>
    <mergeCell ref="A696:A698"/>
    <mergeCell ref="A700:A703"/>
    <mergeCell ref="O700:O703"/>
    <mergeCell ref="A704:A705"/>
    <mergeCell ref="O704:O705"/>
    <mergeCell ref="A682:A683"/>
    <mergeCell ref="O682:O683"/>
    <mergeCell ref="A684:A687"/>
    <mergeCell ref="A688:A689"/>
    <mergeCell ref="O688:O689"/>
    <mergeCell ref="A690:A693"/>
    <mergeCell ref="O690:O693"/>
    <mergeCell ref="A670:A671"/>
    <mergeCell ref="O670:O671"/>
    <mergeCell ref="A676:A677"/>
    <mergeCell ref="O676:O677"/>
    <mergeCell ref="A678:A679"/>
    <mergeCell ref="A680:A681"/>
    <mergeCell ref="O680:O681"/>
    <mergeCell ref="A662:A663"/>
    <mergeCell ref="A664:A665"/>
    <mergeCell ref="O664:O665"/>
    <mergeCell ref="A666:A667"/>
    <mergeCell ref="O666:O667"/>
    <mergeCell ref="A668:A669"/>
    <mergeCell ref="A654:A655"/>
    <mergeCell ref="O654:O655"/>
    <mergeCell ref="A656:A657"/>
    <mergeCell ref="A658:A659"/>
    <mergeCell ref="O658:O659"/>
    <mergeCell ref="A660:A661"/>
    <mergeCell ref="O660:O661"/>
    <mergeCell ref="A644:A647"/>
    <mergeCell ref="O644:O647"/>
    <mergeCell ref="A648:A649"/>
    <mergeCell ref="O648:O649"/>
    <mergeCell ref="A650:A651"/>
    <mergeCell ref="A652:A653"/>
    <mergeCell ref="O652:O653"/>
    <mergeCell ref="A632:A635"/>
    <mergeCell ref="A636:A637"/>
    <mergeCell ref="O636:O637"/>
    <mergeCell ref="A638:A639"/>
    <mergeCell ref="O638:O639"/>
    <mergeCell ref="A641:A643"/>
    <mergeCell ref="O642:O643"/>
    <mergeCell ref="A616:A619"/>
    <mergeCell ref="A620:A621"/>
    <mergeCell ref="O620:O621"/>
    <mergeCell ref="A622:A625"/>
    <mergeCell ref="O622:O625"/>
    <mergeCell ref="O628:O629"/>
    <mergeCell ref="A626:A627"/>
    <mergeCell ref="A628:A629"/>
    <mergeCell ref="A630:A631"/>
    <mergeCell ref="O626:O627"/>
    <mergeCell ref="A610:A611"/>
    <mergeCell ref="O610:O611"/>
    <mergeCell ref="A612:A613"/>
    <mergeCell ref="O612:O613"/>
    <mergeCell ref="A614:A615"/>
    <mergeCell ref="O614:O615"/>
    <mergeCell ref="A594:A597"/>
    <mergeCell ref="O594:O597"/>
    <mergeCell ref="A598:A601"/>
    <mergeCell ref="O598:O601"/>
    <mergeCell ref="A602:A605"/>
    <mergeCell ref="A606:A609"/>
    <mergeCell ref="O606:O609"/>
    <mergeCell ref="A582:A585"/>
    <mergeCell ref="O582:O585"/>
    <mergeCell ref="A586:A589"/>
    <mergeCell ref="A590:A591"/>
    <mergeCell ref="O590:O591"/>
    <mergeCell ref="A592:A593"/>
    <mergeCell ref="O592:O593"/>
    <mergeCell ref="A572:A573"/>
    <mergeCell ref="O572:O573"/>
    <mergeCell ref="A574:A577"/>
    <mergeCell ref="A578:A579"/>
    <mergeCell ref="O578:O579"/>
    <mergeCell ref="A580:A581"/>
    <mergeCell ref="O580:O581"/>
    <mergeCell ref="A560:A561"/>
    <mergeCell ref="O560:O561"/>
    <mergeCell ref="O564:O565"/>
    <mergeCell ref="A568:A569"/>
    <mergeCell ref="A570:A571"/>
    <mergeCell ref="O570:O571"/>
    <mergeCell ref="A550:A551"/>
    <mergeCell ref="A552:A553"/>
    <mergeCell ref="O552:O553"/>
    <mergeCell ref="A554:A555"/>
    <mergeCell ref="O554:O555"/>
    <mergeCell ref="A558:A559"/>
    <mergeCell ref="A544:A545"/>
    <mergeCell ref="O544:O545"/>
    <mergeCell ref="A546:A547"/>
    <mergeCell ref="O546:O547"/>
    <mergeCell ref="A548:A549"/>
    <mergeCell ref="O548:O549"/>
    <mergeCell ref="A532:A533"/>
    <mergeCell ref="A534:A535"/>
    <mergeCell ref="O534:O535"/>
    <mergeCell ref="A538:A539"/>
    <mergeCell ref="O538:O539"/>
    <mergeCell ref="A542:A543"/>
    <mergeCell ref="O542:O543"/>
    <mergeCell ref="A540:A541"/>
    <mergeCell ref="R529:S529"/>
    <mergeCell ref="T529:U529"/>
    <mergeCell ref="V529:W529"/>
    <mergeCell ref="R531:S531"/>
    <mergeCell ref="T531:U531"/>
    <mergeCell ref="V531:W531"/>
    <mergeCell ref="A520:A524"/>
    <mergeCell ref="A525:A531"/>
    <mergeCell ref="O520:O531"/>
    <mergeCell ref="N520:N531"/>
    <mergeCell ref="O458:O461"/>
    <mergeCell ref="N470:N474"/>
    <mergeCell ref="A470:A474"/>
    <mergeCell ref="O470:O474"/>
    <mergeCell ref="A476:A479"/>
    <mergeCell ref="A390:A393"/>
    <mergeCell ref="A398:A401"/>
    <mergeCell ref="O398:O401"/>
    <mergeCell ref="A402:A405"/>
    <mergeCell ref="O402:O405"/>
    <mergeCell ref="A426:A429"/>
    <mergeCell ref="A414:A417"/>
    <mergeCell ref="A418:A421"/>
    <mergeCell ref="A422:A425"/>
    <mergeCell ref="O418:O421"/>
    <mergeCell ref="O422:O425"/>
    <mergeCell ref="A410:A413"/>
    <mergeCell ref="A406:A409"/>
    <mergeCell ref="O410:O413"/>
    <mergeCell ref="A342:A345"/>
    <mergeCell ref="O342:O345"/>
    <mergeCell ref="A346:A349"/>
    <mergeCell ref="O346:O349"/>
    <mergeCell ref="A350:A353"/>
    <mergeCell ref="A354:A357"/>
    <mergeCell ref="O354:O357"/>
    <mergeCell ref="A394:A397"/>
    <mergeCell ref="O394:O397"/>
    <mergeCell ref="A374:A377"/>
    <mergeCell ref="O374:O377"/>
    <mergeCell ref="A378:A381"/>
    <mergeCell ref="A382:A385"/>
    <mergeCell ref="O382:O385"/>
    <mergeCell ref="A386:A389"/>
    <mergeCell ref="O386:O389"/>
    <mergeCell ref="A358:A361"/>
    <mergeCell ref="O358:O361"/>
    <mergeCell ref="A362:A365"/>
    <mergeCell ref="A366:A369"/>
    <mergeCell ref="O366:O369"/>
    <mergeCell ref="A370:A373"/>
    <mergeCell ref="O370:O373"/>
    <mergeCell ref="A310:A313"/>
    <mergeCell ref="O310:O313"/>
    <mergeCell ref="A314:A317"/>
    <mergeCell ref="O314:O317"/>
    <mergeCell ref="A326:A329"/>
    <mergeCell ref="O326:O329"/>
    <mergeCell ref="A334:A337"/>
    <mergeCell ref="A338:A341"/>
    <mergeCell ref="O334:O337"/>
    <mergeCell ref="O338:O341"/>
    <mergeCell ref="A330:A333"/>
    <mergeCell ref="A318:A321"/>
    <mergeCell ref="O318:O321"/>
    <mergeCell ref="A322:A325"/>
    <mergeCell ref="O322:O325"/>
    <mergeCell ref="A297:A300"/>
    <mergeCell ref="O297:O300"/>
    <mergeCell ref="A301:A304"/>
    <mergeCell ref="O301:O304"/>
    <mergeCell ref="A305:A309"/>
    <mergeCell ref="O305:O309"/>
    <mergeCell ref="A285:A288"/>
    <mergeCell ref="O285:O288"/>
    <mergeCell ref="A289:A292"/>
    <mergeCell ref="O289:O292"/>
    <mergeCell ref="A293:A296"/>
    <mergeCell ref="O293:O296"/>
    <mergeCell ref="A272:A276"/>
    <mergeCell ref="O272:O276"/>
    <mergeCell ref="A277:A280"/>
    <mergeCell ref="O277:O280"/>
    <mergeCell ref="A281:A284"/>
    <mergeCell ref="O281:O284"/>
    <mergeCell ref="A254:A257"/>
    <mergeCell ref="A258:A261"/>
    <mergeCell ref="O258:O261"/>
    <mergeCell ref="A262:A267"/>
    <mergeCell ref="A268:A271"/>
    <mergeCell ref="O268:O271"/>
    <mergeCell ref="A239:A241"/>
    <mergeCell ref="O239:O241"/>
    <mergeCell ref="A242:A245"/>
    <mergeCell ref="A246:A249"/>
    <mergeCell ref="O246:O249"/>
    <mergeCell ref="A250:A253"/>
    <mergeCell ref="O250:O253"/>
    <mergeCell ref="A224:A226"/>
    <mergeCell ref="O224:O226"/>
    <mergeCell ref="A227:A230"/>
    <mergeCell ref="O227:O230"/>
    <mergeCell ref="A231:A234"/>
    <mergeCell ref="A235:A238"/>
    <mergeCell ref="O235:O238"/>
    <mergeCell ref="A213:A216"/>
    <mergeCell ref="O213:O216"/>
    <mergeCell ref="A217:A220"/>
    <mergeCell ref="O217:O220"/>
    <mergeCell ref="A221:A223"/>
    <mergeCell ref="O221:O223"/>
    <mergeCell ref="A198:A201"/>
    <mergeCell ref="A202:A204"/>
    <mergeCell ref="O202:O204"/>
    <mergeCell ref="A205:A208"/>
    <mergeCell ref="O205:O208"/>
    <mergeCell ref="A209:A212"/>
    <mergeCell ref="A188:A190"/>
    <mergeCell ref="O188:O190"/>
    <mergeCell ref="A191:A194"/>
    <mergeCell ref="O191:O194"/>
    <mergeCell ref="A195:A197"/>
    <mergeCell ref="O195:O197"/>
    <mergeCell ref="A174:A177"/>
    <mergeCell ref="O174:O177"/>
    <mergeCell ref="A178:A181"/>
    <mergeCell ref="A182:A184"/>
    <mergeCell ref="O182:O184"/>
    <mergeCell ref="A185:A187"/>
    <mergeCell ref="O185:O187"/>
    <mergeCell ref="A159:A161"/>
    <mergeCell ref="O159:O161"/>
    <mergeCell ref="A162:A165"/>
    <mergeCell ref="A166:A169"/>
    <mergeCell ref="O166:O169"/>
    <mergeCell ref="A170:A173"/>
    <mergeCell ref="O170:O173"/>
    <mergeCell ref="A147:A150"/>
    <mergeCell ref="O147:O150"/>
    <mergeCell ref="A151:A154"/>
    <mergeCell ref="O151:O154"/>
    <mergeCell ref="A155:A158"/>
    <mergeCell ref="O155:O158"/>
    <mergeCell ref="A126:A129"/>
    <mergeCell ref="O126:O129"/>
    <mergeCell ref="A130:A133"/>
    <mergeCell ref="A139:A142"/>
    <mergeCell ref="O139:O142"/>
    <mergeCell ref="A143:A146"/>
    <mergeCell ref="A112:A114"/>
    <mergeCell ref="A115:A117"/>
    <mergeCell ref="O115:O117"/>
    <mergeCell ref="A118:A121"/>
    <mergeCell ref="O118:O121"/>
    <mergeCell ref="A122:A125"/>
    <mergeCell ref="O122:O125"/>
    <mergeCell ref="A134:A138"/>
    <mergeCell ref="O134:O138"/>
    <mergeCell ref="A98:A101"/>
    <mergeCell ref="O98:O101"/>
    <mergeCell ref="A102:A105"/>
    <mergeCell ref="A106:A108"/>
    <mergeCell ref="O106:O108"/>
    <mergeCell ref="A109:A111"/>
    <mergeCell ref="O109:O111"/>
    <mergeCell ref="A80:A84"/>
    <mergeCell ref="O80:O84"/>
    <mergeCell ref="A85:A88"/>
    <mergeCell ref="A89:A92"/>
    <mergeCell ref="O89:O92"/>
    <mergeCell ref="A93:A97"/>
    <mergeCell ref="O94:O97"/>
    <mergeCell ref="A68:A71"/>
    <mergeCell ref="O68:O71"/>
    <mergeCell ref="A72:A75"/>
    <mergeCell ref="O72:O75"/>
    <mergeCell ref="A76:A79"/>
    <mergeCell ref="O77:O79"/>
    <mergeCell ref="A57:A60"/>
    <mergeCell ref="O57:O60"/>
    <mergeCell ref="A61:A63"/>
    <mergeCell ref="O61:O63"/>
    <mergeCell ref="A64:A67"/>
    <mergeCell ref="O64:O67"/>
    <mergeCell ref="A43:A45"/>
    <mergeCell ref="A46:A48"/>
    <mergeCell ref="O46:O48"/>
    <mergeCell ref="A49:A52"/>
    <mergeCell ref="A53:A56"/>
    <mergeCell ref="O54:O56"/>
    <mergeCell ref="A27:A30"/>
    <mergeCell ref="O27:O30"/>
    <mergeCell ref="A31:A34"/>
    <mergeCell ref="O31:O34"/>
    <mergeCell ref="A35:A38"/>
    <mergeCell ref="A39:A42"/>
    <mergeCell ref="O39:O42"/>
    <mergeCell ref="A19:A22"/>
    <mergeCell ref="A23:A26"/>
    <mergeCell ref="O23:O26"/>
    <mergeCell ref="O5:O7"/>
    <mergeCell ref="T5:X5"/>
    <mergeCell ref="Q8:S8"/>
    <mergeCell ref="T8:V8"/>
    <mergeCell ref="W8:Y8"/>
    <mergeCell ref="A10:A17"/>
    <mergeCell ref="N10:N17"/>
    <mergeCell ref="O10:O17"/>
    <mergeCell ref="A5:A7"/>
    <mergeCell ref="B5:B7"/>
    <mergeCell ref="C5:F6"/>
    <mergeCell ref="G5:G7"/>
    <mergeCell ref="H5:K5"/>
    <mergeCell ref="L5:L7"/>
    <mergeCell ref="M5:M6"/>
    <mergeCell ref="N5:N7"/>
    <mergeCell ref="A1029:A1031"/>
    <mergeCell ref="O1029:O1031"/>
    <mergeCell ref="A1032:A1033"/>
    <mergeCell ref="O1032:O1033"/>
    <mergeCell ref="A1036:A1037"/>
    <mergeCell ref="O1036:O1037"/>
    <mergeCell ref="A1013:A1016"/>
    <mergeCell ref="O1013:O1016"/>
    <mergeCell ref="A1017:A1020"/>
    <mergeCell ref="O1017:O1020"/>
    <mergeCell ref="A1021:A1024"/>
    <mergeCell ref="A1025:A1028"/>
    <mergeCell ref="O1025:O1028"/>
    <mergeCell ref="A1038:A1039"/>
    <mergeCell ref="O1038:O1039"/>
    <mergeCell ref="A741:A742"/>
    <mergeCell ref="O741:O742"/>
    <mergeCell ref="A1009:A1012"/>
    <mergeCell ref="O1009:O1012"/>
    <mergeCell ref="A1034:A1035"/>
    <mergeCell ref="O1034:O1035"/>
    <mergeCell ref="A1062:A1065"/>
    <mergeCell ref="O1062:O1065"/>
    <mergeCell ref="A745:A746"/>
    <mergeCell ref="A747:A748"/>
    <mergeCell ref="O747:O748"/>
    <mergeCell ref="A759:A760"/>
    <mergeCell ref="O759:O760"/>
    <mergeCell ref="A761:A762"/>
    <mergeCell ref="A751:A752"/>
    <mergeCell ref="O751:O752"/>
    <mergeCell ref="A753:A754"/>
    <mergeCell ref="O753:O754"/>
    <mergeCell ref="A755:A756"/>
    <mergeCell ref="O755:O756"/>
    <mergeCell ref="A757:A758"/>
    <mergeCell ref="O757:O758"/>
  </mergeCells>
  <conditionalFormatting sqref="L149:L157">
    <cfRule type="cellIs" dxfId="2" priority="3" stopIfTrue="1" operator="equal">
      <formula>0</formula>
    </cfRule>
  </conditionalFormatting>
  <conditionalFormatting sqref="M276">
    <cfRule type="cellIs" dxfId="1" priority="2" stopIfTrue="1" operator="equal">
      <formula>0</formula>
    </cfRule>
  </conditionalFormatting>
  <conditionalFormatting sqref="AC94:AC95">
    <cfRule type="cellIs" dxfId="0" priority="1" stopIfTrue="1" operator="equal">
      <formula>0</formula>
    </cfRule>
  </conditionalFormatting>
  <printOptions horizontalCentered="1"/>
  <pageMargins left="0.39370078740157483" right="0.39370078740157483" top="0.98425196850393704" bottom="0.39370078740157483" header="0.31496062992125984" footer="0.31496062992125984"/>
  <pageSetup paperSize="9" scale="74" fitToHeight="20" orientation="landscape" r:id="rId1"/>
  <headerFooter differentFirst="1">
    <oddHeader>Страница &amp;P</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120"/>
  <sheetViews>
    <sheetView topLeftCell="A11" zoomScale="71" zoomScaleNormal="71" workbookViewId="0">
      <pane ySplit="2" topLeftCell="A30" activePane="bottomLeft" state="frozen"/>
      <selection activeCell="A11" sqref="A11"/>
      <selection pane="bottomLeft" activeCell="C44" sqref="C44"/>
    </sheetView>
  </sheetViews>
  <sheetFormatPr defaultColWidth="8.85546875" defaultRowHeight="18.75"/>
  <cols>
    <col min="1" max="1" width="2.42578125" style="170" customWidth="1"/>
    <col min="2" max="2" width="33.28515625" style="170" customWidth="1"/>
    <col min="3" max="3" width="46.7109375" style="170" customWidth="1"/>
    <col min="4" max="4" width="14.5703125" style="171" customWidth="1"/>
    <col min="5" max="5" width="17.85546875" style="170" customWidth="1"/>
    <col min="6" max="6" width="12.28515625" style="170" customWidth="1"/>
    <col min="7" max="9" width="13.42578125" style="170" bestFit="1" customWidth="1"/>
    <col min="10" max="11" width="13.42578125" style="172" bestFit="1" customWidth="1"/>
    <col min="12" max="13" width="13.42578125" style="170" bestFit="1" customWidth="1"/>
    <col min="14" max="16" width="13.42578125" style="858" bestFit="1" customWidth="1"/>
    <col min="17" max="19" width="13.42578125" style="170" customWidth="1"/>
    <col min="20" max="20" width="15.5703125" style="170" customWidth="1"/>
    <col min="21" max="21" width="15.7109375" style="173" customWidth="1"/>
    <col min="22" max="22" width="23.140625" style="170" customWidth="1"/>
    <col min="23" max="23" width="42.42578125" style="170" customWidth="1"/>
    <col min="24" max="24" width="18.42578125" style="170" bestFit="1" customWidth="1"/>
    <col min="25" max="25" width="13.140625" style="170" customWidth="1"/>
    <col min="26" max="26" width="12.140625" style="170" customWidth="1"/>
    <col min="27" max="259" width="8.85546875" style="170"/>
    <col min="260" max="260" width="2.42578125" style="170" customWidth="1"/>
    <col min="261" max="261" width="33.28515625" style="170" customWidth="1"/>
    <col min="262" max="262" width="46.7109375" style="170" customWidth="1"/>
    <col min="263" max="263" width="13.140625" style="170" customWidth="1"/>
    <col min="264" max="264" width="17" style="170" customWidth="1"/>
    <col min="265" max="265" width="18.28515625" style="170" customWidth="1"/>
    <col min="266" max="275" width="14.7109375" style="170" customWidth="1"/>
    <col min="276" max="276" width="8.85546875" style="170"/>
    <col min="277" max="277" width="15.7109375" style="170" customWidth="1"/>
    <col min="278" max="278" width="14.140625" style="170" customWidth="1"/>
    <col min="279" max="279" width="15.7109375" style="170" customWidth="1"/>
    <col min="280" max="280" width="11.28515625" style="170" bestFit="1" customWidth="1"/>
    <col min="281" max="281" width="13.140625" style="170" customWidth="1"/>
    <col min="282" max="282" width="12.140625" style="170" customWidth="1"/>
    <col min="283" max="515" width="8.85546875" style="170"/>
    <col min="516" max="516" width="2.42578125" style="170" customWidth="1"/>
    <col min="517" max="517" width="33.28515625" style="170" customWidth="1"/>
    <col min="518" max="518" width="46.7109375" style="170" customWidth="1"/>
    <col min="519" max="519" width="13.140625" style="170" customWidth="1"/>
    <col min="520" max="520" width="17" style="170" customWidth="1"/>
    <col min="521" max="521" width="18.28515625" style="170" customWidth="1"/>
    <col min="522" max="531" width="14.7109375" style="170" customWidth="1"/>
    <col min="532" max="532" width="8.85546875" style="170"/>
    <col min="533" max="533" width="15.7109375" style="170" customWidth="1"/>
    <col min="534" max="534" width="14.140625" style="170" customWidth="1"/>
    <col min="535" max="535" width="15.7109375" style="170" customWidth="1"/>
    <col min="536" max="536" width="11.28515625" style="170" bestFit="1" customWidth="1"/>
    <col min="537" max="537" width="13.140625" style="170" customWidth="1"/>
    <col min="538" max="538" width="12.140625" style="170" customWidth="1"/>
    <col min="539" max="771" width="8.85546875" style="170"/>
    <col min="772" max="772" width="2.42578125" style="170" customWidth="1"/>
    <col min="773" max="773" width="33.28515625" style="170" customWidth="1"/>
    <col min="774" max="774" width="46.7109375" style="170" customWidth="1"/>
    <col min="775" max="775" width="13.140625" style="170" customWidth="1"/>
    <col min="776" max="776" width="17" style="170" customWidth="1"/>
    <col min="777" max="777" width="18.28515625" style="170" customWidth="1"/>
    <col min="778" max="787" width="14.7109375" style="170" customWidth="1"/>
    <col min="788" max="788" width="8.85546875" style="170"/>
    <col min="789" max="789" width="15.7109375" style="170" customWidth="1"/>
    <col min="790" max="790" width="14.140625" style="170" customWidth="1"/>
    <col min="791" max="791" width="15.7109375" style="170" customWidth="1"/>
    <col min="792" max="792" width="11.28515625" style="170" bestFit="1" customWidth="1"/>
    <col min="793" max="793" width="13.140625" style="170" customWidth="1"/>
    <col min="794" max="794" width="12.140625" style="170" customWidth="1"/>
    <col min="795" max="1027" width="8.85546875" style="170"/>
    <col min="1028" max="1028" width="2.42578125" style="170" customWidth="1"/>
    <col min="1029" max="1029" width="33.28515625" style="170" customWidth="1"/>
    <col min="1030" max="1030" width="46.7109375" style="170" customWidth="1"/>
    <col min="1031" max="1031" width="13.140625" style="170" customWidth="1"/>
    <col min="1032" max="1032" width="17" style="170" customWidth="1"/>
    <col min="1033" max="1033" width="18.28515625" style="170" customWidth="1"/>
    <col min="1034" max="1043" width="14.7109375" style="170" customWidth="1"/>
    <col min="1044" max="1044" width="8.85546875" style="170"/>
    <col min="1045" max="1045" width="15.7109375" style="170" customWidth="1"/>
    <col min="1046" max="1046" width="14.140625" style="170" customWidth="1"/>
    <col min="1047" max="1047" width="15.7109375" style="170" customWidth="1"/>
    <col min="1048" max="1048" width="11.28515625" style="170" bestFit="1" customWidth="1"/>
    <col min="1049" max="1049" width="13.140625" style="170" customWidth="1"/>
    <col min="1050" max="1050" width="12.140625" style="170" customWidth="1"/>
    <col min="1051" max="1283" width="8.85546875" style="170"/>
    <col min="1284" max="1284" width="2.42578125" style="170" customWidth="1"/>
    <col min="1285" max="1285" width="33.28515625" style="170" customWidth="1"/>
    <col min="1286" max="1286" width="46.7109375" style="170" customWidth="1"/>
    <col min="1287" max="1287" width="13.140625" style="170" customWidth="1"/>
    <col min="1288" max="1288" width="17" style="170" customWidth="1"/>
    <col min="1289" max="1289" width="18.28515625" style="170" customWidth="1"/>
    <col min="1290" max="1299" width="14.7109375" style="170" customWidth="1"/>
    <col min="1300" max="1300" width="8.85546875" style="170"/>
    <col min="1301" max="1301" width="15.7109375" style="170" customWidth="1"/>
    <col min="1302" max="1302" width="14.140625" style="170" customWidth="1"/>
    <col min="1303" max="1303" width="15.7109375" style="170" customWidth="1"/>
    <col min="1304" max="1304" width="11.28515625" style="170" bestFit="1" customWidth="1"/>
    <col min="1305" max="1305" width="13.140625" style="170" customWidth="1"/>
    <col min="1306" max="1306" width="12.140625" style="170" customWidth="1"/>
    <col min="1307" max="1539" width="8.85546875" style="170"/>
    <col min="1540" max="1540" width="2.42578125" style="170" customWidth="1"/>
    <col min="1541" max="1541" width="33.28515625" style="170" customWidth="1"/>
    <col min="1542" max="1542" width="46.7109375" style="170" customWidth="1"/>
    <col min="1543" max="1543" width="13.140625" style="170" customWidth="1"/>
    <col min="1544" max="1544" width="17" style="170" customWidth="1"/>
    <col min="1545" max="1545" width="18.28515625" style="170" customWidth="1"/>
    <col min="1546" max="1555" width="14.7109375" style="170" customWidth="1"/>
    <col min="1556" max="1556" width="8.85546875" style="170"/>
    <col min="1557" max="1557" width="15.7109375" style="170" customWidth="1"/>
    <col min="1558" max="1558" width="14.140625" style="170" customWidth="1"/>
    <col min="1559" max="1559" width="15.7109375" style="170" customWidth="1"/>
    <col min="1560" max="1560" width="11.28515625" style="170" bestFit="1" customWidth="1"/>
    <col min="1561" max="1561" width="13.140625" style="170" customWidth="1"/>
    <col min="1562" max="1562" width="12.140625" style="170" customWidth="1"/>
    <col min="1563" max="1795" width="8.85546875" style="170"/>
    <col min="1796" max="1796" width="2.42578125" style="170" customWidth="1"/>
    <col min="1797" max="1797" width="33.28515625" style="170" customWidth="1"/>
    <col min="1798" max="1798" width="46.7109375" style="170" customWidth="1"/>
    <col min="1799" max="1799" width="13.140625" style="170" customWidth="1"/>
    <col min="1800" max="1800" width="17" style="170" customWidth="1"/>
    <col min="1801" max="1801" width="18.28515625" style="170" customWidth="1"/>
    <col min="1802" max="1811" width="14.7109375" style="170" customWidth="1"/>
    <col min="1812" max="1812" width="8.85546875" style="170"/>
    <col min="1813" max="1813" width="15.7109375" style="170" customWidth="1"/>
    <col min="1814" max="1814" width="14.140625" style="170" customWidth="1"/>
    <col min="1815" max="1815" width="15.7109375" style="170" customWidth="1"/>
    <col min="1816" max="1816" width="11.28515625" style="170" bestFit="1" customWidth="1"/>
    <col min="1817" max="1817" width="13.140625" style="170" customWidth="1"/>
    <col min="1818" max="1818" width="12.140625" style="170" customWidth="1"/>
    <col min="1819" max="2051" width="8.85546875" style="170"/>
    <col min="2052" max="2052" width="2.42578125" style="170" customWidth="1"/>
    <col min="2053" max="2053" width="33.28515625" style="170" customWidth="1"/>
    <col min="2054" max="2054" width="46.7109375" style="170" customWidth="1"/>
    <col min="2055" max="2055" width="13.140625" style="170" customWidth="1"/>
    <col min="2056" max="2056" width="17" style="170" customWidth="1"/>
    <col min="2057" max="2057" width="18.28515625" style="170" customWidth="1"/>
    <col min="2058" max="2067" width="14.7109375" style="170" customWidth="1"/>
    <col min="2068" max="2068" width="8.85546875" style="170"/>
    <col min="2069" max="2069" width="15.7109375" style="170" customWidth="1"/>
    <col min="2070" max="2070" width="14.140625" style="170" customWidth="1"/>
    <col min="2071" max="2071" width="15.7109375" style="170" customWidth="1"/>
    <col min="2072" max="2072" width="11.28515625" style="170" bestFit="1" customWidth="1"/>
    <col min="2073" max="2073" width="13.140625" style="170" customWidth="1"/>
    <col min="2074" max="2074" width="12.140625" style="170" customWidth="1"/>
    <col min="2075" max="2307" width="8.85546875" style="170"/>
    <col min="2308" max="2308" width="2.42578125" style="170" customWidth="1"/>
    <col min="2309" max="2309" width="33.28515625" style="170" customWidth="1"/>
    <col min="2310" max="2310" width="46.7109375" style="170" customWidth="1"/>
    <col min="2311" max="2311" width="13.140625" style="170" customWidth="1"/>
    <col min="2312" max="2312" width="17" style="170" customWidth="1"/>
    <col min="2313" max="2313" width="18.28515625" style="170" customWidth="1"/>
    <col min="2314" max="2323" width="14.7109375" style="170" customWidth="1"/>
    <col min="2324" max="2324" width="8.85546875" style="170"/>
    <col min="2325" max="2325" width="15.7109375" style="170" customWidth="1"/>
    <col min="2326" max="2326" width="14.140625" style="170" customWidth="1"/>
    <col min="2327" max="2327" width="15.7109375" style="170" customWidth="1"/>
    <col min="2328" max="2328" width="11.28515625" style="170" bestFit="1" customWidth="1"/>
    <col min="2329" max="2329" width="13.140625" style="170" customWidth="1"/>
    <col min="2330" max="2330" width="12.140625" style="170" customWidth="1"/>
    <col min="2331" max="2563" width="8.85546875" style="170"/>
    <col min="2564" max="2564" width="2.42578125" style="170" customWidth="1"/>
    <col min="2565" max="2565" width="33.28515625" style="170" customWidth="1"/>
    <col min="2566" max="2566" width="46.7109375" style="170" customWidth="1"/>
    <col min="2567" max="2567" width="13.140625" style="170" customWidth="1"/>
    <col min="2568" max="2568" width="17" style="170" customWidth="1"/>
    <col min="2569" max="2569" width="18.28515625" style="170" customWidth="1"/>
    <col min="2570" max="2579" width="14.7109375" style="170" customWidth="1"/>
    <col min="2580" max="2580" width="8.85546875" style="170"/>
    <col min="2581" max="2581" width="15.7109375" style="170" customWidth="1"/>
    <col min="2582" max="2582" width="14.140625" style="170" customWidth="1"/>
    <col min="2583" max="2583" width="15.7109375" style="170" customWidth="1"/>
    <col min="2584" max="2584" width="11.28515625" style="170" bestFit="1" customWidth="1"/>
    <col min="2585" max="2585" width="13.140625" style="170" customWidth="1"/>
    <col min="2586" max="2586" width="12.140625" style="170" customWidth="1"/>
    <col min="2587" max="2819" width="8.85546875" style="170"/>
    <col min="2820" max="2820" width="2.42578125" style="170" customWidth="1"/>
    <col min="2821" max="2821" width="33.28515625" style="170" customWidth="1"/>
    <col min="2822" max="2822" width="46.7109375" style="170" customWidth="1"/>
    <col min="2823" max="2823" width="13.140625" style="170" customWidth="1"/>
    <col min="2824" max="2824" width="17" style="170" customWidth="1"/>
    <col min="2825" max="2825" width="18.28515625" style="170" customWidth="1"/>
    <col min="2826" max="2835" width="14.7109375" style="170" customWidth="1"/>
    <col min="2836" max="2836" width="8.85546875" style="170"/>
    <col min="2837" max="2837" width="15.7109375" style="170" customWidth="1"/>
    <col min="2838" max="2838" width="14.140625" style="170" customWidth="1"/>
    <col min="2839" max="2839" width="15.7109375" style="170" customWidth="1"/>
    <col min="2840" max="2840" width="11.28515625" style="170" bestFit="1" customWidth="1"/>
    <col min="2841" max="2841" width="13.140625" style="170" customWidth="1"/>
    <col min="2842" max="2842" width="12.140625" style="170" customWidth="1"/>
    <col min="2843" max="3075" width="8.85546875" style="170"/>
    <col min="3076" max="3076" width="2.42578125" style="170" customWidth="1"/>
    <col min="3077" max="3077" width="33.28515625" style="170" customWidth="1"/>
    <col min="3078" max="3078" width="46.7109375" style="170" customWidth="1"/>
    <col min="3079" max="3079" width="13.140625" style="170" customWidth="1"/>
    <col min="3080" max="3080" width="17" style="170" customWidth="1"/>
    <col min="3081" max="3081" width="18.28515625" style="170" customWidth="1"/>
    <col min="3082" max="3091" width="14.7109375" style="170" customWidth="1"/>
    <col min="3092" max="3092" width="8.85546875" style="170"/>
    <col min="3093" max="3093" width="15.7109375" style="170" customWidth="1"/>
    <col min="3094" max="3094" width="14.140625" style="170" customWidth="1"/>
    <col min="3095" max="3095" width="15.7109375" style="170" customWidth="1"/>
    <col min="3096" max="3096" width="11.28515625" style="170" bestFit="1" customWidth="1"/>
    <col min="3097" max="3097" width="13.140625" style="170" customWidth="1"/>
    <col min="3098" max="3098" width="12.140625" style="170" customWidth="1"/>
    <col min="3099" max="3331" width="8.85546875" style="170"/>
    <col min="3332" max="3332" width="2.42578125" style="170" customWidth="1"/>
    <col min="3333" max="3333" width="33.28515625" style="170" customWidth="1"/>
    <col min="3334" max="3334" width="46.7109375" style="170" customWidth="1"/>
    <col min="3335" max="3335" width="13.140625" style="170" customWidth="1"/>
    <col min="3336" max="3336" width="17" style="170" customWidth="1"/>
    <col min="3337" max="3337" width="18.28515625" style="170" customWidth="1"/>
    <col min="3338" max="3347" width="14.7109375" style="170" customWidth="1"/>
    <col min="3348" max="3348" width="8.85546875" style="170"/>
    <col min="3349" max="3349" width="15.7109375" style="170" customWidth="1"/>
    <col min="3350" max="3350" width="14.140625" style="170" customWidth="1"/>
    <col min="3351" max="3351" width="15.7109375" style="170" customWidth="1"/>
    <col min="3352" max="3352" width="11.28515625" style="170" bestFit="1" customWidth="1"/>
    <col min="3353" max="3353" width="13.140625" style="170" customWidth="1"/>
    <col min="3354" max="3354" width="12.140625" style="170" customWidth="1"/>
    <col min="3355" max="3587" width="8.85546875" style="170"/>
    <col min="3588" max="3588" width="2.42578125" style="170" customWidth="1"/>
    <col min="3589" max="3589" width="33.28515625" style="170" customWidth="1"/>
    <col min="3590" max="3590" width="46.7109375" style="170" customWidth="1"/>
    <col min="3591" max="3591" width="13.140625" style="170" customWidth="1"/>
    <col min="3592" max="3592" width="17" style="170" customWidth="1"/>
    <col min="3593" max="3593" width="18.28515625" style="170" customWidth="1"/>
    <col min="3594" max="3603" width="14.7109375" style="170" customWidth="1"/>
    <col min="3604" max="3604" width="8.85546875" style="170"/>
    <col min="3605" max="3605" width="15.7109375" style="170" customWidth="1"/>
    <col min="3606" max="3606" width="14.140625" style="170" customWidth="1"/>
    <col min="3607" max="3607" width="15.7109375" style="170" customWidth="1"/>
    <col min="3608" max="3608" width="11.28515625" style="170" bestFit="1" customWidth="1"/>
    <col min="3609" max="3609" width="13.140625" style="170" customWidth="1"/>
    <col min="3610" max="3610" width="12.140625" style="170" customWidth="1"/>
    <col min="3611" max="3843" width="8.85546875" style="170"/>
    <col min="3844" max="3844" width="2.42578125" style="170" customWidth="1"/>
    <col min="3845" max="3845" width="33.28515625" style="170" customWidth="1"/>
    <col min="3846" max="3846" width="46.7109375" style="170" customWidth="1"/>
    <col min="3847" max="3847" width="13.140625" style="170" customWidth="1"/>
    <col min="3848" max="3848" width="17" style="170" customWidth="1"/>
    <col min="3849" max="3849" width="18.28515625" style="170" customWidth="1"/>
    <col min="3850" max="3859" width="14.7109375" style="170" customWidth="1"/>
    <col min="3860" max="3860" width="8.85546875" style="170"/>
    <col min="3861" max="3861" width="15.7109375" style="170" customWidth="1"/>
    <col min="3862" max="3862" width="14.140625" style="170" customWidth="1"/>
    <col min="3863" max="3863" width="15.7109375" style="170" customWidth="1"/>
    <col min="3864" max="3864" width="11.28515625" style="170" bestFit="1" customWidth="1"/>
    <col min="3865" max="3865" width="13.140625" style="170" customWidth="1"/>
    <col min="3866" max="3866" width="12.140625" style="170" customWidth="1"/>
    <col min="3867" max="4099" width="8.85546875" style="170"/>
    <col min="4100" max="4100" width="2.42578125" style="170" customWidth="1"/>
    <col min="4101" max="4101" width="33.28515625" style="170" customWidth="1"/>
    <col min="4102" max="4102" width="46.7109375" style="170" customWidth="1"/>
    <col min="4103" max="4103" width="13.140625" style="170" customWidth="1"/>
    <col min="4104" max="4104" width="17" style="170" customWidth="1"/>
    <col min="4105" max="4105" width="18.28515625" style="170" customWidth="1"/>
    <col min="4106" max="4115" width="14.7109375" style="170" customWidth="1"/>
    <col min="4116" max="4116" width="8.85546875" style="170"/>
    <col min="4117" max="4117" width="15.7109375" style="170" customWidth="1"/>
    <col min="4118" max="4118" width="14.140625" style="170" customWidth="1"/>
    <col min="4119" max="4119" width="15.7109375" style="170" customWidth="1"/>
    <col min="4120" max="4120" width="11.28515625" style="170" bestFit="1" customWidth="1"/>
    <col min="4121" max="4121" width="13.140625" style="170" customWidth="1"/>
    <col min="4122" max="4122" width="12.140625" style="170" customWidth="1"/>
    <col min="4123" max="4355" width="8.85546875" style="170"/>
    <col min="4356" max="4356" width="2.42578125" style="170" customWidth="1"/>
    <col min="4357" max="4357" width="33.28515625" style="170" customWidth="1"/>
    <col min="4358" max="4358" width="46.7109375" style="170" customWidth="1"/>
    <col min="4359" max="4359" width="13.140625" style="170" customWidth="1"/>
    <col min="4360" max="4360" width="17" style="170" customWidth="1"/>
    <col min="4361" max="4361" width="18.28515625" style="170" customWidth="1"/>
    <col min="4362" max="4371" width="14.7109375" style="170" customWidth="1"/>
    <col min="4372" max="4372" width="8.85546875" style="170"/>
    <col min="4373" max="4373" width="15.7109375" style="170" customWidth="1"/>
    <col min="4374" max="4374" width="14.140625" style="170" customWidth="1"/>
    <col min="4375" max="4375" width="15.7109375" style="170" customWidth="1"/>
    <col min="4376" max="4376" width="11.28515625" style="170" bestFit="1" customWidth="1"/>
    <col min="4377" max="4377" width="13.140625" style="170" customWidth="1"/>
    <col min="4378" max="4378" width="12.140625" style="170" customWidth="1"/>
    <col min="4379" max="4611" width="8.85546875" style="170"/>
    <col min="4612" max="4612" width="2.42578125" style="170" customWidth="1"/>
    <col min="4613" max="4613" width="33.28515625" style="170" customWidth="1"/>
    <col min="4614" max="4614" width="46.7109375" style="170" customWidth="1"/>
    <col min="4615" max="4615" width="13.140625" style="170" customWidth="1"/>
    <col min="4616" max="4616" width="17" style="170" customWidth="1"/>
    <col min="4617" max="4617" width="18.28515625" style="170" customWidth="1"/>
    <col min="4618" max="4627" width="14.7109375" style="170" customWidth="1"/>
    <col min="4628" max="4628" width="8.85546875" style="170"/>
    <col min="4629" max="4629" width="15.7109375" style="170" customWidth="1"/>
    <col min="4630" max="4630" width="14.140625" style="170" customWidth="1"/>
    <col min="4631" max="4631" width="15.7109375" style="170" customWidth="1"/>
    <col min="4632" max="4632" width="11.28515625" style="170" bestFit="1" customWidth="1"/>
    <col min="4633" max="4633" width="13.140625" style="170" customWidth="1"/>
    <col min="4634" max="4634" width="12.140625" style="170" customWidth="1"/>
    <col min="4635" max="4867" width="8.85546875" style="170"/>
    <col min="4868" max="4868" width="2.42578125" style="170" customWidth="1"/>
    <col min="4869" max="4869" width="33.28515625" style="170" customWidth="1"/>
    <col min="4870" max="4870" width="46.7109375" style="170" customWidth="1"/>
    <col min="4871" max="4871" width="13.140625" style="170" customWidth="1"/>
    <col min="4872" max="4872" width="17" style="170" customWidth="1"/>
    <col min="4873" max="4873" width="18.28515625" style="170" customWidth="1"/>
    <col min="4874" max="4883" width="14.7109375" style="170" customWidth="1"/>
    <col min="4884" max="4884" width="8.85546875" style="170"/>
    <col min="4885" max="4885" width="15.7109375" style="170" customWidth="1"/>
    <col min="4886" max="4886" width="14.140625" style="170" customWidth="1"/>
    <col min="4887" max="4887" width="15.7109375" style="170" customWidth="1"/>
    <col min="4888" max="4888" width="11.28515625" style="170" bestFit="1" customWidth="1"/>
    <col min="4889" max="4889" width="13.140625" style="170" customWidth="1"/>
    <col min="4890" max="4890" width="12.140625" style="170" customWidth="1"/>
    <col min="4891" max="5123" width="8.85546875" style="170"/>
    <col min="5124" max="5124" width="2.42578125" style="170" customWidth="1"/>
    <col min="5125" max="5125" width="33.28515625" style="170" customWidth="1"/>
    <col min="5126" max="5126" width="46.7109375" style="170" customWidth="1"/>
    <col min="5127" max="5127" width="13.140625" style="170" customWidth="1"/>
    <col min="5128" max="5128" width="17" style="170" customWidth="1"/>
    <col min="5129" max="5129" width="18.28515625" style="170" customWidth="1"/>
    <col min="5130" max="5139" width="14.7109375" style="170" customWidth="1"/>
    <col min="5140" max="5140" width="8.85546875" style="170"/>
    <col min="5141" max="5141" width="15.7109375" style="170" customWidth="1"/>
    <col min="5142" max="5142" width="14.140625" style="170" customWidth="1"/>
    <col min="5143" max="5143" width="15.7109375" style="170" customWidth="1"/>
    <col min="5144" max="5144" width="11.28515625" style="170" bestFit="1" customWidth="1"/>
    <col min="5145" max="5145" width="13.140625" style="170" customWidth="1"/>
    <col min="5146" max="5146" width="12.140625" style="170" customWidth="1"/>
    <col min="5147" max="5379" width="8.85546875" style="170"/>
    <col min="5380" max="5380" width="2.42578125" style="170" customWidth="1"/>
    <col min="5381" max="5381" width="33.28515625" style="170" customWidth="1"/>
    <col min="5382" max="5382" width="46.7109375" style="170" customWidth="1"/>
    <col min="5383" max="5383" width="13.140625" style="170" customWidth="1"/>
    <col min="5384" max="5384" width="17" style="170" customWidth="1"/>
    <col min="5385" max="5385" width="18.28515625" style="170" customWidth="1"/>
    <col min="5386" max="5395" width="14.7109375" style="170" customWidth="1"/>
    <col min="5396" max="5396" width="8.85546875" style="170"/>
    <col min="5397" max="5397" width="15.7109375" style="170" customWidth="1"/>
    <col min="5398" max="5398" width="14.140625" style="170" customWidth="1"/>
    <col min="5399" max="5399" width="15.7109375" style="170" customWidth="1"/>
    <col min="5400" max="5400" width="11.28515625" style="170" bestFit="1" customWidth="1"/>
    <col min="5401" max="5401" width="13.140625" style="170" customWidth="1"/>
    <col min="5402" max="5402" width="12.140625" style="170" customWidth="1"/>
    <col min="5403" max="5635" width="8.85546875" style="170"/>
    <col min="5636" max="5636" width="2.42578125" style="170" customWidth="1"/>
    <col min="5637" max="5637" width="33.28515625" style="170" customWidth="1"/>
    <col min="5638" max="5638" width="46.7109375" style="170" customWidth="1"/>
    <col min="5639" max="5639" width="13.140625" style="170" customWidth="1"/>
    <col min="5640" max="5640" width="17" style="170" customWidth="1"/>
    <col min="5641" max="5641" width="18.28515625" style="170" customWidth="1"/>
    <col min="5642" max="5651" width="14.7109375" style="170" customWidth="1"/>
    <col min="5652" max="5652" width="8.85546875" style="170"/>
    <col min="5653" max="5653" width="15.7109375" style="170" customWidth="1"/>
    <col min="5654" max="5654" width="14.140625" style="170" customWidth="1"/>
    <col min="5655" max="5655" width="15.7109375" style="170" customWidth="1"/>
    <col min="5656" max="5656" width="11.28515625" style="170" bestFit="1" customWidth="1"/>
    <col min="5657" max="5657" width="13.140625" style="170" customWidth="1"/>
    <col min="5658" max="5658" width="12.140625" style="170" customWidth="1"/>
    <col min="5659" max="5891" width="8.85546875" style="170"/>
    <col min="5892" max="5892" width="2.42578125" style="170" customWidth="1"/>
    <col min="5893" max="5893" width="33.28515625" style="170" customWidth="1"/>
    <col min="5894" max="5894" width="46.7109375" style="170" customWidth="1"/>
    <col min="5895" max="5895" width="13.140625" style="170" customWidth="1"/>
    <col min="5896" max="5896" width="17" style="170" customWidth="1"/>
    <col min="5897" max="5897" width="18.28515625" style="170" customWidth="1"/>
    <col min="5898" max="5907" width="14.7109375" style="170" customWidth="1"/>
    <col min="5908" max="5908" width="8.85546875" style="170"/>
    <col min="5909" max="5909" width="15.7109375" style="170" customWidth="1"/>
    <col min="5910" max="5910" width="14.140625" style="170" customWidth="1"/>
    <col min="5911" max="5911" width="15.7109375" style="170" customWidth="1"/>
    <col min="5912" max="5912" width="11.28515625" style="170" bestFit="1" customWidth="1"/>
    <col min="5913" max="5913" width="13.140625" style="170" customWidth="1"/>
    <col min="5914" max="5914" width="12.140625" style="170" customWidth="1"/>
    <col min="5915" max="6147" width="8.85546875" style="170"/>
    <col min="6148" max="6148" width="2.42578125" style="170" customWidth="1"/>
    <col min="6149" max="6149" width="33.28515625" style="170" customWidth="1"/>
    <col min="6150" max="6150" width="46.7109375" style="170" customWidth="1"/>
    <col min="6151" max="6151" width="13.140625" style="170" customWidth="1"/>
    <col min="6152" max="6152" width="17" style="170" customWidth="1"/>
    <col min="6153" max="6153" width="18.28515625" style="170" customWidth="1"/>
    <col min="6154" max="6163" width="14.7109375" style="170" customWidth="1"/>
    <col min="6164" max="6164" width="8.85546875" style="170"/>
    <col min="6165" max="6165" width="15.7109375" style="170" customWidth="1"/>
    <col min="6166" max="6166" width="14.140625" style="170" customWidth="1"/>
    <col min="6167" max="6167" width="15.7109375" style="170" customWidth="1"/>
    <col min="6168" max="6168" width="11.28515625" style="170" bestFit="1" customWidth="1"/>
    <col min="6169" max="6169" width="13.140625" style="170" customWidth="1"/>
    <col min="6170" max="6170" width="12.140625" style="170" customWidth="1"/>
    <col min="6171" max="6403" width="8.85546875" style="170"/>
    <col min="6404" max="6404" width="2.42578125" style="170" customWidth="1"/>
    <col min="6405" max="6405" width="33.28515625" style="170" customWidth="1"/>
    <col min="6406" max="6406" width="46.7109375" style="170" customWidth="1"/>
    <col min="6407" max="6407" width="13.140625" style="170" customWidth="1"/>
    <col min="6408" max="6408" width="17" style="170" customWidth="1"/>
    <col min="6409" max="6409" width="18.28515625" style="170" customWidth="1"/>
    <col min="6410" max="6419" width="14.7109375" style="170" customWidth="1"/>
    <col min="6420" max="6420" width="8.85546875" style="170"/>
    <col min="6421" max="6421" width="15.7109375" style="170" customWidth="1"/>
    <col min="6422" max="6422" width="14.140625" style="170" customWidth="1"/>
    <col min="6423" max="6423" width="15.7109375" style="170" customWidth="1"/>
    <col min="6424" max="6424" width="11.28515625" style="170" bestFit="1" customWidth="1"/>
    <col min="6425" max="6425" width="13.140625" style="170" customWidth="1"/>
    <col min="6426" max="6426" width="12.140625" style="170" customWidth="1"/>
    <col min="6427" max="6659" width="8.85546875" style="170"/>
    <col min="6660" max="6660" width="2.42578125" style="170" customWidth="1"/>
    <col min="6661" max="6661" width="33.28515625" style="170" customWidth="1"/>
    <col min="6662" max="6662" width="46.7109375" style="170" customWidth="1"/>
    <col min="6663" max="6663" width="13.140625" style="170" customWidth="1"/>
    <col min="6664" max="6664" width="17" style="170" customWidth="1"/>
    <col min="6665" max="6665" width="18.28515625" style="170" customWidth="1"/>
    <col min="6666" max="6675" width="14.7109375" style="170" customWidth="1"/>
    <col min="6676" max="6676" width="8.85546875" style="170"/>
    <col min="6677" max="6677" width="15.7109375" style="170" customWidth="1"/>
    <col min="6678" max="6678" width="14.140625" style="170" customWidth="1"/>
    <col min="6679" max="6679" width="15.7109375" style="170" customWidth="1"/>
    <col min="6680" max="6680" width="11.28515625" style="170" bestFit="1" customWidth="1"/>
    <col min="6681" max="6681" width="13.140625" style="170" customWidth="1"/>
    <col min="6682" max="6682" width="12.140625" style="170" customWidth="1"/>
    <col min="6683" max="6915" width="8.85546875" style="170"/>
    <col min="6916" max="6916" width="2.42578125" style="170" customWidth="1"/>
    <col min="6917" max="6917" width="33.28515625" style="170" customWidth="1"/>
    <col min="6918" max="6918" width="46.7109375" style="170" customWidth="1"/>
    <col min="6919" max="6919" width="13.140625" style="170" customWidth="1"/>
    <col min="6920" max="6920" width="17" style="170" customWidth="1"/>
    <col min="6921" max="6921" width="18.28515625" style="170" customWidth="1"/>
    <col min="6922" max="6931" width="14.7109375" style="170" customWidth="1"/>
    <col min="6932" max="6932" width="8.85546875" style="170"/>
    <col min="6933" max="6933" width="15.7109375" style="170" customWidth="1"/>
    <col min="6934" max="6934" width="14.140625" style="170" customWidth="1"/>
    <col min="6935" max="6935" width="15.7109375" style="170" customWidth="1"/>
    <col min="6936" max="6936" width="11.28515625" style="170" bestFit="1" customWidth="1"/>
    <col min="6937" max="6937" width="13.140625" style="170" customWidth="1"/>
    <col min="6938" max="6938" width="12.140625" style="170" customWidth="1"/>
    <col min="6939" max="7171" width="8.85546875" style="170"/>
    <col min="7172" max="7172" width="2.42578125" style="170" customWidth="1"/>
    <col min="7173" max="7173" width="33.28515625" style="170" customWidth="1"/>
    <col min="7174" max="7174" width="46.7109375" style="170" customWidth="1"/>
    <col min="7175" max="7175" width="13.140625" style="170" customWidth="1"/>
    <col min="7176" max="7176" width="17" style="170" customWidth="1"/>
    <col min="7177" max="7177" width="18.28515625" style="170" customWidth="1"/>
    <col min="7178" max="7187" width="14.7109375" style="170" customWidth="1"/>
    <col min="7188" max="7188" width="8.85546875" style="170"/>
    <col min="7189" max="7189" width="15.7109375" style="170" customWidth="1"/>
    <col min="7190" max="7190" width="14.140625" style="170" customWidth="1"/>
    <col min="7191" max="7191" width="15.7109375" style="170" customWidth="1"/>
    <col min="7192" max="7192" width="11.28515625" style="170" bestFit="1" customWidth="1"/>
    <col min="7193" max="7193" width="13.140625" style="170" customWidth="1"/>
    <col min="7194" max="7194" width="12.140625" style="170" customWidth="1"/>
    <col min="7195" max="7427" width="8.85546875" style="170"/>
    <col min="7428" max="7428" width="2.42578125" style="170" customWidth="1"/>
    <col min="7429" max="7429" width="33.28515625" style="170" customWidth="1"/>
    <col min="7430" max="7430" width="46.7109375" style="170" customWidth="1"/>
    <col min="7431" max="7431" width="13.140625" style="170" customWidth="1"/>
    <col min="7432" max="7432" width="17" style="170" customWidth="1"/>
    <col min="7433" max="7433" width="18.28515625" style="170" customWidth="1"/>
    <col min="7434" max="7443" width="14.7109375" style="170" customWidth="1"/>
    <col min="7444" max="7444" width="8.85546875" style="170"/>
    <col min="7445" max="7445" width="15.7109375" style="170" customWidth="1"/>
    <col min="7446" max="7446" width="14.140625" style="170" customWidth="1"/>
    <col min="7447" max="7447" width="15.7109375" style="170" customWidth="1"/>
    <col min="7448" max="7448" width="11.28515625" style="170" bestFit="1" customWidth="1"/>
    <col min="7449" max="7449" width="13.140625" style="170" customWidth="1"/>
    <col min="7450" max="7450" width="12.140625" style="170" customWidth="1"/>
    <col min="7451" max="7683" width="8.85546875" style="170"/>
    <col min="7684" max="7684" width="2.42578125" style="170" customWidth="1"/>
    <col min="7685" max="7685" width="33.28515625" style="170" customWidth="1"/>
    <col min="7686" max="7686" width="46.7109375" style="170" customWidth="1"/>
    <col min="7687" max="7687" width="13.140625" style="170" customWidth="1"/>
    <col min="7688" max="7688" width="17" style="170" customWidth="1"/>
    <col min="7689" max="7689" width="18.28515625" style="170" customWidth="1"/>
    <col min="7690" max="7699" width="14.7109375" style="170" customWidth="1"/>
    <col min="7700" max="7700" width="8.85546875" style="170"/>
    <col min="7701" max="7701" width="15.7109375" style="170" customWidth="1"/>
    <col min="7702" max="7702" width="14.140625" style="170" customWidth="1"/>
    <col min="7703" max="7703" width="15.7109375" style="170" customWidth="1"/>
    <col min="7704" max="7704" width="11.28515625" style="170" bestFit="1" customWidth="1"/>
    <col min="7705" max="7705" width="13.140625" style="170" customWidth="1"/>
    <col min="7706" max="7706" width="12.140625" style="170" customWidth="1"/>
    <col min="7707" max="7939" width="8.85546875" style="170"/>
    <col min="7940" max="7940" width="2.42578125" style="170" customWidth="1"/>
    <col min="7941" max="7941" width="33.28515625" style="170" customWidth="1"/>
    <col min="7942" max="7942" width="46.7109375" style="170" customWidth="1"/>
    <col min="7943" max="7943" width="13.140625" style="170" customWidth="1"/>
    <col min="7944" max="7944" width="17" style="170" customWidth="1"/>
    <col min="7945" max="7945" width="18.28515625" style="170" customWidth="1"/>
    <col min="7946" max="7955" width="14.7109375" style="170" customWidth="1"/>
    <col min="7956" max="7956" width="8.85546875" style="170"/>
    <col min="7957" max="7957" width="15.7109375" style="170" customWidth="1"/>
    <col min="7958" max="7958" width="14.140625" style="170" customWidth="1"/>
    <col min="7959" max="7959" width="15.7109375" style="170" customWidth="1"/>
    <col min="7960" max="7960" width="11.28515625" style="170" bestFit="1" customWidth="1"/>
    <col min="7961" max="7961" width="13.140625" style="170" customWidth="1"/>
    <col min="7962" max="7962" width="12.140625" style="170" customWidth="1"/>
    <col min="7963" max="8195" width="8.85546875" style="170"/>
    <col min="8196" max="8196" width="2.42578125" style="170" customWidth="1"/>
    <col min="8197" max="8197" width="33.28515625" style="170" customWidth="1"/>
    <col min="8198" max="8198" width="46.7109375" style="170" customWidth="1"/>
    <col min="8199" max="8199" width="13.140625" style="170" customWidth="1"/>
    <col min="8200" max="8200" width="17" style="170" customWidth="1"/>
    <col min="8201" max="8201" width="18.28515625" style="170" customWidth="1"/>
    <col min="8202" max="8211" width="14.7109375" style="170" customWidth="1"/>
    <col min="8212" max="8212" width="8.85546875" style="170"/>
    <col min="8213" max="8213" width="15.7109375" style="170" customWidth="1"/>
    <col min="8214" max="8214" width="14.140625" style="170" customWidth="1"/>
    <col min="8215" max="8215" width="15.7109375" style="170" customWidth="1"/>
    <col min="8216" max="8216" width="11.28515625" style="170" bestFit="1" customWidth="1"/>
    <col min="8217" max="8217" width="13.140625" style="170" customWidth="1"/>
    <col min="8218" max="8218" width="12.140625" style="170" customWidth="1"/>
    <col min="8219" max="8451" width="8.85546875" style="170"/>
    <col min="8452" max="8452" width="2.42578125" style="170" customWidth="1"/>
    <col min="8453" max="8453" width="33.28515625" style="170" customWidth="1"/>
    <col min="8454" max="8454" width="46.7109375" style="170" customWidth="1"/>
    <col min="8455" max="8455" width="13.140625" style="170" customWidth="1"/>
    <col min="8456" max="8456" width="17" style="170" customWidth="1"/>
    <col min="8457" max="8457" width="18.28515625" style="170" customWidth="1"/>
    <col min="8458" max="8467" width="14.7109375" style="170" customWidth="1"/>
    <col min="8468" max="8468" width="8.85546875" style="170"/>
    <col min="8469" max="8469" width="15.7109375" style="170" customWidth="1"/>
    <col min="8470" max="8470" width="14.140625" style="170" customWidth="1"/>
    <col min="8471" max="8471" width="15.7109375" style="170" customWidth="1"/>
    <col min="8472" max="8472" width="11.28515625" style="170" bestFit="1" customWidth="1"/>
    <col min="8473" max="8473" width="13.140625" style="170" customWidth="1"/>
    <col min="8474" max="8474" width="12.140625" style="170" customWidth="1"/>
    <col min="8475" max="8707" width="8.85546875" style="170"/>
    <col min="8708" max="8708" width="2.42578125" style="170" customWidth="1"/>
    <col min="8709" max="8709" width="33.28515625" style="170" customWidth="1"/>
    <col min="8710" max="8710" width="46.7109375" style="170" customWidth="1"/>
    <col min="8711" max="8711" width="13.140625" style="170" customWidth="1"/>
    <col min="8712" max="8712" width="17" style="170" customWidth="1"/>
    <col min="8713" max="8713" width="18.28515625" style="170" customWidth="1"/>
    <col min="8714" max="8723" width="14.7109375" style="170" customWidth="1"/>
    <col min="8724" max="8724" width="8.85546875" style="170"/>
    <col min="8725" max="8725" width="15.7109375" style="170" customWidth="1"/>
    <col min="8726" max="8726" width="14.140625" style="170" customWidth="1"/>
    <col min="8727" max="8727" width="15.7109375" style="170" customWidth="1"/>
    <col min="8728" max="8728" width="11.28515625" style="170" bestFit="1" customWidth="1"/>
    <col min="8729" max="8729" width="13.140625" style="170" customWidth="1"/>
    <col min="8730" max="8730" width="12.140625" style="170" customWidth="1"/>
    <col min="8731" max="8963" width="8.85546875" style="170"/>
    <col min="8964" max="8964" width="2.42578125" style="170" customWidth="1"/>
    <col min="8965" max="8965" width="33.28515625" style="170" customWidth="1"/>
    <col min="8966" max="8966" width="46.7109375" style="170" customWidth="1"/>
    <col min="8967" max="8967" width="13.140625" style="170" customWidth="1"/>
    <col min="8968" max="8968" width="17" style="170" customWidth="1"/>
    <col min="8969" max="8969" width="18.28515625" style="170" customWidth="1"/>
    <col min="8970" max="8979" width="14.7109375" style="170" customWidth="1"/>
    <col min="8980" max="8980" width="8.85546875" style="170"/>
    <col min="8981" max="8981" width="15.7109375" style="170" customWidth="1"/>
    <col min="8982" max="8982" width="14.140625" style="170" customWidth="1"/>
    <col min="8983" max="8983" width="15.7109375" style="170" customWidth="1"/>
    <col min="8984" max="8984" width="11.28515625" style="170" bestFit="1" customWidth="1"/>
    <col min="8985" max="8985" width="13.140625" style="170" customWidth="1"/>
    <col min="8986" max="8986" width="12.140625" style="170" customWidth="1"/>
    <col min="8987" max="9219" width="8.85546875" style="170"/>
    <col min="9220" max="9220" width="2.42578125" style="170" customWidth="1"/>
    <col min="9221" max="9221" width="33.28515625" style="170" customWidth="1"/>
    <col min="9222" max="9222" width="46.7109375" style="170" customWidth="1"/>
    <col min="9223" max="9223" width="13.140625" style="170" customWidth="1"/>
    <col min="9224" max="9224" width="17" style="170" customWidth="1"/>
    <col min="9225" max="9225" width="18.28515625" style="170" customWidth="1"/>
    <col min="9226" max="9235" width="14.7109375" style="170" customWidth="1"/>
    <col min="9236" max="9236" width="8.85546875" style="170"/>
    <col min="9237" max="9237" width="15.7109375" style="170" customWidth="1"/>
    <col min="9238" max="9238" width="14.140625" style="170" customWidth="1"/>
    <col min="9239" max="9239" width="15.7109375" style="170" customWidth="1"/>
    <col min="9240" max="9240" width="11.28515625" style="170" bestFit="1" customWidth="1"/>
    <col min="9241" max="9241" width="13.140625" style="170" customWidth="1"/>
    <col min="9242" max="9242" width="12.140625" style="170" customWidth="1"/>
    <col min="9243" max="9475" width="8.85546875" style="170"/>
    <col min="9476" max="9476" width="2.42578125" style="170" customWidth="1"/>
    <col min="9477" max="9477" width="33.28515625" style="170" customWidth="1"/>
    <col min="9478" max="9478" width="46.7109375" style="170" customWidth="1"/>
    <col min="9479" max="9479" width="13.140625" style="170" customWidth="1"/>
    <col min="9480" max="9480" width="17" style="170" customWidth="1"/>
    <col min="9481" max="9481" width="18.28515625" style="170" customWidth="1"/>
    <col min="9482" max="9491" width="14.7109375" style="170" customWidth="1"/>
    <col min="9492" max="9492" width="8.85546875" style="170"/>
    <col min="9493" max="9493" width="15.7109375" style="170" customWidth="1"/>
    <col min="9494" max="9494" width="14.140625" style="170" customWidth="1"/>
    <col min="9495" max="9495" width="15.7109375" style="170" customWidth="1"/>
    <col min="9496" max="9496" width="11.28515625" style="170" bestFit="1" customWidth="1"/>
    <col min="9497" max="9497" width="13.140625" style="170" customWidth="1"/>
    <col min="9498" max="9498" width="12.140625" style="170" customWidth="1"/>
    <col min="9499" max="9731" width="8.85546875" style="170"/>
    <col min="9732" max="9732" width="2.42578125" style="170" customWidth="1"/>
    <col min="9733" max="9733" width="33.28515625" style="170" customWidth="1"/>
    <col min="9734" max="9734" width="46.7109375" style="170" customWidth="1"/>
    <col min="9735" max="9735" width="13.140625" style="170" customWidth="1"/>
    <col min="9736" max="9736" width="17" style="170" customWidth="1"/>
    <col min="9737" max="9737" width="18.28515625" style="170" customWidth="1"/>
    <col min="9738" max="9747" width="14.7109375" style="170" customWidth="1"/>
    <col min="9748" max="9748" width="8.85546875" style="170"/>
    <col min="9749" max="9749" width="15.7109375" style="170" customWidth="1"/>
    <col min="9750" max="9750" width="14.140625" style="170" customWidth="1"/>
    <col min="9751" max="9751" width="15.7109375" style="170" customWidth="1"/>
    <col min="9752" max="9752" width="11.28515625" style="170" bestFit="1" customWidth="1"/>
    <col min="9753" max="9753" width="13.140625" style="170" customWidth="1"/>
    <col min="9754" max="9754" width="12.140625" style="170" customWidth="1"/>
    <col min="9755" max="9987" width="8.85546875" style="170"/>
    <col min="9988" max="9988" width="2.42578125" style="170" customWidth="1"/>
    <col min="9989" max="9989" width="33.28515625" style="170" customWidth="1"/>
    <col min="9990" max="9990" width="46.7109375" style="170" customWidth="1"/>
    <col min="9991" max="9991" width="13.140625" style="170" customWidth="1"/>
    <col min="9992" max="9992" width="17" style="170" customWidth="1"/>
    <col min="9993" max="9993" width="18.28515625" style="170" customWidth="1"/>
    <col min="9994" max="10003" width="14.7109375" style="170" customWidth="1"/>
    <col min="10004" max="10004" width="8.85546875" style="170"/>
    <col min="10005" max="10005" width="15.7109375" style="170" customWidth="1"/>
    <col min="10006" max="10006" width="14.140625" style="170" customWidth="1"/>
    <col min="10007" max="10007" width="15.7109375" style="170" customWidth="1"/>
    <col min="10008" max="10008" width="11.28515625" style="170" bestFit="1" customWidth="1"/>
    <col min="10009" max="10009" width="13.140625" style="170" customWidth="1"/>
    <col min="10010" max="10010" width="12.140625" style="170" customWidth="1"/>
    <col min="10011" max="10243" width="8.85546875" style="170"/>
    <col min="10244" max="10244" width="2.42578125" style="170" customWidth="1"/>
    <col min="10245" max="10245" width="33.28515625" style="170" customWidth="1"/>
    <col min="10246" max="10246" width="46.7109375" style="170" customWidth="1"/>
    <col min="10247" max="10247" width="13.140625" style="170" customWidth="1"/>
    <col min="10248" max="10248" width="17" style="170" customWidth="1"/>
    <col min="10249" max="10249" width="18.28515625" style="170" customWidth="1"/>
    <col min="10250" max="10259" width="14.7109375" style="170" customWidth="1"/>
    <col min="10260" max="10260" width="8.85546875" style="170"/>
    <col min="10261" max="10261" width="15.7109375" style="170" customWidth="1"/>
    <col min="10262" max="10262" width="14.140625" style="170" customWidth="1"/>
    <col min="10263" max="10263" width="15.7109375" style="170" customWidth="1"/>
    <col min="10264" max="10264" width="11.28515625" style="170" bestFit="1" customWidth="1"/>
    <col min="10265" max="10265" width="13.140625" style="170" customWidth="1"/>
    <col min="10266" max="10266" width="12.140625" style="170" customWidth="1"/>
    <col min="10267" max="10499" width="8.85546875" style="170"/>
    <col min="10500" max="10500" width="2.42578125" style="170" customWidth="1"/>
    <col min="10501" max="10501" width="33.28515625" style="170" customWidth="1"/>
    <col min="10502" max="10502" width="46.7109375" style="170" customWidth="1"/>
    <col min="10503" max="10503" width="13.140625" style="170" customWidth="1"/>
    <col min="10504" max="10504" width="17" style="170" customWidth="1"/>
    <col min="10505" max="10505" width="18.28515625" style="170" customWidth="1"/>
    <col min="10506" max="10515" width="14.7109375" style="170" customWidth="1"/>
    <col min="10516" max="10516" width="8.85546875" style="170"/>
    <col min="10517" max="10517" width="15.7109375" style="170" customWidth="1"/>
    <col min="10518" max="10518" width="14.140625" style="170" customWidth="1"/>
    <col min="10519" max="10519" width="15.7109375" style="170" customWidth="1"/>
    <col min="10520" max="10520" width="11.28515625" style="170" bestFit="1" customWidth="1"/>
    <col min="10521" max="10521" width="13.140625" style="170" customWidth="1"/>
    <col min="10522" max="10522" width="12.140625" style="170" customWidth="1"/>
    <col min="10523" max="10755" width="8.85546875" style="170"/>
    <col min="10756" max="10756" width="2.42578125" style="170" customWidth="1"/>
    <col min="10757" max="10757" width="33.28515625" style="170" customWidth="1"/>
    <col min="10758" max="10758" width="46.7109375" style="170" customWidth="1"/>
    <col min="10759" max="10759" width="13.140625" style="170" customWidth="1"/>
    <col min="10760" max="10760" width="17" style="170" customWidth="1"/>
    <col min="10761" max="10761" width="18.28515625" style="170" customWidth="1"/>
    <col min="10762" max="10771" width="14.7109375" style="170" customWidth="1"/>
    <col min="10772" max="10772" width="8.85546875" style="170"/>
    <col min="10773" max="10773" width="15.7109375" style="170" customWidth="1"/>
    <col min="10774" max="10774" width="14.140625" style="170" customWidth="1"/>
    <col min="10775" max="10775" width="15.7109375" style="170" customWidth="1"/>
    <col min="10776" max="10776" width="11.28515625" style="170" bestFit="1" customWidth="1"/>
    <col min="10777" max="10777" width="13.140625" style="170" customWidth="1"/>
    <col min="10778" max="10778" width="12.140625" style="170" customWidth="1"/>
    <col min="10779" max="11011" width="8.85546875" style="170"/>
    <col min="11012" max="11012" width="2.42578125" style="170" customWidth="1"/>
    <col min="11013" max="11013" width="33.28515625" style="170" customWidth="1"/>
    <col min="11014" max="11014" width="46.7109375" style="170" customWidth="1"/>
    <col min="11015" max="11015" width="13.140625" style="170" customWidth="1"/>
    <col min="11016" max="11016" width="17" style="170" customWidth="1"/>
    <col min="11017" max="11017" width="18.28515625" style="170" customWidth="1"/>
    <col min="11018" max="11027" width="14.7109375" style="170" customWidth="1"/>
    <col min="11028" max="11028" width="8.85546875" style="170"/>
    <col min="11029" max="11029" width="15.7109375" style="170" customWidth="1"/>
    <col min="11030" max="11030" width="14.140625" style="170" customWidth="1"/>
    <col min="11031" max="11031" width="15.7109375" style="170" customWidth="1"/>
    <col min="11032" max="11032" width="11.28515625" style="170" bestFit="1" customWidth="1"/>
    <col min="11033" max="11033" width="13.140625" style="170" customWidth="1"/>
    <col min="11034" max="11034" width="12.140625" style="170" customWidth="1"/>
    <col min="11035" max="11267" width="8.85546875" style="170"/>
    <col min="11268" max="11268" width="2.42578125" style="170" customWidth="1"/>
    <col min="11269" max="11269" width="33.28515625" style="170" customWidth="1"/>
    <col min="11270" max="11270" width="46.7109375" style="170" customWidth="1"/>
    <col min="11271" max="11271" width="13.140625" style="170" customWidth="1"/>
    <col min="11272" max="11272" width="17" style="170" customWidth="1"/>
    <col min="11273" max="11273" width="18.28515625" style="170" customWidth="1"/>
    <col min="11274" max="11283" width="14.7109375" style="170" customWidth="1"/>
    <col min="11284" max="11284" width="8.85546875" style="170"/>
    <col min="11285" max="11285" width="15.7109375" style="170" customWidth="1"/>
    <col min="11286" max="11286" width="14.140625" style="170" customWidth="1"/>
    <col min="11287" max="11287" width="15.7109375" style="170" customWidth="1"/>
    <col min="11288" max="11288" width="11.28515625" style="170" bestFit="1" customWidth="1"/>
    <col min="11289" max="11289" width="13.140625" style="170" customWidth="1"/>
    <col min="11290" max="11290" width="12.140625" style="170" customWidth="1"/>
    <col min="11291" max="11523" width="8.85546875" style="170"/>
    <col min="11524" max="11524" width="2.42578125" style="170" customWidth="1"/>
    <col min="11525" max="11525" width="33.28515625" style="170" customWidth="1"/>
    <col min="11526" max="11526" width="46.7109375" style="170" customWidth="1"/>
    <col min="11527" max="11527" width="13.140625" style="170" customWidth="1"/>
    <col min="11528" max="11528" width="17" style="170" customWidth="1"/>
    <col min="11529" max="11529" width="18.28515625" style="170" customWidth="1"/>
    <col min="11530" max="11539" width="14.7109375" style="170" customWidth="1"/>
    <col min="11540" max="11540" width="8.85546875" style="170"/>
    <col min="11541" max="11541" width="15.7109375" style="170" customWidth="1"/>
    <col min="11542" max="11542" width="14.140625" style="170" customWidth="1"/>
    <col min="11543" max="11543" width="15.7109375" style="170" customWidth="1"/>
    <col min="11544" max="11544" width="11.28515625" style="170" bestFit="1" customWidth="1"/>
    <col min="11545" max="11545" width="13.140625" style="170" customWidth="1"/>
    <col min="11546" max="11546" width="12.140625" style="170" customWidth="1"/>
    <col min="11547" max="11779" width="8.85546875" style="170"/>
    <col min="11780" max="11780" width="2.42578125" style="170" customWidth="1"/>
    <col min="11781" max="11781" width="33.28515625" style="170" customWidth="1"/>
    <col min="11782" max="11782" width="46.7109375" style="170" customWidth="1"/>
    <col min="11783" max="11783" width="13.140625" style="170" customWidth="1"/>
    <col min="11784" max="11784" width="17" style="170" customWidth="1"/>
    <col min="11785" max="11785" width="18.28515625" style="170" customWidth="1"/>
    <col min="11786" max="11795" width="14.7109375" style="170" customWidth="1"/>
    <col min="11796" max="11796" width="8.85546875" style="170"/>
    <col min="11797" max="11797" width="15.7109375" style="170" customWidth="1"/>
    <col min="11798" max="11798" width="14.140625" style="170" customWidth="1"/>
    <col min="11799" max="11799" width="15.7109375" style="170" customWidth="1"/>
    <col min="11800" max="11800" width="11.28515625" style="170" bestFit="1" customWidth="1"/>
    <col min="11801" max="11801" width="13.140625" style="170" customWidth="1"/>
    <col min="11802" max="11802" width="12.140625" style="170" customWidth="1"/>
    <col min="11803" max="12035" width="8.85546875" style="170"/>
    <col min="12036" max="12036" width="2.42578125" style="170" customWidth="1"/>
    <col min="12037" max="12037" width="33.28515625" style="170" customWidth="1"/>
    <col min="12038" max="12038" width="46.7109375" style="170" customWidth="1"/>
    <col min="12039" max="12039" width="13.140625" style="170" customWidth="1"/>
    <col min="12040" max="12040" width="17" style="170" customWidth="1"/>
    <col min="12041" max="12041" width="18.28515625" style="170" customWidth="1"/>
    <col min="12042" max="12051" width="14.7109375" style="170" customWidth="1"/>
    <col min="12052" max="12052" width="8.85546875" style="170"/>
    <col min="12053" max="12053" width="15.7109375" style="170" customWidth="1"/>
    <col min="12054" max="12054" width="14.140625" style="170" customWidth="1"/>
    <col min="12055" max="12055" width="15.7109375" style="170" customWidth="1"/>
    <col min="12056" max="12056" width="11.28515625" style="170" bestFit="1" customWidth="1"/>
    <col min="12057" max="12057" width="13.140625" style="170" customWidth="1"/>
    <col min="12058" max="12058" width="12.140625" style="170" customWidth="1"/>
    <col min="12059" max="12291" width="8.85546875" style="170"/>
    <col min="12292" max="12292" width="2.42578125" style="170" customWidth="1"/>
    <col min="12293" max="12293" width="33.28515625" style="170" customWidth="1"/>
    <col min="12294" max="12294" width="46.7109375" style="170" customWidth="1"/>
    <col min="12295" max="12295" width="13.140625" style="170" customWidth="1"/>
    <col min="12296" max="12296" width="17" style="170" customWidth="1"/>
    <col min="12297" max="12297" width="18.28515625" style="170" customWidth="1"/>
    <col min="12298" max="12307" width="14.7109375" style="170" customWidth="1"/>
    <col min="12308" max="12308" width="8.85546875" style="170"/>
    <col min="12309" max="12309" width="15.7109375" style="170" customWidth="1"/>
    <col min="12310" max="12310" width="14.140625" style="170" customWidth="1"/>
    <col min="12311" max="12311" width="15.7109375" style="170" customWidth="1"/>
    <col min="12312" max="12312" width="11.28515625" style="170" bestFit="1" customWidth="1"/>
    <col min="12313" max="12313" width="13.140625" style="170" customWidth="1"/>
    <col min="12314" max="12314" width="12.140625" style="170" customWidth="1"/>
    <col min="12315" max="12547" width="8.85546875" style="170"/>
    <col min="12548" max="12548" width="2.42578125" style="170" customWidth="1"/>
    <col min="12549" max="12549" width="33.28515625" style="170" customWidth="1"/>
    <col min="12550" max="12550" width="46.7109375" style="170" customWidth="1"/>
    <col min="12551" max="12551" width="13.140625" style="170" customWidth="1"/>
    <col min="12552" max="12552" width="17" style="170" customWidth="1"/>
    <col min="12553" max="12553" width="18.28515625" style="170" customWidth="1"/>
    <col min="12554" max="12563" width="14.7109375" style="170" customWidth="1"/>
    <col min="12564" max="12564" width="8.85546875" style="170"/>
    <col min="12565" max="12565" width="15.7109375" style="170" customWidth="1"/>
    <col min="12566" max="12566" width="14.140625" style="170" customWidth="1"/>
    <col min="12567" max="12567" width="15.7109375" style="170" customWidth="1"/>
    <col min="12568" max="12568" width="11.28515625" style="170" bestFit="1" customWidth="1"/>
    <col min="12569" max="12569" width="13.140625" style="170" customWidth="1"/>
    <col min="12570" max="12570" width="12.140625" style="170" customWidth="1"/>
    <col min="12571" max="12803" width="8.85546875" style="170"/>
    <col min="12804" max="12804" width="2.42578125" style="170" customWidth="1"/>
    <col min="12805" max="12805" width="33.28515625" style="170" customWidth="1"/>
    <col min="12806" max="12806" width="46.7109375" style="170" customWidth="1"/>
    <col min="12807" max="12807" width="13.140625" style="170" customWidth="1"/>
    <col min="12808" max="12808" width="17" style="170" customWidth="1"/>
    <col min="12809" max="12809" width="18.28515625" style="170" customWidth="1"/>
    <col min="12810" max="12819" width="14.7109375" style="170" customWidth="1"/>
    <col min="12820" max="12820" width="8.85546875" style="170"/>
    <col min="12821" max="12821" width="15.7109375" style="170" customWidth="1"/>
    <col min="12822" max="12822" width="14.140625" style="170" customWidth="1"/>
    <col min="12823" max="12823" width="15.7109375" style="170" customWidth="1"/>
    <col min="12824" max="12824" width="11.28515625" style="170" bestFit="1" customWidth="1"/>
    <col min="12825" max="12825" width="13.140625" style="170" customWidth="1"/>
    <col min="12826" max="12826" width="12.140625" style="170" customWidth="1"/>
    <col min="12827" max="13059" width="8.85546875" style="170"/>
    <col min="13060" max="13060" width="2.42578125" style="170" customWidth="1"/>
    <col min="13061" max="13061" width="33.28515625" style="170" customWidth="1"/>
    <col min="13062" max="13062" width="46.7109375" style="170" customWidth="1"/>
    <col min="13063" max="13063" width="13.140625" style="170" customWidth="1"/>
    <col min="13064" max="13064" width="17" style="170" customWidth="1"/>
    <col min="13065" max="13065" width="18.28515625" style="170" customWidth="1"/>
    <col min="13066" max="13075" width="14.7109375" style="170" customWidth="1"/>
    <col min="13076" max="13076" width="8.85546875" style="170"/>
    <col min="13077" max="13077" width="15.7109375" style="170" customWidth="1"/>
    <col min="13078" max="13078" width="14.140625" style="170" customWidth="1"/>
    <col min="13079" max="13079" width="15.7109375" style="170" customWidth="1"/>
    <col min="13080" max="13080" width="11.28515625" style="170" bestFit="1" customWidth="1"/>
    <col min="13081" max="13081" width="13.140625" style="170" customWidth="1"/>
    <col min="13082" max="13082" width="12.140625" style="170" customWidth="1"/>
    <col min="13083" max="13315" width="8.85546875" style="170"/>
    <col min="13316" max="13316" width="2.42578125" style="170" customWidth="1"/>
    <col min="13317" max="13317" width="33.28515625" style="170" customWidth="1"/>
    <col min="13318" max="13318" width="46.7109375" style="170" customWidth="1"/>
    <col min="13319" max="13319" width="13.140625" style="170" customWidth="1"/>
    <col min="13320" max="13320" width="17" style="170" customWidth="1"/>
    <col min="13321" max="13321" width="18.28515625" style="170" customWidth="1"/>
    <col min="13322" max="13331" width="14.7109375" style="170" customWidth="1"/>
    <col min="13332" max="13332" width="8.85546875" style="170"/>
    <col min="13333" max="13333" width="15.7109375" style="170" customWidth="1"/>
    <col min="13334" max="13334" width="14.140625" style="170" customWidth="1"/>
    <col min="13335" max="13335" width="15.7109375" style="170" customWidth="1"/>
    <col min="13336" max="13336" width="11.28515625" style="170" bestFit="1" customWidth="1"/>
    <col min="13337" max="13337" width="13.140625" style="170" customWidth="1"/>
    <col min="13338" max="13338" width="12.140625" style="170" customWidth="1"/>
    <col min="13339" max="13571" width="8.85546875" style="170"/>
    <col min="13572" max="13572" width="2.42578125" style="170" customWidth="1"/>
    <col min="13573" max="13573" width="33.28515625" style="170" customWidth="1"/>
    <col min="13574" max="13574" width="46.7109375" style="170" customWidth="1"/>
    <col min="13575" max="13575" width="13.140625" style="170" customWidth="1"/>
    <col min="13576" max="13576" width="17" style="170" customWidth="1"/>
    <col min="13577" max="13577" width="18.28515625" style="170" customWidth="1"/>
    <col min="13578" max="13587" width="14.7109375" style="170" customWidth="1"/>
    <col min="13588" max="13588" width="8.85546875" style="170"/>
    <col min="13589" max="13589" width="15.7109375" style="170" customWidth="1"/>
    <col min="13590" max="13590" width="14.140625" style="170" customWidth="1"/>
    <col min="13591" max="13591" width="15.7109375" style="170" customWidth="1"/>
    <col min="13592" max="13592" width="11.28515625" style="170" bestFit="1" customWidth="1"/>
    <col min="13593" max="13593" width="13.140625" style="170" customWidth="1"/>
    <col min="13594" max="13594" width="12.140625" style="170" customWidth="1"/>
    <col min="13595" max="13827" width="8.85546875" style="170"/>
    <col min="13828" max="13828" width="2.42578125" style="170" customWidth="1"/>
    <col min="13829" max="13829" width="33.28515625" style="170" customWidth="1"/>
    <col min="13830" max="13830" width="46.7109375" style="170" customWidth="1"/>
    <col min="13831" max="13831" width="13.140625" style="170" customWidth="1"/>
    <col min="13832" max="13832" width="17" style="170" customWidth="1"/>
    <col min="13833" max="13833" width="18.28515625" style="170" customWidth="1"/>
    <col min="13834" max="13843" width="14.7109375" style="170" customWidth="1"/>
    <col min="13844" max="13844" width="8.85546875" style="170"/>
    <col min="13845" max="13845" width="15.7109375" style="170" customWidth="1"/>
    <col min="13846" max="13846" width="14.140625" style="170" customWidth="1"/>
    <col min="13847" max="13847" width="15.7109375" style="170" customWidth="1"/>
    <col min="13848" max="13848" width="11.28515625" style="170" bestFit="1" customWidth="1"/>
    <col min="13849" max="13849" width="13.140625" style="170" customWidth="1"/>
    <col min="13850" max="13850" width="12.140625" style="170" customWidth="1"/>
    <col min="13851" max="14083" width="8.85546875" style="170"/>
    <col min="14084" max="14084" width="2.42578125" style="170" customWidth="1"/>
    <col min="14085" max="14085" width="33.28515625" style="170" customWidth="1"/>
    <col min="14086" max="14086" width="46.7109375" style="170" customWidth="1"/>
    <col min="14087" max="14087" width="13.140625" style="170" customWidth="1"/>
    <col min="14088" max="14088" width="17" style="170" customWidth="1"/>
    <col min="14089" max="14089" width="18.28515625" style="170" customWidth="1"/>
    <col min="14090" max="14099" width="14.7109375" style="170" customWidth="1"/>
    <col min="14100" max="14100" width="8.85546875" style="170"/>
    <col min="14101" max="14101" width="15.7109375" style="170" customWidth="1"/>
    <col min="14102" max="14102" width="14.140625" style="170" customWidth="1"/>
    <col min="14103" max="14103" width="15.7109375" style="170" customWidth="1"/>
    <col min="14104" max="14104" width="11.28515625" style="170" bestFit="1" customWidth="1"/>
    <col min="14105" max="14105" width="13.140625" style="170" customWidth="1"/>
    <col min="14106" max="14106" width="12.140625" style="170" customWidth="1"/>
    <col min="14107" max="14339" width="8.85546875" style="170"/>
    <col min="14340" max="14340" width="2.42578125" style="170" customWidth="1"/>
    <col min="14341" max="14341" width="33.28515625" style="170" customWidth="1"/>
    <col min="14342" max="14342" width="46.7109375" style="170" customWidth="1"/>
    <col min="14343" max="14343" width="13.140625" style="170" customWidth="1"/>
    <col min="14344" max="14344" width="17" style="170" customWidth="1"/>
    <col min="14345" max="14345" width="18.28515625" style="170" customWidth="1"/>
    <col min="14346" max="14355" width="14.7109375" style="170" customWidth="1"/>
    <col min="14356" max="14356" width="8.85546875" style="170"/>
    <col min="14357" max="14357" width="15.7109375" style="170" customWidth="1"/>
    <col min="14358" max="14358" width="14.140625" style="170" customWidth="1"/>
    <col min="14359" max="14359" width="15.7109375" style="170" customWidth="1"/>
    <col min="14360" max="14360" width="11.28515625" style="170" bestFit="1" customWidth="1"/>
    <col min="14361" max="14361" width="13.140625" style="170" customWidth="1"/>
    <col min="14362" max="14362" width="12.140625" style="170" customWidth="1"/>
    <col min="14363" max="14595" width="8.85546875" style="170"/>
    <col min="14596" max="14596" width="2.42578125" style="170" customWidth="1"/>
    <col min="14597" max="14597" width="33.28515625" style="170" customWidth="1"/>
    <col min="14598" max="14598" width="46.7109375" style="170" customWidth="1"/>
    <col min="14599" max="14599" width="13.140625" style="170" customWidth="1"/>
    <col min="14600" max="14600" width="17" style="170" customWidth="1"/>
    <col min="14601" max="14601" width="18.28515625" style="170" customWidth="1"/>
    <col min="14602" max="14611" width="14.7109375" style="170" customWidth="1"/>
    <col min="14612" max="14612" width="8.85546875" style="170"/>
    <col min="14613" max="14613" width="15.7109375" style="170" customWidth="1"/>
    <col min="14614" max="14614" width="14.140625" style="170" customWidth="1"/>
    <col min="14615" max="14615" width="15.7109375" style="170" customWidth="1"/>
    <col min="14616" max="14616" width="11.28515625" style="170" bestFit="1" customWidth="1"/>
    <col min="14617" max="14617" width="13.140625" style="170" customWidth="1"/>
    <col min="14618" max="14618" width="12.140625" style="170" customWidth="1"/>
    <col min="14619" max="14851" width="8.85546875" style="170"/>
    <col min="14852" max="14852" width="2.42578125" style="170" customWidth="1"/>
    <col min="14853" max="14853" width="33.28515625" style="170" customWidth="1"/>
    <col min="14854" max="14854" width="46.7109375" style="170" customWidth="1"/>
    <col min="14855" max="14855" width="13.140625" style="170" customWidth="1"/>
    <col min="14856" max="14856" width="17" style="170" customWidth="1"/>
    <col min="14857" max="14857" width="18.28515625" style="170" customWidth="1"/>
    <col min="14858" max="14867" width="14.7109375" style="170" customWidth="1"/>
    <col min="14868" max="14868" width="8.85546875" style="170"/>
    <col min="14869" max="14869" width="15.7109375" style="170" customWidth="1"/>
    <col min="14870" max="14870" width="14.140625" style="170" customWidth="1"/>
    <col min="14871" max="14871" width="15.7109375" style="170" customWidth="1"/>
    <col min="14872" max="14872" width="11.28515625" style="170" bestFit="1" customWidth="1"/>
    <col min="14873" max="14873" width="13.140625" style="170" customWidth="1"/>
    <col min="14874" max="14874" width="12.140625" style="170" customWidth="1"/>
    <col min="14875" max="15107" width="8.85546875" style="170"/>
    <col min="15108" max="15108" width="2.42578125" style="170" customWidth="1"/>
    <col min="15109" max="15109" width="33.28515625" style="170" customWidth="1"/>
    <col min="15110" max="15110" width="46.7109375" style="170" customWidth="1"/>
    <col min="15111" max="15111" width="13.140625" style="170" customWidth="1"/>
    <col min="15112" max="15112" width="17" style="170" customWidth="1"/>
    <col min="15113" max="15113" width="18.28515625" style="170" customWidth="1"/>
    <col min="15114" max="15123" width="14.7109375" style="170" customWidth="1"/>
    <col min="15124" max="15124" width="8.85546875" style="170"/>
    <col min="15125" max="15125" width="15.7109375" style="170" customWidth="1"/>
    <col min="15126" max="15126" width="14.140625" style="170" customWidth="1"/>
    <col min="15127" max="15127" width="15.7109375" style="170" customWidth="1"/>
    <col min="15128" max="15128" width="11.28515625" style="170" bestFit="1" customWidth="1"/>
    <col min="15129" max="15129" width="13.140625" style="170" customWidth="1"/>
    <col min="15130" max="15130" width="12.140625" style="170" customWidth="1"/>
    <col min="15131" max="15363" width="8.85546875" style="170"/>
    <col min="15364" max="15364" width="2.42578125" style="170" customWidth="1"/>
    <col min="15365" max="15365" width="33.28515625" style="170" customWidth="1"/>
    <col min="15366" max="15366" width="46.7109375" style="170" customWidth="1"/>
    <col min="15367" max="15367" width="13.140625" style="170" customWidth="1"/>
    <col min="15368" max="15368" width="17" style="170" customWidth="1"/>
    <col min="15369" max="15369" width="18.28515625" style="170" customWidth="1"/>
    <col min="15370" max="15379" width="14.7109375" style="170" customWidth="1"/>
    <col min="15380" max="15380" width="8.85546875" style="170"/>
    <col min="15381" max="15381" width="15.7109375" style="170" customWidth="1"/>
    <col min="15382" max="15382" width="14.140625" style="170" customWidth="1"/>
    <col min="15383" max="15383" width="15.7109375" style="170" customWidth="1"/>
    <col min="15384" max="15384" width="11.28515625" style="170" bestFit="1" customWidth="1"/>
    <col min="15385" max="15385" width="13.140625" style="170" customWidth="1"/>
    <col min="15386" max="15386" width="12.140625" style="170" customWidth="1"/>
    <col min="15387" max="15619" width="8.85546875" style="170"/>
    <col min="15620" max="15620" width="2.42578125" style="170" customWidth="1"/>
    <col min="15621" max="15621" width="33.28515625" style="170" customWidth="1"/>
    <col min="15622" max="15622" width="46.7109375" style="170" customWidth="1"/>
    <col min="15623" max="15623" width="13.140625" style="170" customWidth="1"/>
    <col min="15624" max="15624" width="17" style="170" customWidth="1"/>
    <col min="15625" max="15625" width="18.28515625" style="170" customWidth="1"/>
    <col min="15626" max="15635" width="14.7109375" style="170" customWidth="1"/>
    <col min="15636" max="15636" width="8.85546875" style="170"/>
    <col min="15637" max="15637" width="15.7109375" style="170" customWidth="1"/>
    <col min="15638" max="15638" width="14.140625" style="170" customWidth="1"/>
    <col min="15639" max="15639" width="15.7109375" style="170" customWidth="1"/>
    <col min="15640" max="15640" width="11.28515625" style="170" bestFit="1" customWidth="1"/>
    <col min="15641" max="15641" width="13.140625" style="170" customWidth="1"/>
    <col min="15642" max="15642" width="12.140625" style="170" customWidth="1"/>
    <col min="15643" max="15875" width="8.85546875" style="170"/>
    <col min="15876" max="15876" width="2.42578125" style="170" customWidth="1"/>
    <col min="15877" max="15877" width="33.28515625" style="170" customWidth="1"/>
    <col min="15878" max="15878" width="46.7109375" style="170" customWidth="1"/>
    <col min="15879" max="15879" width="13.140625" style="170" customWidth="1"/>
    <col min="15880" max="15880" width="17" style="170" customWidth="1"/>
    <col min="15881" max="15881" width="18.28515625" style="170" customWidth="1"/>
    <col min="15882" max="15891" width="14.7109375" style="170" customWidth="1"/>
    <col min="15892" max="15892" width="8.85546875" style="170"/>
    <col min="15893" max="15893" width="15.7109375" style="170" customWidth="1"/>
    <col min="15894" max="15894" width="14.140625" style="170" customWidth="1"/>
    <col min="15895" max="15895" width="15.7109375" style="170" customWidth="1"/>
    <col min="15896" max="15896" width="11.28515625" style="170" bestFit="1" customWidth="1"/>
    <col min="15897" max="15897" width="13.140625" style="170" customWidth="1"/>
    <col min="15898" max="15898" width="12.140625" style="170" customWidth="1"/>
    <col min="15899" max="16131" width="8.85546875" style="170"/>
    <col min="16132" max="16132" width="2.42578125" style="170" customWidth="1"/>
    <col min="16133" max="16133" width="33.28515625" style="170" customWidth="1"/>
    <col min="16134" max="16134" width="46.7109375" style="170" customWidth="1"/>
    <col min="16135" max="16135" width="13.140625" style="170" customWidth="1"/>
    <col min="16136" max="16136" width="17" style="170" customWidth="1"/>
    <col min="16137" max="16137" width="18.28515625" style="170" customWidth="1"/>
    <col min="16138" max="16147" width="14.7109375" style="170" customWidth="1"/>
    <col min="16148" max="16148" width="8.85546875" style="170"/>
    <col min="16149" max="16149" width="15.7109375" style="170" customWidth="1"/>
    <col min="16150" max="16150" width="14.140625" style="170" customWidth="1"/>
    <col min="16151" max="16151" width="15.7109375" style="170" customWidth="1"/>
    <col min="16152" max="16152" width="11.28515625" style="170" bestFit="1" customWidth="1"/>
    <col min="16153" max="16153" width="13.140625" style="170" customWidth="1"/>
    <col min="16154" max="16154" width="12.140625" style="170" customWidth="1"/>
    <col min="16155" max="16384" width="8.85546875" style="170"/>
  </cols>
  <sheetData>
    <row r="1" spans="2:26" ht="16.149999999999999" hidden="1" customHeight="1"/>
    <row r="2" spans="2:26" ht="16.149999999999999" hidden="1" customHeight="1">
      <c r="B2" s="174"/>
      <c r="C2" s="174"/>
      <c r="D2" s="386"/>
      <c r="E2" s="174"/>
      <c r="F2" s="174"/>
      <c r="G2" s="174"/>
      <c r="H2" s="174"/>
      <c r="I2" s="174"/>
      <c r="J2" s="175"/>
      <c r="K2" s="1174" t="s">
        <v>373</v>
      </c>
      <c r="L2" s="1174"/>
      <c r="M2" s="1174"/>
      <c r="N2" s="1174"/>
      <c r="O2" s="1174"/>
      <c r="P2" s="1174"/>
      <c r="Q2" s="386"/>
      <c r="R2" s="386"/>
      <c r="S2" s="386"/>
    </row>
    <row r="3" spans="2:26" ht="16.149999999999999" hidden="1" customHeight="1">
      <c r="B3" s="386"/>
      <c r="C3" s="174"/>
      <c r="D3" s="386"/>
      <c r="E3" s="174"/>
      <c r="F3" s="174"/>
      <c r="G3" s="174"/>
      <c r="H3" s="174"/>
      <c r="I3" s="174"/>
      <c r="J3" s="175"/>
      <c r="K3" s="1175" t="s">
        <v>374</v>
      </c>
      <c r="L3" s="1175"/>
      <c r="M3" s="1175"/>
      <c r="N3" s="1175"/>
      <c r="O3" s="1175"/>
      <c r="P3" s="1175"/>
      <c r="Q3" s="387"/>
      <c r="R3" s="387"/>
      <c r="S3" s="387"/>
      <c r="T3" s="176"/>
      <c r="U3" s="386"/>
    </row>
    <row r="4" spans="2:26" ht="16.149999999999999" hidden="1" customHeight="1">
      <c r="B4" s="174"/>
      <c r="C4" s="174"/>
      <c r="D4" s="386"/>
      <c r="E4" s="174"/>
      <c r="F4" s="174"/>
      <c r="G4" s="174"/>
      <c r="H4" s="174"/>
      <c r="I4" s="174"/>
      <c r="J4" s="175"/>
      <c r="K4" s="175"/>
      <c r="L4" s="176"/>
      <c r="M4" s="176"/>
      <c r="N4" s="859"/>
      <c r="O4" s="859"/>
      <c r="P4" s="859"/>
      <c r="Q4" s="176"/>
      <c r="R4" s="176"/>
      <c r="S4" s="176"/>
      <c r="T4" s="176"/>
      <c r="U4" s="386"/>
    </row>
    <row r="5" spans="2:26" ht="16.149999999999999" hidden="1" customHeight="1">
      <c r="B5" s="177"/>
      <c r="C5" s="174"/>
      <c r="D5" s="386"/>
      <c r="E5" s="174"/>
      <c r="F5" s="174"/>
      <c r="G5" s="174"/>
      <c r="H5" s="174"/>
      <c r="I5" s="174"/>
      <c r="J5" s="175"/>
      <c r="K5" s="175"/>
      <c r="L5" s="174"/>
      <c r="M5" s="174"/>
      <c r="N5" s="860"/>
      <c r="O5" s="860"/>
      <c r="P5" s="860"/>
      <c r="Q5" s="174"/>
      <c r="R5" s="174"/>
      <c r="S5" s="174"/>
    </row>
    <row r="6" spans="2:26" ht="16.149999999999999" hidden="1" customHeight="1">
      <c r="B6" s="1173" t="s">
        <v>375</v>
      </c>
      <c r="C6" s="1173"/>
      <c r="D6" s="1173"/>
      <c r="E6" s="1173"/>
      <c r="F6" s="1173"/>
      <c r="G6" s="1173"/>
      <c r="H6" s="1173"/>
      <c r="I6" s="1173"/>
      <c r="J6" s="1173"/>
      <c r="K6" s="1173"/>
      <c r="L6" s="1173"/>
      <c r="M6" s="1173"/>
      <c r="N6" s="1173"/>
      <c r="O6" s="1173"/>
      <c r="P6" s="1173"/>
      <c r="Q6" s="385"/>
      <c r="R6" s="385"/>
      <c r="S6" s="385"/>
    </row>
    <row r="7" spans="2:26" ht="16.149999999999999" hidden="1" customHeight="1">
      <c r="B7" s="1173" t="s">
        <v>376</v>
      </c>
      <c r="C7" s="1173"/>
      <c r="D7" s="1173"/>
      <c r="E7" s="1173"/>
      <c r="F7" s="1173"/>
      <c r="G7" s="1173"/>
      <c r="H7" s="1173"/>
      <c r="I7" s="1173"/>
      <c r="J7" s="1173"/>
      <c r="K7" s="1173"/>
      <c r="L7" s="1173"/>
      <c r="M7" s="1173"/>
      <c r="N7" s="1173"/>
      <c r="O7" s="1173"/>
      <c r="P7" s="1173"/>
      <c r="Q7" s="385"/>
      <c r="R7" s="385"/>
      <c r="S7" s="385"/>
    </row>
    <row r="8" spans="2:26" ht="16.149999999999999" hidden="1" customHeight="1">
      <c r="B8" s="1173" t="s">
        <v>377</v>
      </c>
      <c r="C8" s="1173"/>
      <c r="D8" s="1173"/>
      <c r="E8" s="1173"/>
      <c r="F8" s="1173"/>
      <c r="G8" s="1173"/>
      <c r="H8" s="1173"/>
      <c r="I8" s="1173"/>
      <c r="J8" s="1173"/>
      <c r="K8" s="1173"/>
      <c r="L8" s="1173"/>
      <c r="M8" s="1173"/>
      <c r="N8" s="1173"/>
      <c r="O8" s="1173"/>
      <c r="P8" s="1173"/>
      <c r="Q8" s="385"/>
      <c r="R8" s="385"/>
      <c r="S8" s="385"/>
    </row>
    <row r="9" spans="2:26" ht="16.149999999999999" hidden="1" customHeight="1">
      <c r="B9" s="1173" t="s">
        <v>378</v>
      </c>
      <c r="C9" s="1173"/>
      <c r="D9" s="1173"/>
      <c r="E9" s="1173"/>
      <c r="F9" s="1173"/>
      <c r="G9" s="1173"/>
      <c r="H9" s="1173"/>
      <c r="I9" s="1173"/>
      <c r="J9" s="1173"/>
      <c r="K9" s="1173"/>
      <c r="L9" s="1173"/>
      <c r="M9" s="1173"/>
      <c r="N9" s="1173"/>
      <c r="O9" s="1173"/>
      <c r="P9" s="1173"/>
      <c r="Q9" s="385"/>
      <c r="R9" s="385"/>
      <c r="S9" s="385"/>
    </row>
    <row r="10" spans="2:26" ht="16.149999999999999" hidden="1" customHeight="1">
      <c r="B10" s="178"/>
      <c r="C10" s="174"/>
      <c r="D10" s="386"/>
      <c r="E10" s="174"/>
      <c r="F10" s="174"/>
      <c r="G10" s="174"/>
      <c r="H10" s="174"/>
      <c r="I10" s="174"/>
      <c r="J10" s="175"/>
      <c r="K10" s="175"/>
      <c r="L10" s="174"/>
      <c r="M10" s="174"/>
      <c r="N10" s="860"/>
      <c r="O10" s="860"/>
      <c r="P10" s="860"/>
      <c r="Q10" s="174"/>
      <c r="R10" s="174"/>
      <c r="S10" s="174"/>
    </row>
    <row r="11" spans="2:26" ht="37.9" customHeight="1">
      <c r="B11" s="1166" t="s">
        <v>370</v>
      </c>
      <c r="C11" s="1168" t="s">
        <v>379</v>
      </c>
      <c r="D11" s="1168" t="s">
        <v>380</v>
      </c>
      <c r="E11" s="1168" t="s">
        <v>381</v>
      </c>
      <c r="F11" s="1168" t="s">
        <v>717</v>
      </c>
      <c r="G11" s="1162" t="s">
        <v>30</v>
      </c>
      <c r="H11" s="1163"/>
      <c r="I11" s="1163"/>
      <c r="J11" s="1163"/>
      <c r="K11" s="1163"/>
      <c r="L11" s="1163"/>
      <c r="M11" s="1163"/>
      <c r="N11" s="1163"/>
      <c r="O11" s="1163"/>
      <c r="P11" s="1163"/>
      <c r="Q11" s="1163"/>
      <c r="R11" s="1163"/>
      <c r="S11" s="1164"/>
    </row>
    <row r="12" spans="2:26" ht="25.15" customHeight="1">
      <c r="B12" s="1167"/>
      <c r="C12" s="1168"/>
      <c r="D12" s="1168"/>
      <c r="E12" s="1168"/>
      <c r="F12" s="1168"/>
      <c r="G12" s="382" t="s">
        <v>382</v>
      </c>
      <c r="H12" s="380" t="s">
        <v>383</v>
      </c>
      <c r="I12" s="380" t="s">
        <v>384</v>
      </c>
      <c r="J12" s="380" t="s">
        <v>385</v>
      </c>
      <c r="K12" s="380" t="s">
        <v>386</v>
      </c>
      <c r="L12" s="380" t="s">
        <v>387</v>
      </c>
      <c r="M12" s="721" t="s">
        <v>388</v>
      </c>
      <c r="N12" s="861" t="s">
        <v>389</v>
      </c>
      <c r="O12" s="862" t="s">
        <v>390</v>
      </c>
      <c r="P12" s="862" t="s">
        <v>391</v>
      </c>
      <c r="Q12" s="382" t="s">
        <v>716</v>
      </c>
      <c r="R12" s="382" t="s">
        <v>715</v>
      </c>
      <c r="S12" s="382" t="s">
        <v>714</v>
      </c>
    </row>
    <row r="13" spans="2:26" ht="49.15" hidden="1" customHeight="1">
      <c r="B13" s="1169" t="s">
        <v>392</v>
      </c>
      <c r="C13" s="1170"/>
      <c r="D13" s="1170"/>
      <c r="E13" s="1170"/>
      <c r="F13" s="1170"/>
      <c r="G13" s="1170"/>
      <c r="H13" s="1170"/>
      <c r="I13" s="1170"/>
      <c r="J13" s="1170"/>
      <c r="K13" s="1170"/>
      <c r="L13" s="1170"/>
      <c r="M13" s="1170"/>
      <c r="N13" s="1170"/>
      <c r="O13" s="1170"/>
      <c r="P13" s="1171"/>
      <c r="Q13" s="184"/>
      <c r="R13" s="184"/>
      <c r="S13" s="184"/>
      <c r="T13" s="179">
        <f>J16+K19</f>
        <v>12778.3</v>
      </c>
      <c r="U13" s="180"/>
      <c r="V13" s="181"/>
      <c r="W13" s="300">
        <f>U17+U45</f>
        <v>444.48099999999999</v>
      </c>
      <c r="X13" s="301">
        <f>U16+U44</f>
        <v>-41.580999999998312</v>
      </c>
      <c r="Y13" s="182">
        <f>U19+U46</f>
        <v>13.8</v>
      </c>
      <c r="Z13" s="183">
        <f>U20+U50</f>
        <v>508.3</v>
      </c>
    </row>
    <row r="14" spans="2:26" ht="75" customHeight="1">
      <c r="B14" s="1204" t="s">
        <v>393</v>
      </c>
      <c r="C14" s="184" t="s">
        <v>364</v>
      </c>
      <c r="D14" s="382" t="s">
        <v>356</v>
      </c>
      <c r="E14" s="185">
        <f>G68</f>
        <v>78.952946163628653</v>
      </c>
      <c r="F14" s="185">
        <f>S14</f>
        <v>84.489010358262377</v>
      </c>
      <c r="G14" s="186">
        <f>G69</f>
        <v>79.193605266251325</v>
      </c>
      <c r="H14" s="187">
        <f>G70</f>
        <v>80.246990825831588</v>
      </c>
      <c r="I14" s="187">
        <v>80.569999999999993</v>
      </c>
      <c r="J14" s="188">
        <v>80.94</v>
      </c>
      <c r="K14" s="188">
        <v>81.25</v>
      </c>
      <c r="L14" s="188">
        <f>G74</f>
        <v>81.28151040568379</v>
      </c>
      <c r="M14" s="188">
        <f>G75</f>
        <v>81.294321345361823</v>
      </c>
      <c r="N14" s="863">
        <f>G76</f>
        <v>84.274411314425066</v>
      </c>
      <c r="O14" s="864">
        <f>G77</f>
        <v>84.37573752790972</v>
      </c>
      <c r="P14" s="865">
        <f>G78</f>
        <v>84.478658184448136</v>
      </c>
      <c r="Q14" s="185">
        <f>G79</f>
        <v>84.478658184448136</v>
      </c>
      <c r="R14" s="185">
        <f>G80</f>
        <v>84.489010358262377</v>
      </c>
      <c r="S14" s="185">
        <f>G81</f>
        <v>84.489010358262377</v>
      </c>
      <c r="U14" s="189">
        <f>P14-H14</f>
        <v>4.2316673586165479</v>
      </c>
      <c r="V14" s="413">
        <f>S14-H14</f>
        <v>4.2420195324307883</v>
      </c>
      <c r="W14" s="400" t="s">
        <v>713</v>
      </c>
      <c r="X14" s="181"/>
      <c r="Y14" s="181"/>
      <c r="Z14" s="181"/>
    </row>
    <row r="15" spans="2:26" ht="78" customHeight="1">
      <c r="B15" s="1205"/>
      <c r="C15" s="190" t="s">
        <v>363</v>
      </c>
      <c r="D15" s="380" t="s">
        <v>394</v>
      </c>
      <c r="E15" s="188">
        <f>H68</f>
        <v>56.439393939393945</v>
      </c>
      <c r="F15" s="185">
        <f>S15</f>
        <v>60.423956228956236</v>
      </c>
      <c r="G15" s="191">
        <f>H69</f>
        <v>56.708754208754208</v>
      </c>
      <c r="H15" s="192">
        <f>H70</f>
        <v>57.57744107744108</v>
      </c>
      <c r="I15" s="192">
        <v>57.88</v>
      </c>
      <c r="J15" s="185">
        <v>58.03</v>
      </c>
      <c r="K15" s="185">
        <v>58.11</v>
      </c>
      <c r="L15" s="185">
        <f>H74</f>
        <v>58.077951739618406</v>
      </c>
      <c r="M15" s="185">
        <f>H75</f>
        <v>58.073428731762078</v>
      </c>
      <c r="N15" s="865">
        <f>H76</f>
        <v>60.211863075196412</v>
      </c>
      <c r="O15" s="866">
        <f>H77</f>
        <v>60.287312008978674</v>
      </c>
      <c r="P15" s="863">
        <f>H78</f>
        <v>60.376257014590351</v>
      </c>
      <c r="Q15" s="188">
        <f>H79</f>
        <v>60.376257014590351</v>
      </c>
      <c r="R15" s="188">
        <f>H80</f>
        <v>60.423956228956236</v>
      </c>
      <c r="S15" s="188">
        <f>H81</f>
        <v>60.423956228956236</v>
      </c>
      <c r="U15" s="193">
        <f>P15-H15</f>
        <v>2.7988159371492713</v>
      </c>
      <c r="V15" s="412">
        <f>S15-H15</f>
        <v>2.8465151515151561</v>
      </c>
      <c r="W15" s="400" t="s">
        <v>712</v>
      </c>
      <c r="X15" s="181"/>
      <c r="Y15" s="181"/>
      <c r="Z15" s="181"/>
    </row>
    <row r="16" spans="2:26" ht="96.6" customHeight="1">
      <c r="B16" s="1205"/>
      <c r="C16" s="194" t="s">
        <v>361</v>
      </c>
      <c r="D16" s="195" t="s">
        <v>355</v>
      </c>
      <c r="E16" s="196">
        <v>12738.59</v>
      </c>
      <c r="F16" s="218">
        <f>S16</f>
        <v>12744.319000000001</v>
      </c>
      <c r="G16" s="196">
        <v>12760.5</v>
      </c>
      <c r="H16" s="196">
        <v>12785.9</v>
      </c>
      <c r="I16" s="196">
        <v>12801.5</v>
      </c>
      <c r="J16" s="196">
        <v>12777.4</v>
      </c>
      <c r="K16" s="196">
        <v>12741.8</v>
      </c>
      <c r="L16" s="196">
        <v>12732.897000000001</v>
      </c>
      <c r="M16" s="196">
        <f>12731.199+M19-1.3</f>
        <v>12729.899000000001</v>
      </c>
      <c r="N16" s="867">
        <f>12730.424+N19</f>
        <v>12731.924000000001</v>
      </c>
      <c r="O16" s="867">
        <f t="shared" ref="O16:S16" si="0">N16+O19</f>
        <v>12732.569000000001</v>
      </c>
      <c r="P16" s="867">
        <f t="shared" si="0"/>
        <v>12735.819000000001</v>
      </c>
      <c r="Q16" s="196">
        <f t="shared" si="0"/>
        <v>12735.819000000001</v>
      </c>
      <c r="R16" s="196">
        <f t="shared" si="0"/>
        <v>12744.319000000001</v>
      </c>
      <c r="S16" s="196">
        <f t="shared" si="0"/>
        <v>12744.319000000001</v>
      </c>
      <c r="T16" s="411">
        <f>S16-H16</f>
        <v>-41.580999999998312</v>
      </c>
      <c r="U16" s="220">
        <f>S16-H16</f>
        <v>-41.580999999998312</v>
      </c>
      <c r="V16" s="205">
        <f>U16+V44</f>
        <v>2045.9290000000037</v>
      </c>
      <c r="W16" s="402" t="s">
        <v>711</v>
      </c>
      <c r="X16" s="202" t="s">
        <v>710</v>
      </c>
      <c r="Y16" s="181"/>
      <c r="Z16" s="181"/>
    </row>
    <row r="17" spans="2:29" ht="102.75" customHeight="1">
      <c r="B17" s="1205"/>
      <c r="C17" s="197" t="s">
        <v>360</v>
      </c>
      <c r="D17" s="198" t="s">
        <v>355</v>
      </c>
      <c r="E17" s="199">
        <v>268.5</v>
      </c>
      <c r="F17" s="199">
        <f>SUM(G17:S17)</f>
        <v>687.28100000000006</v>
      </c>
      <c r="G17" s="200">
        <v>48</v>
      </c>
      <c r="H17" s="200">
        <v>38.299999999999997</v>
      </c>
      <c r="I17" s="199">
        <v>38.299999999999997</v>
      </c>
      <c r="J17" s="199">
        <v>42.5</v>
      </c>
      <c r="K17" s="199">
        <v>39.1</v>
      </c>
      <c r="L17" s="199">
        <v>18.100000000000001</v>
      </c>
      <c r="M17" s="199">
        <f>37.7-2.1</f>
        <v>35.6</v>
      </c>
      <c r="N17" s="868">
        <f>17.9+16.586</f>
        <v>34.485999999999997</v>
      </c>
      <c r="O17" s="869">
        <f>15.3+16+0.645</f>
        <v>31.945</v>
      </c>
      <c r="P17" s="869">
        <f>17+15.1+2.25</f>
        <v>34.35</v>
      </c>
      <c r="Q17" s="215">
        <f>Q19+Q20+250.9</f>
        <v>273.5</v>
      </c>
      <c r="R17" s="215">
        <f>R19+R20</f>
        <v>33.1</v>
      </c>
      <c r="S17" s="215">
        <f>S19+S20</f>
        <v>20</v>
      </c>
      <c r="T17" s="201">
        <f>SUM(J17:P17)</f>
        <v>236.08099999999996</v>
      </c>
      <c r="U17" s="214">
        <f>SUM(G17:P17)</f>
        <v>360.68099999999998</v>
      </c>
      <c r="V17" s="410">
        <f>F17</f>
        <v>687.28100000000006</v>
      </c>
      <c r="W17" s="205">
        <f>U17+V46+V47</f>
        <v>466.98099999999999</v>
      </c>
      <c r="X17" s="181"/>
      <c r="Y17" s="181"/>
      <c r="Z17" s="181"/>
    </row>
    <row r="18" spans="2:29" ht="102.75" customHeight="1">
      <c r="B18" s="1205"/>
      <c r="C18" s="197" t="s">
        <v>709</v>
      </c>
      <c r="D18" s="198" t="s">
        <v>475</v>
      </c>
      <c r="E18" s="199"/>
      <c r="F18" s="199">
        <f>L18+M18+N18+O18+P18</f>
        <v>5</v>
      </c>
      <c r="G18" s="200"/>
      <c r="H18" s="200"/>
      <c r="I18" s="199"/>
      <c r="J18" s="199"/>
      <c r="K18" s="199"/>
      <c r="L18" s="199"/>
      <c r="M18" s="199">
        <v>0</v>
      </c>
      <c r="N18" s="869">
        <v>5</v>
      </c>
      <c r="O18" s="869">
        <v>0</v>
      </c>
      <c r="P18" s="869">
        <v>0</v>
      </c>
      <c r="Q18" s="199">
        <v>0</v>
      </c>
      <c r="R18" s="199">
        <v>0</v>
      </c>
      <c r="S18" s="199">
        <v>0</v>
      </c>
      <c r="T18" s="201"/>
      <c r="U18" s="214">
        <f>F19+F20+F45</f>
        <v>516.995</v>
      </c>
      <c r="V18" s="409" t="s">
        <v>708</v>
      </c>
      <c r="W18" s="205">
        <f>SUM(I19:S19)</f>
        <v>37.694999999999993</v>
      </c>
      <c r="X18" s="408">
        <f>W18+W46</f>
        <v>62.295000000000002</v>
      </c>
      <c r="Y18" s="181" t="s">
        <v>707</v>
      </c>
      <c r="Z18" s="181"/>
    </row>
    <row r="19" spans="2:29" ht="115.9" customHeight="1">
      <c r="B19" s="1205"/>
      <c r="C19" s="197" t="s">
        <v>706</v>
      </c>
      <c r="D19" s="195" t="s">
        <v>355</v>
      </c>
      <c r="E19" s="203">
        <v>64.599999999999994</v>
      </c>
      <c r="F19" s="203">
        <f>SUM(G19:S19)</f>
        <v>87.795000000000002</v>
      </c>
      <c r="G19" s="203">
        <v>30</v>
      </c>
      <c r="H19" s="203">
        <v>20.100000000000001</v>
      </c>
      <c r="I19" s="203">
        <v>15.6</v>
      </c>
      <c r="J19" s="203">
        <v>7.3</v>
      </c>
      <c r="K19" s="203">
        <v>0.9</v>
      </c>
      <c r="L19" s="203">
        <f>'[2]Подробный перечень'!$AF$13</f>
        <v>0</v>
      </c>
      <c r="M19" s="203">
        <v>0</v>
      </c>
      <c r="N19" s="870">
        <v>1.5</v>
      </c>
      <c r="O19" s="870">
        <v>0.64500000000000002</v>
      </c>
      <c r="P19" s="870">
        <f>1+2.25</f>
        <v>3.25</v>
      </c>
      <c r="Q19" s="203">
        <v>0</v>
      </c>
      <c r="R19" s="203">
        <v>8.5</v>
      </c>
      <c r="S19" s="203">
        <v>0</v>
      </c>
      <c r="U19" s="204"/>
      <c r="V19" s="407">
        <f>SUM(I19:S19)</f>
        <v>37.694999999999993</v>
      </c>
      <c r="W19" s="405" t="s">
        <v>705</v>
      </c>
      <c r="X19" s="406">
        <f>V19+W46</f>
        <v>62.295000000000002</v>
      </c>
      <c r="Y19" s="205">
        <f>I16*I39</f>
        <v>4710.9520000000002</v>
      </c>
      <c r="Z19" s="181"/>
      <c r="AC19" s="179">
        <f>U17+U45</f>
        <v>444.48099999999999</v>
      </c>
    </row>
    <row r="20" spans="2:29" ht="213.75" customHeight="1">
      <c r="B20" s="1205"/>
      <c r="C20" s="197" t="s">
        <v>704</v>
      </c>
      <c r="D20" s="195" t="s">
        <v>355</v>
      </c>
      <c r="E20" s="203">
        <v>203.9</v>
      </c>
      <c r="F20" s="203">
        <f>SUM(G20:S20)</f>
        <v>298.79999999999995</v>
      </c>
      <c r="G20" s="203">
        <v>18</v>
      </c>
      <c r="H20" s="203">
        <v>18.199999999999996</v>
      </c>
      <c r="I20" s="203">
        <v>10.9</v>
      </c>
      <c r="J20" s="203">
        <v>21.3</v>
      </c>
      <c r="K20" s="203">
        <v>37.5</v>
      </c>
      <c r="L20" s="203">
        <v>17.43</v>
      </c>
      <c r="M20" s="203">
        <f>13.7+12.67</f>
        <v>26.369999999999997</v>
      </c>
      <c r="N20" s="870">
        <f>12.5+11.2</f>
        <v>23.7</v>
      </c>
      <c r="O20" s="870">
        <f>12.8+14.3</f>
        <v>27.1</v>
      </c>
      <c r="P20" s="870">
        <f>15.1+16</f>
        <v>31.1</v>
      </c>
      <c r="Q20" s="203">
        <v>22.6</v>
      </c>
      <c r="R20" s="203">
        <v>24.6</v>
      </c>
      <c r="S20" s="203">
        <v>20</v>
      </c>
      <c r="U20" s="207">
        <f>SUM(I20:P20)</f>
        <v>195.39999999999998</v>
      </c>
      <c r="V20" s="404">
        <f>SUM(I20:S20)</f>
        <v>262.59999999999997</v>
      </c>
      <c r="W20" s="405" t="s">
        <v>703</v>
      </c>
      <c r="X20" s="202">
        <f>V19+V20</f>
        <v>300.29499999999996</v>
      </c>
      <c r="Y20" s="181"/>
      <c r="Z20" s="181"/>
    </row>
    <row r="21" spans="2:29" ht="213.75" customHeight="1">
      <c r="B21" s="1205"/>
      <c r="C21" s="197" t="s">
        <v>702</v>
      </c>
      <c r="D21" s="198" t="s">
        <v>355</v>
      </c>
      <c r="E21" s="199"/>
      <c r="F21" s="199"/>
      <c r="G21" s="199"/>
      <c r="H21" s="312">
        <v>18.123999999999999</v>
      </c>
      <c r="I21" s="312">
        <v>9.57</v>
      </c>
      <c r="J21" s="312">
        <v>5.5679999999999996</v>
      </c>
      <c r="K21" s="312">
        <v>27.959</v>
      </c>
      <c r="L21" s="312">
        <v>9.5939999999999994</v>
      </c>
      <c r="M21" s="312">
        <v>12.67</v>
      </c>
      <c r="N21" s="871">
        <v>12.486000000000001</v>
      </c>
      <c r="O21" s="871">
        <v>12.8</v>
      </c>
      <c r="P21" s="871">
        <v>12.6</v>
      </c>
      <c r="Q21" s="312">
        <v>0</v>
      </c>
      <c r="R21" s="312">
        <v>0</v>
      </c>
      <c r="S21" s="312">
        <v>0</v>
      </c>
      <c r="T21" s="179"/>
      <c r="U21" s="393">
        <f>SUM(I20:S20)</f>
        <v>262.59999999999997</v>
      </c>
      <c r="V21" s="404">
        <f>V20+V47</f>
        <v>339.59999999999997</v>
      </c>
      <c r="W21" s="395" t="s">
        <v>701</v>
      </c>
      <c r="X21" s="202">
        <f>SUM(G19:S19)</f>
        <v>87.795000000000002</v>
      </c>
      <c r="Y21" s="205">
        <f>SUM(G20:S20)</f>
        <v>298.79999999999995</v>
      </c>
      <c r="Z21" s="181"/>
    </row>
    <row r="22" spans="2:29" ht="177.75" customHeight="1">
      <c r="B22" s="1205"/>
      <c r="C22" s="197" t="s">
        <v>700</v>
      </c>
      <c r="D22" s="198" t="s">
        <v>356</v>
      </c>
      <c r="E22" s="199" t="s">
        <v>279</v>
      </c>
      <c r="F22" s="200">
        <f>Q22</f>
        <v>100</v>
      </c>
      <c r="G22" s="200"/>
      <c r="H22" s="200"/>
      <c r="I22" s="200"/>
      <c r="J22" s="200"/>
      <c r="K22" s="200"/>
      <c r="L22" s="200">
        <v>1</v>
      </c>
      <c r="M22" s="200">
        <v>8.59</v>
      </c>
      <c r="N22" s="872">
        <v>13.99</v>
      </c>
      <c r="O22" s="872">
        <v>44.16</v>
      </c>
      <c r="P22" s="873">
        <v>71.61</v>
      </c>
      <c r="Q22" s="403">
        <v>100</v>
      </c>
      <c r="R22" s="403" t="s">
        <v>279</v>
      </c>
      <c r="S22" s="403" t="s">
        <v>279</v>
      </c>
      <c r="U22" s="207"/>
      <c r="V22" s="205"/>
      <c r="W22" s="206" t="s">
        <v>699</v>
      </c>
      <c r="X22" s="402">
        <f>X21+Y21</f>
        <v>386.59499999999997</v>
      </c>
      <c r="Y22" s="181"/>
      <c r="Z22" s="181"/>
    </row>
    <row r="23" spans="2:29" ht="270" customHeight="1">
      <c r="B23" s="1205"/>
      <c r="C23" s="197" t="s">
        <v>698</v>
      </c>
      <c r="D23" s="198" t="s">
        <v>356</v>
      </c>
      <c r="E23" s="199"/>
      <c r="F23" s="200">
        <v>69.05</v>
      </c>
      <c r="G23" s="200"/>
      <c r="H23" s="200"/>
      <c r="I23" s="200"/>
      <c r="J23" s="200"/>
      <c r="K23" s="200"/>
      <c r="L23" s="200">
        <v>48.31</v>
      </c>
      <c r="M23" s="200">
        <v>66.62</v>
      </c>
      <c r="N23" s="872">
        <v>33.270000000000003</v>
      </c>
      <c r="O23" s="872">
        <v>73.56</v>
      </c>
      <c r="P23" s="874">
        <v>86.22</v>
      </c>
      <c r="Q23" s="217">
        <v>55.37</v>
      </c>
      <c r="R23" s="217"/>
      <c r="S23" s="217"/>
      <c r="U23" s="207"/>
      <c r="V23" s="205"/>
      <c r="W23" s="206"/>
      <c r="X23" s="202"/>
      <c r="Y23" s="181"/>
      <c r="Z23" s="181"/>
    </row>
    <row r="24" spans="2:29" ht="125.25" customHeight="1">
      <c r="B24" s="1205"/>
      <c r="C24" s="197" t="s">
        <v>697</v>
      </c>
      <c r="D24" s="198" t="s">
        <v>475</v>
      </c>
      <c r="E24" s="199"/>
      <c r="F24" s="200">
        <f>L24+M24+N24+O24+P24</f>
        <v>215</v>
      </c>
      <c r="G24" s="200"/>
      <c r="H24" s="200"/>
      <c r="I24" s="200"/>
      <c r="J24" s="200"/>
      <c r="K24" s="200"/>
      <c r="L24" s="200">
        <v>31</v>
      </c>
      <c r="M24" s="200">
        <v>146</v>
      </c>
      <c r="N24" s="872">
        <v>38</v>
      </c>
      <c r="O24" s="872">
        <v>0</v>
      </c>
      <c r="P24" s="872">
        <v>0</v>
      </c>
      <c r="Q24" s="200">
        <v>0</v>
      </c>
      <c r="R24" s="200">
        <v>0</v>
      </c>
      <c r="S24" s="200">
        <v>0</v>
      </c>
      <c r="U24" s="207"/>
      <c r="V24" s="205"/>
      <c r="W24" s="206"/>
      <c r="X24" s="202"/>
      <c r="Y24" s="181"/>
      <c r="Z24" s="181"/>
    </row>
    <row r="25" spans="2:29" ht="136.9" hidden="1" customHeight="1">
      <c r="B25" s="1205"/>
      <c r="C25" s="197" t="s">
        <v>696</v>
      </c>
      <c r="D25" s="198" t="s">
        <v>355</v>
      </c>
      <c r="E25" s="199" t="s">
        <v>279</v>
      </c>
      <c r="F25" s="199">
        <v>0</v>
      </c>
      <c r="G25" s="199" t="s">
        <v>279</v>
      </c>
      <c r="H25" s="199" t="s">
        <v>279</v>
      </c>
      <c r="I25" s="199" t="s">
        <v>279</v>
      </c>
      <c r="J25" s="199">
        <v>0</v>
      </c>
      <c r="K25" s="199">
        <v>0</v>
      </c>
      <c r="L25" s="199">
        <v>0</v>
      </c>
      <c r="M25" s="199">
        <v>0</v>
      </c>
      <c r="N25" s="869">
        <v>0</v>
      </c>
      <c r="O25" s="869">
        <v>0</v>
      </c>
      <c r="P25" s="869">
        <v>0</v>
      </c>
      <c r="Q25" s="215">
        <f>34273932.5/136626.3</f>
        <v>250.85896712419208</v>
      </c>
      <c r="R25" s="215">
        <v>0</v>
      </c>
      <c r="S25" s="215">
        <v>0</v>
      </c>
      <c r="U25" s="207"/>
      <c r="V25" s="205"/>
      <c r="W25" s="206"/>
      <c r="X25" s="202"/>
      <c r="Y25" s="181"/>
      <c r="Z25" s="181"/>
    </row>
    <row r="26" spans="2:29" ht="174.75" customHeight="1">
      <c r="B26" s="1205"/>
      <c r="C26" s="197" t="s">
        <v>695</v>
      </c>
      <c r="D26" s="198" t="s">
        <v>356</v>
      </c>
      <c r="E26" s="199">
        <v>64</v>
      </c>
      <c r="F26" s="199">
        <f t="shared" ref="F26:F33" si="1">S26</f>
        <v>53.9</v>
      </c>
      <c r="G26" s="199">
        <f>100-36</f>
        <v>64</v>
      </c>
      <c r="H26" s="199">
        <f>100-36</f>
        <v>64</v>
      </c>
      <c r="I26" s="199">
        <v>63.2</v>
      </c>
      <c r="J26" s="199">
        <v>62.3</v>
      </c>
      <c r="K26" s="199">
        <f>100-36.7</f>
        <v>63.3</v>
      </c>
      <c r="L26" s="199">
        <f>100-36.8</f>
        <v>63.2</v>
      </c>
      <c r="M26" s="199">
        <f>100-M40</f>
        <v>62.3</v>
      </c>
      <c r="N26" s="869">
        <f t="shared" ref="N26:S26" si="2">100-N40</f>
        <v>61.108719376779419</v>
      </c>
      <c r="O26" s="869">
        <f t="shared" si="2"/>
        <v>59.026678483485696</v>
      </c>
      <c r="P26" s="869">
        <f t="shared" si="2"/>
        <v>57.690981632198138</v>
      </c>
      <c r="Q26" s="199">
        <f t="shared" si="2"/>
        <v>55.794754934880913</v>
      </c>
      <c r="R26" s="199">
        <f t="shared" si="2"/>
        <v>54.001465280333932</v>
      </c>
      <c r="S26" s="199">
        <f t="shared" si="2"/>
        <v>53.9</v>
      </c>
      <c r="U26" s="207"/>
      <c r="V26" s="205"/>
      <c r="W26" s="206"/>
      <c r="X26" s="202"/>
      <c r="Y26" s="181"/>
      <c r="Z26" s="181"/>
    </row>
    <row r="27" spans="2:29" s="599" customFormat="1" ht="136.9" hidden="1" customHeight="1">
      <c r="B27" s="1205"/>
      <c r="C27" s="596" t="s">
        <v>694</v>
      </c>
      <c r="D27" s="597" t="s">
        <v>355</v>
      </c>
      <c r="E27" s="598">
        <v>6658</v>
      </c>
      <c r="F27" s="598">
        <f t="shared" si="1"/>
        <v>6784.6279999999997</v>
      </c>
      <c r="G27" s="598">
        <v>6714.1</v>
      </c>
      <c r="H27" s="598">
        <v>6752.4999999999991</v>
      </c>
      <c r="I27" s="598">
        <v>6779.4</v>
      </c>
      <c r="J27" s="598">
        <v>6780.2</v>
      </c>
      <c r="K27" s="598">
        <v>6771</v>
      </c>
      <c r="L27" s="598">
        <f>6773.685+2</f>
        <v>6775.6850000000004</v>
      </c>
      <c r="M27" s="199">
        <f>6770.628+2</f>
        <v>6772.6279999999997</v>
      </c>
      <c r="N27" s="869">
        <f t="shared" ref="N27:S27" si="3">M27+2</f>
        <v>6774.6279999999997</v>
      </c>
      <c r="O27" s="869">
        <f t="shared" si="3"/>
        <v>6776.6279999999997</v>
      </c>
      <c r="P27" s="869">
        <f t="shared" si="3"/>
        <v>6778.6279999999997</v>
      </c>
      <c r="Q27" s="598">
        <f t="shared" si="3"/>
        <v>6780.6279999999997</v>
      </c>
      <c r="R27" s="598">
        <f t="shared" si="3"/>
        <v>6782.6279999999997</v>
      </c>
      <c r="S27" s="598">
        <f t="shared" si="3"/>
        <v>6784.6279999999997</v>
      </c>
      <c r="U27" s="600"/>
      <c r="V27" s="601"/>
      <c r="W27" s="602"/>
      <c r="X27" s="603"/>
      <c r="Y27" s="604"/>
      <c r="Z27" s="604"/>
    </row>
    <row r="28" spans="2:29" ht="136.9" customHeight="1">
      <c r="B28" s="1205"/>
      <c r="C28" s="197" t="s">
        <v>836</v>
      </c>
      <c r="D28" s="198" t="s">
        <v>355</v>
      </c>
      <c r="E28" s="199">
        <v>2622.7000000000007</v>
      </c>
      <c r="F28" s="199">
        <f t="shared" ref="F28" si="4">S28</f>
        <v>1929.37</v>
      </c>
      <c r="G28" s="199">
        <v>2538.5</v>
      </c>
      <c r="H28" s="199">
        <v>2497.7000000000007</v>
      </c>
      <c r="I28" s="199">
        <v>2457.1000000000004</v>
      </c>
      <c r="J28" s="199">
        <v>2426.5</v>
      </c>
      <c r="K28" s="199">
        <v>2416</v>
      </c>
      <c r="L28" s="199">
        <f>2400.836-10</f>
        <v>2390.8359999999998</v>
      </c>
      <c r="M28" s="199">
        <f>2392.284-M21+1.564</f>
        <v>2381.1779999999999</v>
      </c>
      <c r="N28" s="869">
        <f>2014.656-N21</f>
        <v>2002.1699999999998</v>
      </c>
      <c r="O28" s="869">
        <f>N28-O21</f>
        <v>1989.37</v>
      </c>
      <c r="P28" s="869">
        <f>O28-15</f>
        <v>1974.37</v>
      </c>
      <c r="Q28" s="199">
        <f>P28-15</f>
        <v>1959.37</v>
      </c>
      <c r="R28" s="199">
        <f>Q28-15</f>
        <v>1944.37</v>
      </c>
      <c r="S28" s="199">
        <f>R28-15</f>
        <v>1929.37</v>
      </c>
      <c r="U28" s="207"/>
      <c r="V28" s="205"/>
      <c r="W28" s="206"/>
      <c r="X28" s="202"/>
      <c r="Y28" s="181"/>
      <c r="Z28" s="181"/>
    </row>
    <row r="29" spans="2:29" ht="136.9" customHeight="1">
      <c r="B29" s="1205"/>
      <c r="C29" s="197" t="s">
        <v>834</v>
      </c>
      <c r="D29" s="198" t="s">
        <v>356</v>
      </c>
      <c r="E29" s="199"/>
      <c r="F29" s="200">
        <v>100</v>
      </c>
      <c r="G29" s="199"/>
      <c r="H29" s="199"/>
      <c r="I29" s="199"/>
      <c r="J29" s="199"/>
      <c r="K29" s="199"/>
      <c r="L29" s="199"/>
      <c r="M29" s="620">
        <v>11.446441521946042</v>
      </c>
      <c r="N29" s="875">
        <v>36.4</v>
      </c>
      <c r="O29" s="875">
        <v>70</v>
      </c>
      <c r="P29" s="875">
        <v>100</v>
      </c>
      <c r="Q29" s="199"/>
      <c r="R29" s="199"/>
      <c r="S29" s="199"/>
      <c r="U29" s="207"/>
      <c r="V29" s="205"/>
      <c r="W29" s="206"/>
      <c r="X29" s="202"/>
      <c r="Y29" s="181"/>
      <c r="Z29" s="181"/>
    </row>
    <row r="30" spans="2:29" ht="135.6" customHeight="1">
      <c r="B30" s="1206"/>
      <c r="C30" s="197" t="s">
        <v>835</v>
      </c>
      <c r="D30" s="195" t="s">
        <v>356</v>
      </c>
      <c r="E30" s="199"/>
      <c r="F30" s="200">
        <v>100</v>
      </c>
      <c r="G30" s="199"/>
      <c r="H30" s="199"/>
      <c r="I30" s="199"/>
      <c r="J30" s="199"/>
      <c r="K30" s="199"/>
      <c r="L30" s="199"/>
      <c r="M30" s="620">
        <v>57.788567617267041</v>
      </c>
      <c r="N30" s="875">
        <v>57</v>
      </c>
      <c r="O30" s="875">
        <v>100</v>
      </c>
      <c r="P30" s="875"/>
      <c r="Q30" s="199"/>
      <c r="R30" s="199"/>
      <c r="S30" s="199"/>
      <c r="U30" s="207"/>
      <c r="V30" s="205"/>
      <c r="W30" s="206"/>
      <c r="X30" s="202"/>
      <c r="Y30" s="181"/>
      <c r="Z30" s="181"/>
    </row>
    <row r="31" spans="2:29" ht="184.5" customHeight="1">
      <c r="B31" s="1204" t="s">
        <v>332</v>
      </c>
      <c r="C31" s="190" t="s">
        <v>837</v>
      </c>
      <c r="D31" s="195" t="s">
        <v>355</v>
      </c>
      <c r="E31" s="203">
        <f>E32+E33</f>
        <v>8436.4</v>
      </c>
      <c r="F31" s="199">
        <f t="shared" si="1"/>
        <v>17372.475999999999</v>
      </c>
      <c r="G31" s="203">
        <f t="shared" ref="G31:S31" si="5">G32+G33</f>
        <v>8962</v>
      </c>
      <c r="H31" s="203">
        <f t="shared" si="5"/>
        <v>9123.2000000000007</v>
      </c>
      <c r="I31" s="203">
        <f t="shared" si="5"/>
        <v>9325.9000000000015</v>
      </c>
      <c r="J31" s="303">
        <f t="shared" si="5"/>
        <v>10250</v>
      </c>
      <c r="K31" s="303">
        <f t="shared" si="5"/>
        <v>17537.699999999997</v>
      </c>
      <c r="L31" s="303">
        <f t="shared" si="5"/>
        <v>17301.827600000001</v>
      </c>
      <c r="M31" s="303">
        <f t="shared" si="5"/>
        <v>16174.555923</v>
      </c>
      <c r="N31" s="876">
        <f t="shared" si="5"/>
        <v>16357.47229157517</v>
      </c>
      <c r="O31" s="876">
        <f t="shared" si="5"/>
        <v>16641.324433682032</v>
      </c>
      <c r="P31" s="876">
        <f t="shared" si="5"/>
        <v>16831.871999999999</v>
      </c>
      <c r="Q31" s="303">
        <f t="shared" si="5"/>
        <v>17092.439999999999</v>
      </c>
      <c r="R31" s="303">
        <f t="shared" si="5"/>
        <v>17343.807999999997</v>
      </c>
      <c r="S31" s="303">
        <f t="shared" si="5"/>
        <v>17372.475999999999</v>
      </c>
      <c r="U31" s="214">
        <f>L31-H31</f>
        <v>8178.6275999999998</v>
      </c>
      <c r="V31" s="393">
        <f>S31-H31</f>
        <v>8249.275999999998</v>
      </c>
      <c r="W31" s="400" t="s">
        <v>693</v>
      </c>
      <c r="X31" s="208"/>
    </row>
    <row r="32" spans="2:29" ht="68.25" customHeight="1">
      <c r="B32" s="1205"/>
      <c r="C32" s="209" t="s">
        <v>358</v>
      </c>
      <c r="D32" s="210" t="s">
        <v>355</v>
      </c>
      <c r="E32" s="199">
        <v>4585.8</v>
      </c>
      <c r="F32" s="199">
        <f t="shared" si="1"/>
        <v>5871.8</v>
      </c>
      <c r="G32" s="199">
        <v>4593.7</v>
      </c>
      <c r="H32" s="199">
        <v>4602.8999999999996</v>
      </c>
      <c r="I32" s="199">
        <v>4635.6000000000004</v>
      </c>
      <c r="J32" s="199">
        <v>4726.6000000000004</v>
      </c>
      <c r="K32" s="199">
        <f>4676.5+2.4</f>
        <v>4678.8999999999996</v>
      </c>
      <c r="L32" s="199">
        <f>4673.9+(L35+L20)*12/100</f>
        <v>4683.8275999999996</v>
      </c>
      <c r="M32" s="199">
        <f>M16*M40/100</f>
        <v>4799.1719230000008</v>
      </c>
      <c r="N32" s="869">
        <f>N16*N40/100</f>
        <v>4951.6082915751713</v>
      </c>
      <c r="O32" s="869">
        <f>O16*O40/100</f>
        <v>5216.9564336820304</v>
      </c>
      <c r="P32" s="869">
        <v>5388.4</v>
      </c>
      <c r="Q32" s="199">
        <v>5629.9</v>
      </c>
      <c r="R32" s="199">
        <v>5862.2</v>
      </c>
      <c r="S32" s="199">
        <v>5871.8</v>
      </c>
      <c r="U32" s="214">
        <f>S32-H32</f>
        <v>1268.9000000000005</v>
      </c>
      <c r="V32" s="393">
        <f>S32-H32</f>
        <v>1268.9000000000005</v>
      </c>
      <c r="W32" s="400" t="s">
        <v>692</v>
      </c>
    </row>
    <row r="33" spans="2:25" ht="49.5" customHeight="1">
      <c r="B33" s="1205"/>
      <c r="C33" s="211" t="s">
        <v>357</v>
      </c>
      <c r="D33" s="212" t="s">
        <v>355</v>
      </c>
      <c r="E33" s="213">
        <v>3850.6</v>
      </c>
      <c r="F33" s="199">
        <f t="shared" si="1"/>
        <v>11500.675999999998</v>
      </c>
      <c r="G33" s="213">
        <v>4368.3</v>
      </c>
      <c r="H33" s="213">
        <f>G33+H36</f>
        <v>4520.3</v>
      </c>
      <c r="I33" s="213">
        <v>4690.3</v>
      </c>
      <c r="J33" s="213">
        <v>5523.4</v>
      </c>
      <c r="K33" s="213">
        <v>12858.8</v>
      </c>
      <c r="L33" s="213">
        <f>12593.1+(L36+L47)*12/100</f>
        <v>12618</v>
      </c>
      <c r="M33" s="213">
        <f>11333.9+(M36+M47)*12/100</f>
        <v>11375.384</v>
      </c>
      <c r="N33" s="877">
        <f t="shared" ref="N33:S33" si="6">M33+(N36+N47)*12/100</f>
        <v>11405.864</v>
      </c>
      <c r="O33" s="877">
        <f t="shared" si="6"/>
        <v>11424.368</v>
      </c>
      <c r="P33" s="877">
        <f t="shared" si="6"/>
        <v>11443.472</v>
      </c>
      <c r="Q33" s="213">
        <f t="shared" si="6"/>
        <v>11462.539999999999</v>
      </c>
      <c r="R33" s="213">
        <f t="shared" si="6"/>
        <v>11481.607999999998</v>
      </c>
      <c r="S33" s="213">
        <f t="shared" si="6"/>
        <v>11500.675999999998</v>
      </c>
      <c r="U33" s="214">
        <f>P33-H33</f>
        <v>6923.1719999999996</v>
      </c>
      <c r="V33" s="393">
        <f>S33-H33</f>
        <v>6980.3759999999975</v>
      </c>
      <c r="W33" s="181"/>
    </row>
    <row r="34" spans="2:25" s="172" customFormat="1" ht="187.5">
      <c r="B34" s="1205"/>
      <c r="C34" s="184" t="s">
        <v>838</v>
      </c>
      <c r="D34" s="382" t="s">
        <v>355</v>
      </c>
      <c r="E34" s="215">
        <f>E35+E36</f>
        <v>2115.62</v>
      </c>
      <c r="F34" s="215">
        <f>SUM(G34:S34)</f>
        <v>4843.5600000000004</v>
      </c>
      <c r="G34" s="215">
        <f t="shared" ref="G34:S34" si="7">G35+G36</f>
        <v>758.10000000000025</v>
      </c>
      <c r="H34" s="215">
        <f t="shared" si="7"/>
        <v>204.06</v>
      </c>
      <c r="I34" s="215">
        <f t="shared" si="7"/>
        <v>202.7</v>
      </c>
      <c r="J34" s="215">
        <f t="shared" si="7"/>
        <v>284.39999999999998</v>
      </c>
      <c r="K34" s="215">
        <f t="shared" si="7"/>
        <v>260.8</v>
      </c>
      <c r="L34" s="215">
        <f t="shared" si="7"/>
        <v>269.3</v>
      </c>
      <c r="M34" s="215">
        <f t="shared" si="7"/>
        <v>483</v>
      </c>
      <c r="N34" s="878">
        <f t="shared" si="7"/>
        <v>413.3</v>
      </c>
      <c r="O34" s="878">
        <f t="shared" si="7"/>
        <v>400.2</v>
      </c>
      <c r="P34" s="878">
        <f t="shared" si="7"/>
        <v>382</v>
      </c>
      <c r="Q34" s="215">
        <f t="shared" si="7"/>
        <v>451.9</v>
      </c>
      <c r="R34" s="215">
        <f t="shared" si="7"/>
        <v>440.8</v>
      </c>
      <c r="S34" s="215">
        <f t="shared" si="7"/>
        <v>293</v>
      </c>
      <c r="T34" s="170"/>
      <c r="U34" s="214">
        <f>SUM(I34:P34)</f>
        <v>2695.7</v>
      </c>
      <c r="V34" s="393">
        <f>SUM(I34:S34)</f>
        <v>3881.4</v>
      </c>
      <c r="W34" s="400" t="s">
        <v>691</v>
      </c>
      <c r="X34" s="170"/>
      <c r="Y34" s="170"/>
    </row>
    <row r="35" spans="2:25" ht="56.25">
      <c r="B35" s="1205"/>
      <c r="C35" s="209" t="s">
        <v>358</v>
      </c>
      <c r="D35" s="210" t="s">
        <v>355</v>
      </c>
      <c r="E35" s="215">
        <f>141.6+113.4+57.96+7.47+58.9+61.3+118.3+157.1+119.3+123+47.4+74.8+52.3+126.5+43.8+107.2+58.4+175.3</f>
        <v>1644.03</v>
      </c>
      <c r="F35" s="215">
        <f>SUM(G35:S35)</f>
        <v>2140.5600000000004</v>
      </c>
      <c r="G35" s="215">
        <f>115.65+124.75</f>
        <v>240.4</v>
      </c>
      <c r="H35" s="215">
        <f>26.27+25.79</f>
        <v>52.06</v>
      </c>
      <c r="I35" s="215">
        <f>20+12.7</f>
        <v>32.700000000000003</v>
      </c>
      <c r="J35" s="215">
        <v>129.4</v>
      </c>
      <c r="K35" s="215">
        <v>100.5</v>
      </c>
      <c r="L35" s="215">
        <f>18.7+50.4-3.8</f>
        <v>65.3</v>
      </c>
      <c r="M35" s="724">
        <f>23.6+108.6+3.3-3.1+6.6</f>
        <v>139</v>
      </c>
      <c r="N35" s="878">
        <f>14.8+148.5</f>
        <v>163.30000000000001</v>
      </c>
      <c r="O35" s="878">
        <f>20+230.2</f>
        <v>250.2</v>
      </c>
      <c r="P35" s="878">
        <f>10.8+221.2</f>
        <v>232</v>
      </c>
      <c r="Q35" s="215">
        <f>6.1+212.8+83</f>
        <v>301.89999999999998</v>
      </c>
      <c r="R35" s="215">
        <f>3+204.8+83</f>
        <v>290.8</v>
      </c>
      <c r="S35" s="215">
        <f>60+83</f>
        <v>143</v>
      </c>
      <c r="U35" s="214">
        <f>SUM(I35:P35)</f>
        <v>1112.4000000000001</v>
      </c>
      <c r="V35" s="393">
        <f>SUM(I35:S35)</f>
        <v>1848.1000000000001</v>
      </c>
      <c r="W35" s="181" t="s">
        <v>690</v>
      </c>
    </row>
    <row r="36" spans="2:25" ht="37.5">
      <c r="B36" s="1205"/>
      <c r="C36" s="211" t="s">
        <v>357</v>
      </c>
      <c r="D36" s="212" t="s">
        <v>355</v>
      </c>
      <c r="E36" s="215">
        <f>14.9+30.39+50+80+150+16.3+130</f>
        <v>471.59</v>
      </c>
      <c r="F36" s="215">
        <f>SUM(G36:S36)</f>
        <v>2703</v>
      </c>
      <c r="G36" s="215">
        <f>G33-E33</f>
        <v>517.70000000000027</v>
      </c>
      <c r="H36" s="215">
        <v>152</v>
      </c>
      <c r="I36" s="215">
        <v>170</v>
      </c>
      <c r="J36" s="215">
        <v>155</v>
      </c>
      <c r="K36" s="215">
        <f>159+1.3</f>
        <v>160.30000000000001</v>
      </c>
      <c r="L36" s="215">
        <f>204</f>
        <v>204</v>
      </c>
      <c r="M36" s="215">
        <f>330+14</f>
        <v>344</v>
      </c>
      <c r="N36" s="878">
        <v>250</v>
      </c>
      <c r="O36" s="878">
        <v>150</v>
      </c>
      <c r="P36" s="878">
        <v>150</v>
      </c>
      <c r="Q36" s="215">
        <v>150</v>
      </c>
      <c r="R36" s="215">
        <v>150</v>
      </c>
      <c r="S36" s="215">
        <v>150</v>
      </c>
      <c r="U36" s="214">
        <f>SUM(I36:P36)</f>
        <v>1583.3</v>
      </c>
      <c r="V36" s="393">
        <f>SUM(I36:S36)</f>
        <v>2033.3</v>
      </c>
      <c r="W36" s="181" t="s">
        <v>689</v>
      </c>
    </row>
    <row r="37" spans="2:25" ht="111" hidden="1" customHeight="1">
      <c r="B37" s="1205"/>
      <c r="C37" s="184" t="s">
        <v>758</v>
      </c>
      <c r="D37" s="722" t="s">
        <v>475</v>
      </c>
      <c r="E37" s="215"/>
      <c r="F37" s="215"/>
      <c r="G37" s="215"/>
      <c r="H37" s="215"/>
      <c r="I37" s="215"/>
      <c r="J37" s="215"/>
      <c r="K37" s="215"/>
      <c r="L37" s="215"/>
      <c r="M37" s="215">
        <v>16</v>
      </c>
      <c r="N37" s="878">
        <v>7</v>
      </c>
      <c r="O37" s="878">
        <v>5</v>
      </c>
      <c r="P37" s="878">
        <v>5</v>
      </c>
      <c r="Q37" s="215">
        <v>5</v>
      </c>
      <c r="R37" s="215">
        <v>5</v>
      </c>
      <c r="S37" s="215">
        <v>5</v>
      </c>
      <c r="U37" s="214"/>
      <c r="V37" s="393"/>
      <c r="W37" s="181"/>
    </row>
    <row r="38" spans="2:25" ht="131.25" hidden="1" customHeight="1">
      <c r="B38" s="1205"/>
      <c r="C38" s="184" t="s">
        <v>839</v>
      </c>
      <c r="D38" s="722" t="s">
        <v>355</v>
      </c>
      <c r="E38" s="215"/>
      <c r="F38" s="215"/>
      <c r="G38" s="215"/>
      <c r="H38" s="215"/>
      <c r="I38" s="215"/>
      <c r="J38" s="215"/>
      <c r="K38" s="215">
        <v>107.3</v>
      </c>
      <c r="L38" s="215">
        <v>169.2</v>
      </c>
      <c r="M38" s="215">
        <v>101.7</v>
      </c>
      <c r="N38" s="878">
        <v>0</v>
      </c>
      <c r="O38" s="878">
        <v>0</v>
      </c>
      <c r="P38" s="878">
        <v>0</v>
      </c>
      <c r="Q38" s="215">
        <v>0</v>
      </c>
      <c r="R38" s="215">
        <v>0</v>
      </c>
      <c r="S38" s="215">
        <v>0</v>
      </c>
      <c r="U38" s="214"/>
      <c r="V38" s="205"/>
      <c r="W38" s="181"/>
    </row>
    <row r="39" spans="2:25" s="172" customFormat="1" ht="164.25" customHeight="1">
      <c r="B39" s="1205"/>
      <c r="C39" s="184" t="s">
        <v>1102</v>
      </c>
      <c r="D39" s="382" t="s">
        <v>356</v>
      </c>
      <c r="E39" s="216">
        <f>E31/SUM(E16+E44)</f>
        <v>0.35999622781440671</v>
      </c>
      <c r="F39" s="216">
        <f>F31/SUM(F16+F44)</f>
        <v>0.63426046660824409</v>
      </c>
      <c r="G39" s="216">
        <f>G31/SUM(G16+G44)</f>
        <v>0.35999775051617622</v>
      </c>
      <c r="H39" s="216">
        <v>0.36</v>
      </c>
      <c r="I39" s="216">
        <v>0.36799999999999999</v>
      </c>
      <c r="J39" s="216">
        <f>(J40+J41)/2</f>
        <v>0.37695938140779817</v>
      </c>
      <c r="K39" s="216">
        <f t="shared" ref="K39:S39" si="8">K31/SUM(K16+K44)</f>
        <v>0.64090879190755656</v>
      </c>
      <c r="L39" s="216">
        <f t="shared" si="8"/>
        <v>0.6323791204330923</v>
      </c>
      <c r="M39" s="216">
        <f t="shared" si="8"/>
        <v>0.59110163952890515</v>
      </c>
      <c r="N39" s="879">
        <f t="shared" si="8"/>
        <v>0.59773118986456553</v>
      </c>
      <c r="O39" s="879">
        <f t="shared" si="8"/>
        <v>0.60807376698582383</v>
      </c>
      <c r="P39" s="879">
        <f t="shared" si="8"/>
        <v>0.61495660215479764</v>
      </c>
      <c r="Q39" s="216">
        <f t="shared" si="8"/>
        <v>0.62439439376068795</v>
      </c>
      <c r="R39" s="216">
        <f t="shared" si="8"/>
        <v>0.63329704907109607</v>
      </c>
      <c r="S39" s="216">
        <f t="shared" si="8"/>
        <v>0.63426046660824409</v>
      </c>
      <c r="T39" s="173"/>
      <c r="U39" s="393">
        <f>63.4-36</f>
        <v>27.4</v>
      </c>
      <c r="V39" s="302" t="s">
        <v>688</v>
      </c>
      <c r="W39" s="181"/>
      <c r="X39" s="170"/>
      <c r="Y39" s="170"/>
    </row>
    <row r="40" spans="2:25" s="172" customFormat="1" ht="64.5" customHeight="1">
      <c r="B40" s="1205"/>
      <c r="C40" s="209" t="s">
        <v>358</v>
      </c>
      <c r="D40" s="382" t="s">
        <v>356</v>
      </c>
      <c r="E40" s="216">
        <f>E32/E16</f>
        <v>0.35999274644996032</v>
      </c>
      <c r="F40" s="216">
        <f>F32/F16</f>
        <v>0.46073862400964694</v>
      </c>
      <c r="G40" s="216">
        <f>G32/G16</f>
        <v>0.35999373065318757</v>
      </c>
      <c r="H40" s="216">
        <f>H32/H16</f>
        <v>0.35999812293229261</v>
      </c>
      <c r="I40" s="216">
        <v>0.36199999999999999</v>
      </c>
      <c r="J40" s="216">
        <f>J32/J16</f>
        <v>0.36991876281559632</v>
      </c>
      <c r="K40" s="216">
        <v>0.36725415930319943</v>
      </c>
      <c r="L40" s="216">
        <f>L32/L16</f>
        <v>0.36785246908068125</v>
      </c>
      <c r="M40" s="464">
        <v>37.700000000000003</v>
      </c>
      <c r="N40" s="880">
        <v>38.891280623220581</v>
      </c>
      <c r="O40" s="880">
        <v>40.973321516514304</v>
      </c>
      <c r="P40" s="880">
        <f>P32/P16*100</f>
        <v>42.309018367801862</v>
      </c>
      <c r="Q40" s="464">
        <f>Q32/Q16*100</f>
        <v>44.205245065119087</v>
      </c>
      <c r="R40" s="464">
        <f>R32/R16*100</f>
        <v>45.998534719666068</v>
      </c>
      <c r="S40" s="464">
        <v>46.1</v>
      </c>
      <c r="T40" s="170"/>
      <c r="U40" s="214">
        <f>37.1-36</f>
        <v>1.1000000000000014</v>
      </c>
      <c r="V40" s="393">
        <f>S40-36</f>
        <v>10.100000000000001</v>
      </c>
      <c r="W40" s="400" t="s">
        <v>687</v>
      </c>
      <c r="X40" s="170"/>
      <c r="Y40" s="170"/>
    </row>
    <row r="41" spans="2:25" s="172" customFormat="1" ht="38.450000000000003" customHeight="1">
      <c r="B41" s="1205"/>
      <c r="C41" s="211" t="s">
        <v>357</v>
      </c>
      <c r="D41" s="382" t="s">
        <v>356</v>
      </c>
      <c r="E41" s="216">
        <f>E33/E44</f>
        <v>0.36000037396808182</v>
      </c>
      <c r="F41" s="216">
        <f>F33/F44</f>
        <v>0.78525366640697891</v>
      </c>
      <c r="G41" s="216">
        <f>G33/G44</f>
        <v>0.360001977897001</v>
      </c>
      <c r="H41" s="216">
        <f>H33/H44</f>
        <v>0.35994521551483882</v>
      </c>
      <c r="I41" s="216">
        <v>0.373</v>
      </c>
      <c r="J41" s="216">
        <v>0.38400000000000001</v>
      </c>
      <c r="K41" s="216">
        <v>0.87928687240461634</v>
      </c>
      <c r="L41" s="216">
        <f t="shared" ref="L41:S41" si="9">L33/L44</f>
        <v>0.86265126136596704</v>
      </c>
      <c r="M41" s="216">
        <f t="shared" si="9"/>
        <v>0.77735170851012503</v>
      </c>
      <c r="N41" s="216">
        <f t="shared" si="9"/>
        <v>0.77940796815090319</v>
      </c>
      <c r="O41" s="879">
        <f t="shared" si="9"/>
        <v>0.78063507920553254</v>
      </c>
      <c r="P41" s="879">
        <f t="shared" si="9"/>
        <v>0.78192444009262718</v>
      </c>
      <c r="Q41" s="216">
        <f t="shared" si="9"/>
        <v>0.78303472802404039</v>
      </c>
      <c r="R41" s="216">
        <f t="shared" si="9"/>
        <v>0.78414446999462495</v>
      </c>
      <c r="S41" s="216">
        <f t="shared" si="9"/>
        <v>0.78525366640697891</v>
      </c>
      <c r="T41" s="170"/>
      <c r="U41" s="214">
        <f>86.7-36</f>
        <v>50.7</v>
      </c>
      <c r="V41" s="223">
        <f>87.1-36</f>
        <v>51.099999999999994</v>
      </c>
      <c r="W41" s="181" t="s">
        <v>686</v>
      </c>
      <c r="X41" s="170"/>
      <c r="Y41" s="170"/>
    </row>
    <row r="42" spans="2:25" s="599" customFormat="1" ht="100.5" hidden="1" customHeight="1">
      <c r="B42" s="1205"/>
      <c r="C42" s="610" t="s">
        <v>685</v>
      </c>
      <c r="D42" s="611" t="s">
        <v>356</v>
      </c>
      <c r="E42" s="612">
        <v>58.5</v>
      </c>
      <c r="F42" s="612">
        <f>S42</f>
        <v>24.339745519188085</v>
      </c>
      <c r="G42" s="612">
        <v>56</v>
      </c>
      <c r="H42" s="613">
        <v>54.6</v>
      </c>
      <c r="I42" s="613">
        <v>54</v>
      </c>
      <c r="J42" s="614">
        <v>41.59</v>
      </c>
      <c r="K42" s="614">
        <v>49.25</v>
      </c>
      <c r="L42" s="614">
        <f>K74</f>
        <v>48.944713813936239</v>
      </c>
      <c r="M42" s="185">
        <f>K75</f>
        <v>48.622025783718968</v>
      </c>
      <c r="N42" s="865">
        <f>K76</f>
        <v>47.36338414410303</v>
      </c>
      <c r="O42" s="865">
        <f>$K$77</f>
        <v>42.083128194875869</v>
      </c>
      <c r="P42" s="865">
        <f>$K$78</f>
        <v>38.837994068492357</v>
      </c>
      <c r="Q42" s="614">
        <f>$K$79</f>
        <v>33.761854195265535</v>
      </c>
      <c r="R42" s="614">
        <f>$K$80</f>
        <v>28.68571432203872</v>
      </c>
      <c r="S42" s="614">
        <f>$K$81</f>
        <v>24.339745519188085</v>
      </c>
      <c r="U42" s="615">
        <f>H42-P42</f>
        <v>15.762005931507645</v>
      </c>
      <c r="V42" s="616">
        <f>H42-S42</f>
        <v>30.260254480811916</v>
      </c>
      <c r="W42" s="617" t="s">
        <v>684</v>
      </c>
    </row>
    <row r="43" spans="2:25" ht="135.75" customHeight="1">
      <c r="B43" s="1205"/>
      <c r="C43" s="190" t="s">
        <v>1103</v>
      </c>
      <c r="D43" s="465" t="s">
        <v>356</v>
      </c>
      <c r="E43" s="215">
        <v>15.3</v>
      </c>
      <c r="F43" s="215">
        <f>S43</f>
        <v>18.609999999999992</v>
      </c>
      <c r="G43" s="215">
        <v>15</v>
      </c>
      <c r="H43" s="467">
        <v>15.8</v>
      </c>
      <c r="I43" s="467">
        <v>18.5</v>
      </c>
      <c r="J43" s="218">
        <v>15.8</v>
      </c>
      <c r="K43" s="218">
        <v>23.5</v>
      </c>
      <c r="L43" s="218">
        <v>19.600000000000001</v>
      </c>
      <c r="M43" s="218">
        <f>L75</f>
        <v>18.819188191881921</v>
      </c>
      <c r="N43" s="881">
        <v>19.11</v>
      </c>
      <c r="O43" s="881">
        <f>N43-0.1</f>
        <v>19.009999999999998</v>
      </c>
      <c r="P43" s="881">
        <f>O43-0.1</f>
        <v>18.909999999999997</v>
      </c>
      <c r="Q43" s="218">
        <f>P43-0.1</f>
        <v>18.809999999999995</v>
      </c>
      <c r="R43" s="218">
        <f>Q43-0.1</f>
        <v>18.709999999999994</v>
      </c>
      <c r="S43" s="218">
        <f>R43-0.1</f>
        <v>18.609999999999992</v>
      </c>
      <c r="U43" s="214">
        <f>P43-H43</f>
        <v>3.1099999999999959</v>
      </c>
      <c r="V43" s="223">
        <f>S43-H43</f>
        <v>2.8099999999999916</v>
      </c>
      <c r="W43" s="181"/>
    </row>
    <row r="44" spans="2:25" ht="90" customHeight="1">
      <c r="B44" s="1205"/>
      <c r="C44" s="194" t="s">
        <v>1104</v>
      </c>
      <c r="D44" s="381" t="s">
        <v>355</v>
      </c>
      <c r="E44" s="219">
        <v>10696.1</v>
      </c>
      <c r="F44" s="215">
        <f>S44</f>
        <v>14645.810000000001</v>
      </c>
      <c r="G44" s="219">
        <v>12134.1</v>
      </c>
      <c r="H44" s="219">
        <v>12558.3</v>
      </c>
      <c r="I44" s="219">
        <v>12561.3</v>
      </c>
      <c r="J44" s="219">
        <v>14393.7</v>
      </c>
      <c r="K44" s="219">
        <v>14622</v>
      </c>
      <c r="L44" s="219">
        <f>14624.6+L46</f>
        <v>14627</v>
      </c>
      <c r="M44" s="219">
        <f>14630.2+M46+1.31</f>
        <v>14633.51</v>
      </c>
      <c r="N44" s="882">
        <f t="shared" ref="N44:S44" si="10">M44+N46</f>
        <v>14634.01</v>
      </c>
      <c r="O44" s="882">
        <f t="shared" si="10"/>
        <v>14634.710000000001</v>
      </c>
      <c r="P44" s="882">
        <f>O44+P46</f>
        <v>14635.01</v>
      </c>
      <c r="Q44" s="219">
        <f t="shared" si="10"/>
        <v>14638.61</v>
      </c>
      <c r="R44" s="219">
        <f t="shared" si="10"/>
        <v>14642.210000000001</v>
      </c>
      <c r="S44" s="219">
        <f t="shared" si="10"/>
        <v>14645.810000000001</v>
      </c>
      <c r="U44" s="220"/>
      <c r="V44" s="399">
        <f>S44-H44</f>
        <v>2087.510000000002</v>
      </c>
      <c r="W44" s="401" t="s">
        <v>683</v>
      </c>
    </row>
    <row r="45" spans="2:25" ht="91.5" customHeight="1">
      <c r="B45" s="1205"/>
      <c r="C45" s="197" t="s">
        <v>1105</v>
      </c>
      <c r="D45" s="221" t="s">
        <v>355</v>
      </c>
      <c r="E45" s="222">
        <v>63</v>
      </c>
      <c r="F45" s="222">
        <f>SUM(G45:S45)</f>
        <v>130.40000000000003</v>
      </c>
      <c r="G45" s="222">
        <v>9.1</v>
      </c>
      <c r="H45" s="222">
        <v>19.7</v>
      </c>
      <c r="I45" s="222">
        <v>10.5</v>
      </c>
      <c r="J45" s="222">
        <f t="shared" ref="J45:S45" si="11">J46+J47</f>
        <v>9.6999999999999993</v>
      </c>
      <c r="K45" s="222">
        <f t="shared" si="11"/>
        <v>15.399999999999999</v>
      </c>
      <c r="L45" s="222">
        <f t="shared" si="11"/>
        <v>5.9</v>
      </c>
      <c r="M45" s="222">
        <f t="shared" si="11"/>
        <v>3.7</v>
      </c>
      <c r="N45" s="883">
        <f t="shared" si="11"/>
        <v>4.5</v>
      </c>
      <c r="O45" s="883">
        <f t="shared" si="11"/>
        <v>4.9000000000000004</v>
      </c>
      <c r="P45" s="883">
        <f t="shared" si="11"/>
        <v>9.5</v>
      </c>
      <c r="Q45" s="222">
        <f t="shared" si="11"/>
        <v>12.5</v>
      </c>
      <c r="R45" s="222">
        <f t="shared" si="11"/>
        <v>12.5</v>
      </c>
      <c r="S45" s="222">
        <f t="shared" si="11"/>
        <v>12.5</v>
      </c>
      <c r="U45" s="214">
        <f>SUM(H45:P45)</f>
        <v>83.8</v>
      </c>
      <c r="V45" s="393">
        <f>SUM(G45:S45)</f>
        <v>130.40000000000003</v>
      </c>
      <c r="W45" s="400" t="s">
        <v>682</v>
      </c>
    </row>
    <row r="46" spans="2:25" ht="131.25" customHeight="1">
      <c r="B46" s="1205"/>
      <c r="C46" s="197" t="s">
        <v>1106</v>
      </c>
      <c r="D46" s="221" t="s">
        <v>355</v>
      </c>
      <c r="E46" s="222">
        <v>20.5</v>
      </c>
      <c r="F46" s="222">
        <f>SUM(G46:S46)</f>
        <v>40.1</v>
      </c>
      <c r="G46" s="222">
        <v>5.5</v>
      </c>
      <c r="H46" s="222">
        <v>10</v>
      </c>
      <c r="I46" s="222">
        <v>3</v>
      </c>
      <c r="J46" s="222">
        <v>1.2</v>
      </c>
      <c r="K46" s="222">
        <v>3.7</v>
      </c>
      <c r="L46" s="222">
        <v>2.4</v>
      </c>
      <c r="M46" s="222">
        <v>2</v>
      </c>
      <c r="N46" s="883">
        <v>0.5</v>
      </c>
      <c r="O46" s="883">
        <v>0.7</v>
      </c>
      <c r="P46" s="883">
        <v>0.3</v>
      </c>
      <c r="Q46" s="222">
        <v>3.6</v>
      </c>
      <c r="R46" s="222">
        <v>3.6</v>
      </c>
      <c r="S46" s="222">
        <v>3.6</v>
      </c>
      <c r="U46" s="204">
        <f>SUM(I46:P46)</f>
        <v>13.8</v>
      </c>
      <c r="V46" s="399">
        <f>SUM(G46:P46)</f>
        <v>29.299999999999997</v>
      </c>
      <c r="W46" s="398">
        <f>SUM(I46:S46)</f>
        <v>24.600000000000005</v>
      </c>
      <c r="X46" s="397" t="s">
        <v>681</v>
      </c>
    </row>
    <row r="47" spans="2:25" ht="181.5" customHeight="1">
      <c r="B47" s="1205"/>
      <c r="C47" s="190" t="s">
        <v>1107</v>
      </c>
      <c r="D47" s="221" t="s">
        <v>355</v>
      </c>
      <c r="E47" s="222">
        <v>42.5</v>
      </c>
      <c r="F47" s="222">
        <f>SUM(G47:S47)</f>
        <v>90.300000000000026</v>
      </c>
      <c r="G47" s="222">
        <v>3.5999999999999996</v>
      </c>
      <c r="H47" s="222">
        <v>9.6999999999999993</v>
      </c>
      <c r="I47" s="222">
        <v>7.5</v>
      </c>
      <c r="J47" s="222">
        <v>8.5</v>
      </c>
      <c r="K47" s="222">
        <v>11.7</v>
      </c>
      <c r="L47" s="222">
        <v>3.5</v>
      </c>
      <c r="M47" s="222">
        <v>1.7</v>
      </c>
      <c r="N47" s="883">
        <v>4</v>
      </c>
      <c r="O47" s="883">
        <v>4.2</v>
      </c>
      <c r="P47" s="883">
        <v>9.1999999999999993</v>
      </c>
      <c r="Q47" s="222">
        <v>8.9</v>
      </c>
      <c r="R47" s="222">
        <v>8.9</v>
      </c>
      <c r="S47" s="222">
        <v>8.9</v>
      </c>
      <c r="U47" s="396"/>
      <c r="V47" s="393">
        <f>SUM(I47:S47)</f>
        <v>77</v>
      </c>
      <c r="W47" s="395" t="s">
        <v>680</v>
      </c>
    </row>
    <row r="48" spans="2:25" s="599" customFormat="1" ht="121.15" hidden="1" customHeight="1">
      <c r="B48" s="1205"/>
      <c r="C48" s="605" t="s">
        <v>679</v>
      </c>
      <c r="D48" s="606" t="s">
        <v>355</v>
      </c>
      <c r="E48" s="607">
        <f>4997.2-2450.9</f>
        <v>2546.2999999999997</v>
      </c>
      <c r="F48" s="607">
        <f>S48</f>
        <v>4222.1000000000004</v>
      </c>
      <c r="G48" s="607">
        <f>6586.2-3140.2</f>
        <v>3446</v>
      </c>
      <c r="H48" s="607">
        <f>7050.2-3304.9</f>
        <v>3745.2999999999997</v>
      </c>
      <c r="I48" s="607">
        <f>8281.5-4482.5</f>
        <v>3799</v>
      </c>
      <c r="J48" s="607">
        <v>3809</v>
      </c>
      <c r="K48" s="607">
        <v>4042.6</v>
      </c>
      <c r="L48" s="607">
        <f>4028.7+10</f>
        <v>4038.7</v>
      </c>
      <c r="M48" s="222">
        <f>4152.1+10</f>
        <v>4162.1000000000004</v>
      </c>
      <c r="N48" s="883">
        <f t="shared" ref="N48:S48" si="12">M48+10</f>
        <v>4172.1000000000004</v>
      </c>
      <c r="O48" s="883">
        <f t="shared" si="12"/>
        <v>4182.1000000000004</v>
      </c>
      <c r="P48" s="883">
        <f t="shared" si="12"/>
        <v>4192.1000000000004</v>
      </c>
      <c r="Q48" s="607">
        <f t="shared" si="12"/>
        <v>4202.1000000000004</v>
      </c>
      <c r="R48" s="607">
        <f t="shared" si="12"/>
        <v>4212.1000000000004</v>
      </c>
      <c r="S48" s="607">
        <f t="shared" si="12"/>
        <v>4222.1000000000004</v>
      </c>
      <c r="T48" s="608">
        <f>I48-H48</f>
        <v>53.700000000000273</v>
      </c>
      <c r="U48" s="609"/>
      <c r="V48" s="604"/>
      <c r="W48" s="602"/>
    </row>
    <row r="49" spans="2:23" ht="121.15" customHeight="1">
      <c r="B49" s="1205"/>
      <c r="C49" s="190" t="s">
        <v>1108</v>
      </c>
      <c r="D49" s="221" t="s">
        <v>355</v>
      </c>
      <c r="E49" s="222">
        <f>9092.6-1997.2</f>
        <v>7095.4000000000005</v>
      </c>
      <c r="F49" s="222">
        <f>S49</f>
        <v>5769</v>
      </c>
      <c r="G49" s="222">
        <f>12116.8-6586.2</f>
        <v>5530.5999999999995</v>
      </c>
      <c r="H49" s="222">
        <f>12558.3-7050</f>
        <v>5508.2999999999993</v>
      </c>
      <c r="I49" s="222">
        <f>14392.5-8281.5</f>
        <v>6111</v>
      </c>
      <c r="J49" s="222">
        <v>6091</v>
      </c>
      <c r="K49" s="222">
        <v>6072.2</v>
      </c>
      <c r="L49" s="222">
        <f>6061.3-15</f>
        <v>6046.3</v>
      </c>
      <c r="M49" s="222">
        <f>5875.6-15-1.6</f>
        <v>5859</v>
      </c>
      <c r="N49" s="883">
        <f t="shared" ref="N49" si="13">M49-15</f>
        <v>5844</v>
      </c>
      <c r="O49" s="883">
        <f t="shared" ref="O49" si="14">N49-15</f>
        <v>5829</v>
      </c>
      <c r="P49" s="883">
        <f t="shared" ref="P49" si="15">O49-15</f>
        <v>5814</v>
      </c>
      <c r="Q49" s="222">
        <f t="shared" ref="Q49" si="16">P49-15</f>
        <v>5799</v>
      </c>
      <c r="R49" s="222">
        <f t="shared" ref="R49" si="17">Q49-15</f>
        <v>5784</v>
      </c>
      <c r="S49" s="222">
        <f t="shared" ref="S49" si="18">R49-15</f>
        <v>5769</v>
      </c>
      <c r="T49" s="394"/>
      <c r="U49" s="204"/>
      <c r="V49" s="181"/>
      <c r="W49" s="206"/>
    </row>
    <row r="50" spans="2:23" ht="121.9" customHeight="1">
      <c r="B50" s="1205"/>
      <c r="C50" s="184" t="s">
        <v>1109</v>
      </c>
      <c r="D50" s="221" t="s">
        <v>356</v>
      </c>
      <c r="E50" s="222"/>
      <c r="F50" s="222">
        <v>85.1</v>
      </c>
      <c r="G50" s="222"/>
      <c r="H50" s="222"/>
      <c r="I50" s="222"/>
      <c r="J50" s="222"/>
      <c r="K50" s="222"/>
      <c r="L50" s="222">
        <v>50</v>
      </c>
      <c r="M50" s="222">
        <v>56.5</v>
      </c>
      <c r="N50" s="883">
        <v>63.4</v>
      </c>
      <c r="O50" s="883">
        <v>69.2</v>
      </c>
      <c r="P50" s="883">
        <v>73.8</v>
      </c>
      <c r="Q50" s="222">
        <v>78.900000000000006</v>
      </c>
      <c r="R50" s="222">
        <v>85.1</v>
      </c>
      <c r="S50" s="222" t="s">
        <v>279</v>
      </c>
      <c r="T50" s="179"/>
      <c r="U50" s="214">
        <f>SUM(I50:P50)</f>
        <v>312.90000000000003</v>
      </c>
      <c r="V50" s="393">
        <f>SUM(I50:S50)</f>
        <v>476.90000000000009</v>
      </c>
      <c r="W50" s="206"/>
    </row>
    <row r="51" spans="2:23" ht="121.9" customHeight="1">
      <c r="B51" s="1205"/>
      <c r="C51" s="496" t="s">
        <v>1110</v>
      </c>
      <c r="D51" s="497" t="s">
        <v>356</v>
      </c>
      <c r="E51" s="494"/>
      <c r="F51" s="494">
        <v>1.27</v>
      </c>
      <c r="G51" s="494"/>
      <c r="H51" s="494"/>
      <c r="I51" s="494"/>
      <c r="J51" s="494"/>
      <c r="K51" s="494"/>
      <c r="L51" s="494">
        <v>1.42</v>
      </c>
      <c r="M51" s="494">
        <v>1.42</v>
      </c>
      <c r="N51" s="884">
        <v>1.41</v>
      </c>
      <c r="O51" s="884">
        <v>1.4</v>
      </c>
      <c r="P51" s="884">
        <v>1.4</v>
      </c>
      <c r="Q51" s="494">
        <v>1.32</v>
      </c>
      <c r="R51" s="494">
        <v>1.27</v>
      </c>
      <c r="S51" s="498" t="s">
        <v>279</v>
      </c>
      <c r="T51" s="179"/>
      <c r="U51" s="214"/>
      <c r="V51" s="393"/>
      <c r="W51" s="206"/>
    </row>
    <row r="52" spans="2:23" ht="138.75" customHeight="1">
      <c r="B52" s="1205"/>
      <c r="C52" s="184" t="s">
        <v>1111</v>
      </c>
      <c r="D52" s="490" t="s">
        <v>356</v>
      </c>
      <c r="E52" s="219"/>
      <c r="F52" s="219">
        <v>48.8</v>
      </c>
      <c r="G52" s="219"/>
      <c r="H52" s="219"/>
      <c r="I52" s="219"/>
      <c r="J52" s="219"/>
      <c r="K52" s="219"/>
      <c r="L52" s="219">
        <v>93</v>
      </c>
      <c r="M52" s="219">
        <v>86</v>
      </c>
      <c r="N52" s="882">
        <v>79.099999999999994</v>
      </c>
      <c r="O52" s="882">
        <v>72.099999999999994</v>
      </c>
      <c r="P52" s="882">
        <v>65.099999999999994</v>
      </c>
      <c r="Q52" s="219">
        <v>58.1</v>
      </c>
      <c r="R52" s="219">
        <v>48.8</v>
      </c>
      <c r="S52" s="222" t="s">
        <v>279</v>
      </c>
      <c r="T52" s="179"/>
      <c r="U52" s="214"/>
      <c r="V52" s="393"/>
      <c r="W52" s="206"/>
    </row>
    <row r="53" spans="2:23" ht="262.5" customHeight="1">
      <c r="B53" s="1205"/>
      <c r="C53" s="184" t="s">
        <v>1112</v>
      </c>
      <c r="D53" s="490" t="s">
        <v>356</v>
      </c>
      <c r="E53" s="219"/>
      <c r="F53" s="219">
        <v>80</v>
      </c>
      <c r="G53" s="219"/>
      <c r="H53" s="219"/>
      <c r="I53" s="219"/>
      <c r="J53" s="219"/>
      <c r="K53" s="219"/>
      <c r="L53" s="219">
        <v>0</v>
      </c>
      <c r="M53" s="219">
        <v>10</v>
      </c>
      <c r="N53" s="882">
        <v>20</v>
      </c>
      <c r="O53" s="882">
        <v>40</v>
      </c>
      <c r="P53" s="882">
        <v>53</v>
      </c>
      <c r="Q53" s="219">
        <v>66</v>
      </c>
      <c r="R53" s="219">
        <v>80</v>
      </c>
      <c r="S53" s="222" t="s">
        <v>279</v>
      </c>
      <c r="T53" s="179"/>
      <c r="U53" s="214"/>
      <c r="V53" s="393"/>
      <c r="W53" s="206"/>
    </row>
    <row r="54" spans="2:23" ht="207.75" customHeight="1">
      <c r="B54" s="1205"/>
      <c r="C54" s="184" t="s">
        <v>1113</v>
      </c>
      <c r="D54" s="847" t="s">
        <v>356</v>
      </c>
      <c r="E54" s="215"/>
      <c r="F54" s="215">
        <v>70</v>
      </c>
      <c r="G54" s="215"/>
      <c r="H54" s="215"/>
      <c r="I54" s="215"/>
      <c r="J54" s="215"/>
      <c r="K54" s="215"/>
      <c r="L54" s="215">
        <v>0</v>
      </c>
      <c r="M54" s="215">
        <v>10</v>
      </c>
      <c r="N54" s="878">
        <v>20</v>
      </c>
      <c r="O54" s="878">
        <v>35</v>
      </c>
      <c r="P54" s="878">
        <v>50</v>
      </c>
      <c r="Q54" s="215">
        <v>60</v>
      </c>
      <c r="R54" s="215">
        <v>70</v>
      </c>
      <c r="S54" s="222"/>
      <c r="T54" s="179"/>
      <c r="U54" s="214"/>
      <c r="V54" s="393"/>
      <c r="W54" s="206"/>
    </row>
    <row r="55" spans="2:23" ht="122.25" customHeight="1">
      <c r="B55" s="1206"/>
      <c r="C55" s="184" t="s">
        <v>1114</v>
      </c>
      <c r="D55" s="491" t="s">
        <v>356</v>
      </c>
      <c r="E55" s="215"/>
      <c r="F55" s="217">
        <f>R55</f>
        <v>48.379049999999999</v>
      </c>
      <c r="G55" s="217"/>
      <c r="H55" s="217"/>
      <c r="I55" s="217"/>
      <c r="J55" s="217"/>
      <c r="K55" s="217"/>
      <c r="L55" s="217">
        <v>0</v>
      </c>
      <c r="M55" s="217">
        <v>0</v>
      </c>
      <c r="N55" s="874">
        <v>40.205649999999999</v>
      </c>
      <c r="O55" s="874">
        <v>42.560360000000003</v>
      </c>
      <c r="P55" s="874">
        <v>44.091929999999998</v>
      </c>
      <c r="Q55" s="217">
        <v>46.25</v>
      </c>
      <c r="R55" s="217">
        <v>48.379049999999999</v>
      </c>
      <c r="S55" s="498" t="s">
        <v>279</v>
      </c>
      <c r="T55" s="179"/>
      <c r="U55" s="214"/>
      <c r="V55" s="393"/>
      <c r="W55" s="206"/>
    </row>
    <row r="56" spans="2:23">
      <c r="B56" s="224"/>
      <c r="C56" s="225"/>
      <c r="D56" s="226"/>
      <c r="E56" s="227"/>
      <c r="F56" s="227"/>
      <c r="G56" s="227"/>
      <c r="H56" s="227"/>
      <c r="I56" s="227"/>
      <c r="J56" s="227"/>
      <c r="K56" s="227"/>
      <c r="L56" s="227"/>
      <c r="M56" s="227"/>
      <c r="N56" s="885"/>
      <c r="O56" s="885"/>
      <c r="P56" s="885"/>
      <c r="Q56" s="227"/>
      <c r="R56" s="227"/>
      <c r="S56" s="227"/>
    </row>
    <row r="57" spans="2:23">
      <c r="B57" s="176" t="s">
        <v>395</v>
      </c>
      <c r="C57" s="225"/>
      <c r="D57" s="226"/>
      <c r="E57" s="227"/>
      <c r="F57" s="227"/>
      <c r="G57" s="227"/>
      <c r="H57" s="227">
        <f t="shared" ref="H57:K57" si="19">H50-G50</f>
        <v>0</v>
      </c>
      <c r="I57" s="227">
        <f t="shared" si="19"/>
        <v>0</v>
      </c>
      <c r="J57" s="227">
        <f t="shared" si="19"/>
        <v>0</v>
      </c>
      <c r="K57" s="227">
        <f t="shared" si="19"/>
        <v>0</v>
      </c>
      <c r="L57" s="227"/>
      <c r="M57" s="227"/>
      <c r="N57" s="885"/>
      <c r="O57" s="885"/>
      <c r="P57" s="885"/>
      <c r="Q57" s="227"/>
      <c r="R57" s="227"/>
      <c r="S57" s="227"/>
    </row>
    <row r="58" spans="2:23" hidden="1">
      <c r="B58" s="1172" t="s">
        <v>396</v>
      </c>
      <c r="C58" s="1172"/>
      <c r="D58" s="1172"/>
      <c r="E58" s="1172"/>
      <c r="F58" s="1172"/>
      <c r="G58" s="1172"/>
      <c r="H58" s="1172"/>
      <c r="I58" s="1172"/>
      <c r="J58" s="1172"/>
      <c r="K58" s="1172"/>
      <c r="L58" s="1172"/>
      <c r="M58" s="1172"/>
      <c r="N58" s="1172"/>
      <c r="O58" s="1172"/>
      <c r="P58" s="1172"/>
      <c r="Q58" s="383"/>
      <c r="R58" s="383"/>
      <c r="S58" s="383"/>
    </row>
    <row r="59" spans="2:23">
      <c r="B59" s="383" t="s">
        <v>397</v>
      </c>
      <c r="C59" s="383"/>
      <c r="D59" s="386"/>
      <c r="E59" s="383"/>
      <c r="F59" s="383"/>
      <c r="G59" s="383"/>
      <c r="H59" s="383"/>
      <c r="I59" s="383"/>
      <c r="J59" s="383"/>
      <c r="K59" s="383"/>
      <c r="L59" s="383"/>
      <c r="M59" s="723"/>
      <c r="N59" s="886"/>
      <c r="O59" s="886"/>
      <c r="P59" s="886"/>
      <c r="Q59" s="383"/>
      <c r="R59" s="383"/>
      <c r="S59" s="383"/>
    </row>
    <row r="60" spans="2:23" ht="30" customHeight="1">
      <c r="B60" s="1161" t="s">
        <v>398</v>
      </c>
      <c r="C60" s="1161"/>
      <c r="D60" s="1161"/>
      <c r="E60" s="1161"/>
      <c r="F60" s="1161"/>
      <c r="G60" s="1161"/>
      <c r="H60" s="1161"/>
      <c r="I60" s="1161"/>
      <c r="J60" s="1161"/>
      <c r="K60" s="1161"/>
      <c r="L60" s="1161"/>
      <c r="M60" s="1161"/>
      <c r="N60" s="1161"/>
      <c r="O60" s="1161"/>
      <c r="P60" s="1161"/>
      <c r="Q60" s="384"/>
      <c r="R60" s="384"/>
      <c r="S60" s="384"/>
    </row>
    <row r="61" spans="2:23">
      <c r="B61" s="1165" t="s">
        <v>399</v>
      </c>
      <c r="C61" s="1165"/>
      <c r="D61" s="1165"/>
      <c r="E61" s="1165"/>
      <c r="F61" s="1165"/>
      <c r="G61" s="1165"/>
      <c r="H61" s="1165"/>
      <c r="I61" s="1165"/>
      <c r="J61" s="1165"/>
      <c r="K61" s="1165"/>
      <c r="L61" s="1165"/>
      <c r="M61" s="1165"/>
      <c r="N61" s="1165"/>
      <c r="O61" s="1165"/>
      <c r="P61" s="1165"/>
      <c r="Q61" s="379"/>
      <c r="R61" s="379"/>
      <c r="S61" s="379"/>
    </row>
    <row r="62" spans="2:23">
      <c r="B62" s="177"/>
      <c r="E62" s="179" t="e">
        <f>E32/#REF!*100</f>
        <v>#REF!</v>
      </c>
      <c r="F62" s="179" t="e">
        <f>F32/#REF!*100</f>
        <v>#REF!</v>
      </c>
      <c r="G62" s="179" t="e">
        <f>G32/#REF!*100</f>
        <v>#REF!</v>
      </c>
      <c r="H62" s="179" t="e">
        <f>H32/#REF!*100</f>
        <v>#REF!</v>
      </c>
      <c r="I62" s="179" t="e">
        <f>I32/#REF!*100</f>
        <v>#REF!</v>
      </c>
      <c r="J62" s="179" t="e">
        <f>J32/#REF!*100</f>
        <v>#REF!</v>
      </c>
      <c r="K62" s="179" t="e">
        <f>K32/#REF!*100</f>
        <v>#REF!</v>
      </c>
      <c r="L62" s="179" t="e">
        <f>L32/#REF!*100</f>
        <v>#REF!</v>
      </c>
      <c r="M62" s="179" t="e">
        <f>M32/#REF!*100</f>
        <v>#REF!</v>
      </c>
      <c r="N62" s="887" t="e">
        <f>N32/#REF!*100</f>
        <v>#REF!</v>
      </c>
      <c r="O62" s="887" t="e">
        <f>O32/#REF!*100</f>
        <v>#REF!</v>
      </c>
      <c r="P62" s="887" t="e">
        <f>P32/#REF!*100</f>
        <v>#REF!</v>
      </c>
      <c r="Q62" s="179"/>
      <c r="R62" s="179"/>
      <c r="S62" s="179"/>
    </row>
    <row r="63" spans="2:23">
      <c r="J63" s="170"/>
      <c r="K63" s="170"/>
    </row>
    <row r="64" spans="2:23">
      <c r="E64" s="208" t="e">
        <f>#REF!*0.36</f>
        <v>#REF!</v>
      </c>
      <c r="F64" s="208" t="e">
        <f>#REF!*0.36</f>
        <v>#REF!</v>
      </c>
      <c r="G64" s="208" t="e">
        <f>#REF!*0.36</f>
        <v>#REF!</v>
      </c>
      <c r="H64" s="208" t="e">
        <f>#REF!*0.36</f>
        <v>#REF!</v>
      </c>
      <c r="I64" s="208" t="e">
        <f>#REF!*0.36</f>
        <v>#REF!</v>
      </c>
      <c r="J64" s="208" t="e">
        <f>#REF!*0.36</f>
        <v>#REF!</v>
      </c>
      <c r="K64" s="208" t="e">
        <f>#REF!*0.36</f>
        <v>#REF!</v>
      </c>
      <c r="L64" s="208" t="e">
        <f>#REF!*0.36</f>
        <v>#REF!</v>
      </c>
      <c r="M64" s="208" t="e">
        <f>#REF!*0.36</f>
        <v>#REF!</v>
      </c>
      <c r="N64" s="888" t="e">
        <f>#REF!*0.36</f>
        <v>#REF!</v>
      </c>
      <c r="O64" s="888" t="e">
        <f>#REF!*0.36</f>
        <v>#REF!</v>
      </c>
      <c r="P64" s="888" t="e">
        <f>#REF!*0.36</f>
        <v>#REF!</v>
      </c>
      <c r="Q64" s="208"/>
      <c r="R64" s="208"/>
      <c r="S64" s="208"/>
    </row>
    <row r="65" spans="4:19">
      <c r="J65" s="170"/>
      <c r="K65" s="170"/>
    </row>
    <row r="66" spans="4:19">
      <c r="E66" s="208" t="e">
        <f>#REF!+#REF!</f>
        <v>#REF!</v>
      </c>
      <c r="F66" s="208" t="e">
        <f>#REF!+#REF!</f>
        <v>#REF!</v>
      </c>
      <c r="G66" s="208" t="e">
        <f>#REF!+#REF!</f>
        <v>#REF!</v>
      </c>
      <c r="H66" s="208" t="e">
        <f>#REF!+#REF!</f>
        <v>#REF!</v>
      </c>
      <c r="I66" s="208" t="e">
        <f>#REF!+#REF!</f>
        <v>#REF!</v>
      </c>
      <c r="J66" s="208" t="e">
        <f>#REF!+#REF!</f>
        <v>#REF!</v>
      </c>
      <c r="K66" s="208" t="e">
        <f>#REF!+#REF!</f>
        <v>#REF!</v>
      </c>
      <c r="L66" s="208" t="e">
        <f>#REF!+#REF!</f>
        <v>#REF!</v>
      </c>
      <c r="M66" s="208" t="e">
        <f>#REF!+#REF!</f>
        <v>#REF!</v>
      </c>
      <c r="N66" s="888" t="e">
        <f>#REF!+#REF!</f>
        <v>#REF!</v>
      </c>
      <c r="O66" s="888" t="e">
        <f>#REF!+#REF!</f>
        <v>#REF!</v>
      </c>
      <c r="P66" s="888" t="e">
        <f>#REF!+#REF!</f>
        <v>#REF!</v>
      </c>
      <c r="Q66" s="208"/>
      <c r="R66" s="208"/>
      <c r="S66" s="208"/>
    </row>
    <row r="67" spans="4:19">
      <c r="J67" s="170"/>
      <c r="K67" s="170"/>
    </row>
    <row r="68" spans="4:19">
      <c r="D68" s="477">
        <v>2012</v>
      </c>
      <c r="E68" s="478">
        <f>10057.5</f>
        <v>10057.5</v>
      </c>
      <c r="F68" s="442"/>
      <c r="G68" s="479">
        <f>E68/12738.6*100</f>
        <v>78.952946163628653</v>
      </c>
      <c r="H68" s="480">
        <f t="shared" ref="H68:H81" si="20">E68/17820*100</f>
        <v>56.439393939393945</v>
      </c>
      <c r="I68" s="442"/>
      <c r="J68" s="442"/>
      <c r="K68" s="442"/>
      <c r="L68" s="442"/>
      <c r="M68" s="477">
        <v>2012</v>
      </c>
      <c r="N68" s="889"/>
      <c r="O68" s="889"/>
      <c r="P68" s="889"/>
    </row>
    <row r="69" spans="4:19">
      <c r="D69" s="477">
        <v>2013</v>
      </c>
      <c r="E69" s="481">
        <f>10057.5+G19+G20</f>
        <v>10105.5</v>
      </c>
      <c r="F69" s="482"/>
      <c r="G69" s="479">
        <f>E69/G16*100</f>
        <v>79.193605266251325</v>
      </c>
      <c r="H69" s="480">
        <f t="shared" si="20"/>
        <v>56.708754208754208</v>
      </c>
      <c r="I69" s="442"/>
      <c r="J69" s="442"/>
      <c r="K69" s="442"/>
      <c r="L69" s="442"/>
      <c r="M69" s="477">
        <v>2013</v>
      </c>
      <c r="N69" s="889"/>
      <c r="O69" s="889"/>
      <c r="P69" s="889"/>
    </row>
    <row r="70" spans="4:19">
      <c r="D70" s="477">
        <v>2014</v>
      </c>
      <c r="E70" s="479">
        <f>10222+H19+H20</f>
        <v>10260.300000000001</v>
      </c>
      <c r="F70" s="479"/>
      <c r="G70" s="479">
        <f>E70/H16*100</f>
        <v>80.246990825831588</v>
      </c>
      <c r="H70" s="480">
        <f t="shared" si="20"/>
        <v>57.57744107744108</v>
      </c>
      <c r="I70" s="442"/>
      <c r="J70" s="442"/>
      <c r="K70" s="442"/>
      <c r="L70" s="442"/>
      <c r="M70" s="477">
        <v>2014</v>
      </c>
      <c r="N70" s="889"/>
      <c r="O70" s="889"/>
      <c r="P70" s="889"/>
    </row>
    <row r="71" spans="4:19">
      <c r="D71" s="477">
        <v>2015</v>
      </c>
      <c r="E71" s="483">
        <v>10313.043</v>
      </c>
      <c r="F71" s="484"/>
      <c r="G71" s="479">
        <f>E71/I16*100</f>
        <v>80.56120767097606</v>
      </c>
      <c r="H71" s="480">
        <f t="shared" si="20"/>
        <v>57.873417508417504</v>
      </c>
      <c r="I71" s="442"/>
      <c r="J71" s="442"/>
      <c r="K71" s="442"/>
      <c r="L71" s="442"/>
      <c r="M71" s="477">
        <v>2015</v>
      </c>
      <c r="N71" s="889"/>
      <c r="O71" s="889"/>
      <c r="P71" s="889"/>
    </row>
    <row r="72" spans="4:19">
      <c r="D72" s="477">
        <v>2016</v>
      </c>
      <c r="E72" s="483">
        <v>10316.638999999999</v>
      </c>
      <c r="F72" s="478"/>
      <c r="G72" s="479">
        <f>E72/J16*100</f>
        <v>80.7413010471614</v>
      </c>
      <c r="H72" s="480">
        <f t="shared" si="20"/>
        <v>57.893597081930416</v>
      </c>
      <c r="I72" s="442">
        <v>1550.11</v>
      </c>
      <c r="J72" s="442">
        <v>3148.819</v>
      </c>
      <c r="K72" s="442">
        <f t="shared" ref="K72:K77" si="21">I72*100/J72</f>
        <v>49.228297974573962</v>
      </c>
      <c r="L72" s="442"/>
      <c r="M72" s="477">
        <v>2016</v>
      </c>
      <c r="N72" s="889"/>
      <c r="O72" s="889"/>
      <c r="P72" s="889"/>
    </row>
    <row r="73" spans="4:19">
      <c r="D73" s="477">
        <v>2017</v>
      </c>
      <c r="E73" s="483">
        <v>10332.061</v>
      </c>
      <c r="F73" s="478"/>
      <c r="G73" s="479">
        <f>E73/K16*100</f>
        <v>81.087923213360753</v>
      </c>
      <c r="H73" s="480">
        <f t="shared" si="20"/>
        <v>57.980140291806961</v>
      </c>
      <c r="I73" s="442">
        <v>1542.32</v>
      </c>
      <c r="J73" s="442">
        <f>3147.061</f>
        <v>3147.0610000000001</v>
      </c>
      <c r="K73" s="442">
        <f t="shared" si="21"/>
        <v>49.008265171853992</v>
      </c>
      <c r="L73" s="442">
        <f>55*100/266</f>
        <v>20.676691729323309</v>
      </c>
      <c r="M73" s="477">
        <v>2017</v>
      </c>
      <c r="N73" s="889"/>
      <c r="O73" s="889"/>
      <c r="P73" s="889"/>
    </row>
    <row r="74" spans="4:19">
      <c r="D74" s="477">
        <v>2018</v>
      </c>
      <c r="E74" s="483">
        <f>E73+L19+L20</f>
        <v>10349.491</v>
      </c>
      <c r="F74" s="478"/>
      <c r="G74" s="479">
        <f>E74/L16*100</f>
        <v>81.28151040568379</v>
      </c>
      <c r="H74" s="480">
        <f t="shared" si="20"/>
        <v>58.077951739618406</v>
      </c>
      <c r="I74" s="442">
        <v>1540.32</v>
      </c>
      <c r="J74" s="442">
        <f>J73</f>
        <v>3147.0610000000001</v>
      </c>
      <c r="K74" s="442">
        <f t="shared" si="21"/>
        <v>48.944713813936239</v>
      </c>
      <c r="L74" s="442">
        <f>(55-3)*100/266</f>
        <v>19.548872180451127</v>
      </c>
      <c r="M74" s="477">
        <v>2018</v>
      </c>
      <c r="N74" s="889"/>
      <c r="O74" s="889"/>
      <c r="P74" s="889"/>
    </row>
    <row r="75" spans="4:19">
      <c r="D75" s="477">
        <v>2019</v>
      </c>
      <c r="E75" s="485">
        <f>10338.915+M19+M21-2.9</f>
        <v>10348.685000000001</v>
      </c>
      <c r="F75" s="486"/>
      <c r="G75" s="479">
        <f>E75/M16*100</f>
        <v>81.294321345361823</v>
      </c>
      <c r="H75" s="480">
        <f t="shared" si="20"/>
        <v>58.073428731762078</v>
      </c>
      <c r="I75" s="442">
        <f>1539.77-10</f>
        <v>1529.77</v>
      </c>
      <c r="J75" s="442">
        <v>3146.2489999999998</v>
      </c>
      <c r="K75" s="442">
        <f t="shared" si="21"/>
        <v>48.622025783718968</v>
      </c>
      <c r="L75" s="442">
        <f>51/271*100</f>
        <v>18.819188191881921</v>
      </c>
      <c r="M75" s="477">
        <v>2019</v>
      </c>
      <c r="N75" s="889"/>
      <c r="O75" s="889"/>
      <c r="P75" s="889"/>
    </row>
    <row r="76" spans="4:19">
      <c r="D76" s="477">
        <v>2020</v>
      </c>
      <c r="E76" s="483">
        <f>10715.768+N19+N21</f>
        <v>10729.754000000001</v>
      </c>
      <c r="F76" s="486"/>
      <c r="G76" s="479">
        <f>E76/N16*100</f>
        <v>84.274411314425066</v>
      </c>
      <c r="H76" s="480">
        <f>E76/17820*100</f>
        <v>60.211863075196412</v>
      </c>
      <c r="I76" s="442">
        <f>I75-39.6</f>
        <v>1490.17</v>
      </c>
      <c r="J76" s="442">
        <v>3146.2489999999998</v>
      </c>
      <c r="K76" s="442">
        <f t="shared" si="21"/>
        <v>47.36338414410303</v>
      </c>
      <c r="L76" s="442">
        <f>50/27*100</f>
        <v>185.18518518518519</v>
      </c>
      <c r="M76" s="477">
        <v>2020</v>
      </c>
      <c r="N76" s="889"/>
      <c r="O76" s="889"/>
      <c r="P76" s="889"/>
    </row>
    <row r="77" spans="4:19">
      <c r="D77" s="477">
        <v>2021</v>
      </c>
      <c r="E77" s="483">
        <f>E76+O19+O21</f>
        <v>10743.199000000001</v>
      </c>
      <c r="F77" s="486"/>
      <c r="G77" s="479">
        <f>E77/O16*100</f>
        <v>84.37573752790972</v>
      </c>
      <c r="H77" s="480">
        <f t="shared" si="20"/>
        <v>60.287312008978674</v>
      </c>
      <c r="I77" s="442">
        <f>I76-166.13</f>
        <v>1324.04</v>
      </c>
      <c r="J77" s="442">
        <v>3146.2489999999998</v>
      </c>
      <c r="K77" s="442">
        <f t="shared" si="21"/>
        <v>42.083128194875869</v>
      </c>
      <c r="L77" s="442"/>
      <c r="M77" s="477">
        <v>2021</v>
      </c>
      <c r="N77" s="889"/>
      <c r="O77" s="889"/>
      <c r="P77" s="889"/>
    </row>
    <row r="78" spans="4:19">
      <c r="D78" s="477">
        <v>2022</v>
      </c>
      <c r="E78" s="483">
        <f>E77+P19+P21</f>
        <v>10759.049000000001</v>
      </c>
      <c r="F78" s="486"/>
      <c r="G78" s="479">
        <f>E78/P16*100</f>
        <v>84.478658184448136</v>
      </c>
      <c r="H78" s="480">
        <f t="shared" si="20"/>
        <v>60.376257014590351</v>
      </c>
      <c r="I78" s="442">
        <f>I77-102.1</f>
        <v>1221.94</v>
      </c>
      <c r="J78" s="442">
        <v>3146.2489999999998</v>
      </c>
      <c r="K78" s="442">
        <f t="shared" ref="K78:K81" si="22">I78*100/J78</f>
        <v>38.837994068492357</v>
      </c>
      <c r="L78" s="442"/>
      <c r="M78" s="477">
        <v>2022</v>
      </c>
      <c r="N78" s="889"/>
      <c r="O78" s="889"/>
      <c r="P78" s="889"/>
    </row>
    <row r="79" spans="4:19">
      <c r="D79" s="477">
        <v>2023</v>
      </c>
      <c r="E79" s="483">
        <f>E78+Q19+Q21</f>
        <v>10759.049000000001</v>
      </c>
      <c r="F79" s="442"/>
      <c r="G79" s="479">
        <f>E79/Q16*100</f>
        <v>84.478658184448136</v>
      </c>
      <c r="H79" s="480">
        <f t="shared" si="20"/>
        <v>60.376257014590351</v>
      </c>
      <c r="I79" s="442">
        <f>I78-159.708</f>
        <v>1062.232</v>
      </c>
      <c r="J79" s="442">
        <v>3146.2489999999998</v>
      </c>
      <c r="K79" s="442">
        <f t="shared" si="22"/>
        <v>33.761854195265535</v>
      </c>
      <c r="L79" s="442"/>
      <c r="M79" s="477">
        <v>2023</v>
      </c>
      <c r="N79" s="889"/>
      <c r="O79" s="889"/>
      <c r="P79" s="889"/>
    </row>
    <row r="80" spans="4:19">
      <c r="D80" s="477">
        <v>2024</v>
      </c>
      <c r="E80" s="483">
        <f>E79+R19+R21</f>
        <v>10767.549000000001</v>
      </c>
      <c r="F80" s="442"/>
      <c r="G80" s="479">
        <f>E80/R16*100</f>
        <v>84.489010358262377</v>
      </c>
      <c r="H80" s="480">
        <f t="shared" si="20"/>
        <v>60.423956228956236</v>
      </c>
      <c r="I80" s="442">
        <f>I79-159.708</f>
        <v>902.524</v>
      </c>
      <c r="J80" s="442">
        <v>3146.2489999999998</v>
      </c>
      <c r="K80" s="442">
        <f t="shared" si="22"/>
        <v>28.68571432203872</v>
      </c>
      <c r="L80" s="442"/>
      <c r="M80" s="477">
        <v>2024</v>
      </c>
      <c r="N80" s="889"/>
      <c r="O80" s="889"/>
      <c r="P80" s="889"/>
    </row>
    <row r="81" spans="4:19">
      <c r="D81" s="477">
        <v>2025</v>
      </c>
      <c r="E81" s="483">
        <f>E80+S19+S21</f>
        <v>10767.549000000001</v>
      </c>
      <c r="F81" s="442"/>
      <c r="G81" s="479">
        <f>E81/S16*100</f>
        <v>84.489010358262377</v>
      </c>
      <c r="H81" s="480">
        <f t="shared" si="20"/>
        <v>60.423956228956236</v>
      </c>
      <c r="I81" s="442">
        <f>I80-136.735</f>
        <v>765.78899999999999</v>
      </c>
      <c r="J81" s="442">
        <v>3146.2489999999998</v>
      </c>
      <c r="K81" s="442">
        <f t="shared" si="22"/>
        <v>24.339745519188085</v>
      </c>
      <c r="L81" s="442"/>
      <c r="M81" s="477">
        <v>2025</v>
      </c>
      <c r="N81" s="889"/>
      <c r="O81" s="889"/>
      <c r="P81" s="889"/>
    </row>
    <row r="82" spans="4:19">
      <c r="D82" s="477"/>
      <c r="E82" s="487">
        <f t="shared" ref="E82:P82" si="23">E16+E44</f>
        <v>23434.690000000002</v>
      </c>
      <c r="F82" s="487">
        <f t="shared" si="23"/>
        <v>27390.129000000001</v>
      </c>
      <c r="G82" s="487">
        <f t="shared" si="23"/>
        <v>24894.6</v>
      </c>
      <c r="H82" s="487">
        <f t="shared" si="23"/>
        <v>25344.199999999997</v>
      </c>
      <c r="I82" s="487">
        <f t="shared" si="23"/>
        <v>25362.799999999999</v>
      </c>
      <c r="J82" s="487">
        <f t="shared" si="23"/>
        <v>27171.1</v>
      </c>
      <c r="K82" s="487">
        <f t="shared" si="23"/>
        <v>27363.8</v>
      </c>
      <c r="L82" s="487">
        <f t="shared" si="23"/>
        <v>27359.897000000001</v>
      </c>
      <c r="M82" s="487">
        <f t="shared" si="23"/>
        <v>27363.409</v>
      </c>
      <c r="N82" s="890">
        <f t="shared" si="23"/>
        <v>27365.934000000001</v>
      </c>
      <c r="O82" s="890">
        <f t="shared" si="23"/>
        <v>27367.279000000002</v>
      </c>
      <c r="P82" s="890">
        <f t="shared" si="23"/>
        <v>27370.829000000002</v>
      </c>
      <c r="Q82" s="201"/>
      <c r="R82" s="201"/>
      <c r="S82" s="201"/>
    </row>
    <row r="83" spans="4:19">
      <c r="D83" s="477"/>
      <c r="E83" s="442"/>
      <c r="F83" s="442"/>
      <c r="G83" s="442"/>
      <c r="H83" s="442"/>
      <c r="I83" s="442"/>
      <c r="J83" s="442"/>
      <c r="K83" s="442"/>
      <c r="L83" s="442"/>
      <c r="M83" s="442"/>
      <c r="N83" s="889"/>
      <c r="O83" s="889"/>
      <c r="P83" s="889"/>
    </row>
    <row r="84" spans="4:19">
      <c r="J84" s="170"/>
      <c r="K84" s="170"/>
    </row>
    <row r="85" spans="4:19">
      <c r="J85" s="170"/>
      <c r="K85" s="170"/>
    </row>
    <row r="86" spans="4:19">
      <c r="J86" s="170"/>
      <c r="K86" s="170"/>
    </row>
    <row r="87" spans="4:19">
      <c r="J87" s="170"/>
      <c r="K87" s="170"/>
    </row>
    <row r="88" spans="4:19">
      <c r="J88" s="170"/>
      <c r="K88" s="170"/>
    </row>
    <row r="89" spans="4:19">
      <c r="J89" s="170"/>
      <c r="K89" s="170"/>
    </row>
    <row r="90" spans="4:19">
      <c r="J90" s="170"/>
      <c r="K90" s="170"/>
    </row>
    <row r="91" spans="4:19">
      <c r="J91" s="170"/>
      <c r="K91" s="170"/>
    </row>
    <row r="92" spans="4:19">
      <c r="J92" s="170"/>
      <c r="K92" s="170"/>
    </row>
    <row r="93" spans="4:19">
      <c r="J93" s="170"/>
      <c r="K93" s="170"/>
    </row>
    <row r="94" spans="4:19">
      <c r="J94" s="170"/>
      <c r="K94" s="170"/>
    </row>
    <row r="95" spans="4:19">
      <c r="J95" s="170"/>
      <c r="K95" s="170"/>
    </row>
    <row r="96" spans="4:19">
      <c r="J96" s="170"/>
      <c r="K96" s="170"/>
    </row>
    <row r="97" spans="10:11">
      <c r="J97" s="170"/>
      <c r="K97" s="170"/>
    </row>
    <row r="98" spans="10:11">
      <c r="J98" s="170"/>
      <c r="K98" s="170"/>
    </row>
    <row r="99" spans="10:11">
      <c r="J99" s="170"/>
      <c r="K99" s="170"/>
    </row>
    <row r="100" spans="10:11">
      <c r="J100" s="170"/>
      <c r="K100" s="170"/>
    </row>
    <row r="101" spans="10:11">
      <c r="J101" s="170"/>
      <c r="K101" s="170"/>
    </row>
    <row r="102" spans="10:11">
      <c r="J102" s="170"/>
      <c r="K102" s="170"/>
    </row>
    <row r="103" spans="10:11">
      <c r="J103" s="170"/>
      <c r="K103" s="170"/>
    </row>
    <row r="104" spans="10:11">
      <c r="J104" s="170"/>
      <c r="K104" s="170"/>
    </row>
    <row r="105" spans="10:11">
      <c r="J105" s="170"/>
      <c r="K105" s="170"/>
    </row>
    <row r="106" spans="10:11">
      <c r="J106" s="170"/>
      <c r="K106" s="170"/>
    </row>
    <row r="107" spans="10:11">
      <c r="J107" s="170"/>
      <c r="K107" s="170"/>
    </row>
    <row r="108" spans="10:11">
      <c r="J108" s="170"/>
      <c r="K108" s="170"/>
    </row>
    <row r="109" spans="10:11">
      <c r="J109" s="170"/>
      <c r="K109" s="170"/>
    </row>
    <row r="110" spans="10:11">
      <c r="J110" s="170"/>
      <c r="K110" s="170"/>
    </row>
    <row r="111" spans="10:11">
      <c r="J111" s="170"/>
      <c r="K111" s="170"/>
    </row>
    <row r="112" spans="10:11">
      <c r="J112" s="170"/>
      <c r="K112" s="170"/>
    </row>
    <row r="113" spans="10:11">
      <c r="J113" s="170"/>
      <c r="K113" s="170"/>
    </row>
    <row r="114" spans="10:11">
      <c r="J114" s="170"/>
      <c r="K114" s="170"/>
    </row>
    <row r="115" spans="10:11">
      <c r="J115" s="170"/>
      <c r="K115" s="170"/>
    </row>
    <row r="116" spans="10:11">
      <c r="J116" s="170"/>
      <c r="K116" s="170"/>
    </row>
    <row r="117" spans="10:11">
      <c r="J117" s="170"/>
      <c r="K117" s="170"/>
    </row>
    <row r="118" spans="10:11">
      <c r="J118" s="170"/>
      <c r="K118" s="170"/>
    </row>
    <row r="119" spans="10:11">
      <c r="J119" s="170"/>
      <c r="K119" s="170"/>
    </row>
    <row r="120" spans="10:11">
      <c r="J120" s="170"/>
      <c r="K120" s="170"/>
    </row>
  </sheetData>
  <mergeCells count="18">
    <mergeCell ref="B9:P9"/>
    <mergeCell ref="K2:P2"/>
    <mergeCell ref="K3:P3"/>
    <mergeCell ref="B6:P6"/>
    <mergeCell ref="B7:P7"/>
    <mergeCell ref="B8:P8"/>
    <mergeCell ref="B60:P60"/>
    <mergeCell ref="G11:S11"/>
    <mergeCell ref="B61:P61"/>
    <mergeCell ref="B11:B12"/>
    <mergeCell ref="C11:C12"/>
    <mergeCell ref="D11:D12"/>
    <mergeCell ref="E11:E12"/>
    <mergeCell ref="F11:F12"/>
    <mergeCell ref="B13:P13"/>
    <mergeCell ref="B14:B30"/>
    <mergeCell ref="B58:P58"/>
    <mergeCell ref="B31:B55"/>
  </mergeCells>
  <printOptions horizontalCentered="1"/>
  <pageMargins left="0.70866141732283472" right="0.70866141732283472" top="0.74803149606299213" bottom="0.74803149606299213" header="0.31496062992125984" footer="0.31496062992125984"/>
  <pageSetup paperSize="9" scale="43" fitToHeight="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26"/>
  <sheetViews>
    <sheetView topLeftCell="A22" zoomScale="110" zoomScaleNormal="110" workbookViewId="0">
      <selection activeCell="H22" sqref="H1:J1048576"/>
    </sheetView>
  </sheetViews>
  <sheetFormatPr defaultRowHeight="15"/>
  <cols>
    <col min="1" max="1" width="36.28515625" customWidth="1"/>
    <col min="2" max="2" width="14.85546875" style="170" customWidth="1"/>
    <col min="3" max="3" width="15.85546875" style="170" customWidth="1"/>
    <col min="4" max="4" width="14.7109375" style="170" customWidth="1"/>
    <col min="5" max="5" width="17" style="170" customWidth="1"/>
    <col min="6" max="7" width="15.28515625" style="170" customWidth="1"/>
    <col min="8" max="9" width="15.28515625" style="907" customWidth="1"/>
    <col min="10" max="10" width="19.7109375" style="907" customWidth="1"/>
    <col min="11" max="12" width="19.7109375" style="170" customWidth="1"/>
    <col min="13" max="13" width="19.7109375" customWidth="1"/>
    <col min="14" max="14" width="17.5703125" customWidth="1"/>
    <col min="15" max="15" width="9.85546875" bestFit="1" customWidth="1"/>
    <col min="16" max="16" width="16.85546875" customWidth="1"/>
    <col min="17" max="17" width="16" customWidth="1"/>
    <col min="18" max="18" width="21.42578125" customWidth="1"/>
    <col min="19" max="19" width="14.7109375" bestFit="1" customWidth="1"/>
    <col min="24" max="24" width="18" customWidth="1"/>
    <col min="29" max="29" width="16.85546875" customWidth="1"/>
    <col min="30" max="30" width="22" customWidth="1"/>
  </cols>
  <sheetData>
    <row r="1" spans="1:30" ht="40.5" customHeight="1" thickBot="1">
      <c r="A1" s="1187" t="s">
        <v>400</v>
      </c>
      <c r="B1" s="1192" t="s">
        <v>401</v>
      </c>
      <c r="C1" s="1193"/>
      <c r="D1" s="1193"/>
      <c r="E1" s="1193"/>
      <c r="F1" s="1193"/>
      <c r="G1" s="1193"/>
      <c r="H1" s="1193"/>
      <c r="I1" s="1193"/>
      <c r="J1" s="1193"/>
      <c r="K1" s="1193"/>
      <c r="L1" s="1193"/>
      <c r="M1" s="1193"/>
    </row>
    <row r="2" spans="1:30" ht="15.75" customHeight="1">
      <c r="A2" s="1188"/>
      <c r="B2" s="1190" t="s">
        <v>402</v>
      </c>
      <c r="C2" s="1192" t="s">
        <v>403</v>
      </c>
      <c r="D2" s="1193"/>
      <c r="E2" s="1193"/>
      <c r="F2" s="1193"/>
      <c r="G2" s="1193"/>
      <c r="H2" s="1193"/>
      <c r="I2" s="1193"/>
      <c r="J2" s="1193"/>
      <c r="K2" s="1193"/>
      <c r="L2" s="1193"/>
      <c r="M2" s="1193"/>
    </row>
    <row r="3" spans="1:30" ht="15.75" thickBot="1">
      <c r="A3" s="1189"/>
      <c r="B3" s="1191"/>
      <c r="C3" s="449">
        <v>2015</v>
      </c>
      <c r="D3" s="449">
        <v>2016</v>
      </c>
      <c r="E3" s="449">
        <v>2017</v>
      </c>
      <c r="F3" s="449">
        <v>2018</v>
      </c>
      <c r="G3" s="449">
        <v>2019</v>
      </c>
      <c r="H3" s="448">
        <v>2020</v>
      </c>
      <c r="I3" s="448">
        <v>2021</v>
      </c>
      <c r="J3" s="448">
        <v>2022</v>
      </c>
      <c r="K3" s="449">
        <v>2023</v>
      </c>
      <c r="L3" s="449">
        <v>2024</v>
      </c>
      <c r="M3" s="448">
        <v>2025</v>
      </c>
    </row>
    <row r="4" spans="1:30" ht="21.75" customHeight="1">
      <c r="A4" s="1194" t="s">
        <v>404</v>
      </c>
      <c r="B4" s="1195"/>
      <c r="C4" s="1195"/>
      <c r="D4" s="1195"/>
      <c r="E4" s="1195"/>
      <c r="F4" s="1195"/>
      <c r="G4" s="1195"/>
      <c r="H4" s="1195"/>
      <c r="I4" s="1195"/>
      <c r="J4" s="1195"/>
      <c r="K4" s="1195"/>
      <c r="L4" s="1195"/>
      <c r="M4" s="1195"/>
      <c r="P4" s="228" t="s">
        <v>402</v>
      </c>
      <c r="AC4" s="229"/>
    </row>
    <row r="5" spans="1:30">
      <c r="A5" s="831" t="s">
        <v>405</v>
      </c>
      <c r="B5" s="618">
        <f t="shared" ref="B5:B26" si="0">SUM(C5:M5)</f>
        <v>159990188.79999995</v>
      </c>
      <c r="C5" s="618">
        <f t="shared" ref="C5:M5" si="1">SUM(C6:C9)</f>
        <v>7389522.1000000006</v>
      </c>
      <c r="D5" s="618">
        <v>8542648.9000000004</v>
      </c>
      <c r="E5" s="618">
        <f t="shared" si="1"/>
        <v>9673332</v>
      </c>
      <c r="F5" s="618">
        <f t="shared" si="1"/>
        <v>11700623.800000001</v>
      </c>
      <c r="G5" s="618">
        <f t="shared" si="1"/>
        <v>17332846.300000001</v>
      </c>
      <c r="H5" s="832">
        <f>SUM(H6:H9)</f>
        <v>14356503.6</v>
      </c>
      <c r="I5" s="832">
        <f t="shared" si="1"/>
        <v>25482655.299999997</v>
      </c>
      <c r="J5" s="832">
        <f t="shared" si="1"/>
        <v>27309283.699999999</v>
      </c>
      <c r="K5" s="618">
        <f t="shared" si="1"/>
        <v>18519919.699999999</v>
      </c>
      <c r="L5" s="618">
        <f t="shared" si="1"/>
        <v>9841426.6999999993</v>
      </c>
      <c r="M5" s="832">
        <f t="shared" si="1"/>
        <v>9841426.6999999993</v>
      </c>
      <c r="N5" s="359">
        <v>77708580.819999993</v>
      </c>
      <c r="O5" s="358">
        <f>B5-N5</f>
        <v>82281607.979999959</v>
      </c>
      <c r="P5" s="231">
        <f>B5-72919374.8</f>
        <v>87070813.999999955</v>
      </c>
      <c r="AC5" s="229">
        <v>72919374.799999997</v>
      </c>
      <c r="AD5" s="229">
        <f>B5-AC5</f>
        <v>87070813.999999955</v>
      </c>
    </row>
    <row r="6" spans="1:30">
      <c r="A6" s="833" t="s">
        <v>406</v>
      </c>
      <c r="B6" s="618">
        <f t="shared" si="0"/>
        <v>34446255.520000003</v>
      </c>
      <c r="C6" s="618">
        <f t="shared" ref="C6:M6" si="2">C12+C18+C24</f>
        <v>1562163.2000000002</v>
      </c>
      <c r="D6" s="618">
        <f t="shared" si="2"/>
        <v>733434.82</v>
      </c>
      <c r="E6" s="618">
        <f t="shared" si="2"/>
        <v>1254745.3999999999</v>
      </c>
      <c r="F6" s="618">
        <f t="shared" si="2"/>
        <v>1503269.9</v>
      </c>
      <c r="G6" s="618">
        <f t="shared" si="2"/>
        <v>4802561.9000000004</v>
      </c>
      <c r="H6" s="832">
        <f t="shared" si="2"/>
        <v>2225662.1</v>
      </c>
      <c r="I6" s="832">
        <f t="shared" si="2"/>
        <v>9206790.0999999996</v>
      </c>
      <c r="J6" s="832">
        <f t="shared" si="2"/>
        <v>9368188.0999999996</v>
      </c>
      <c r="K6" s="618">
        <f t="shared" si="2"/>
        <v>3789440</v>
      </c>
      <c r="L6" s="618">
        <f t="shared" si="2"/>
        <v>0</v>
      </c>
      <c r="M6" s="832">
        <f t="shared" si="2"/>
        <v>0</v>
      </c>
      <c r="N6" s="359">
        <v>8645005.8200000003</v>
      </c>
      <c r="O6" s="358">
        <f>B6-N6</f>
        <v>25801249.700000003</v>
      </c>
      <c r="P6" s="231">
        <f>B6-10917605.7</f>
        <v>23528649.820000004</v>
      </c>
      <c r="AC6" s="229">
        <v>10917605.699999999</v>
      </c>
      <c r="AD6" s="229">
        <f>B6-AC6</f>
        <v>23528649.820000004</v>
      </c>
    </row>
    <row r="7" spans="1:30">
      <c r="A7" s="831" t="s">
        <v>407</v>
      </c>
      <c r="B7" s="618">
        <f t="shared" si="0"/>
        <v>114334062.59999999</v>
      </c>
      <c r="C7" s="618">
        <f t="shared" ref="C7:M7" si="3">C13+C19+C25</f>
        <v>5446414.7000000002</v>
      </c>
      <c r="D7" s="618">
        <f t="shared" si="3"/>
        <v>7684169.6000000006</v>
      </c>
      <c r="E7" s="618">
        <f t="shared" si="3"/>
        <v>8270169.5</v>
      </c>
      <c r="F7" s="618">
        <f t="shared" si="3"/>
        <v>9968783.0999999996</v>
      </c>
      <c r="G7" s="618">
        <f t="shared" si="3"/>
        <v>11950037.799999999</v>
      </c>
      <c r="H7" s="832">
        <f t="shared" si="3"/>
        <v>11345040.6</v>
      </c>
      <c r="I7" s="832">
        <f t="shared" si="3"/>
        <v>14350302.199999999</v>
      </c>
      <c r="J7" s="832">
        <f t="shared" si="3"/>
        <v>16034081.1</v>
      </c>
      <c r="K7" s="618">
        <f t="shared" si="3"/>
        <v>9761688</v>
      </c>
      <c r="L7" s="618">
        <f t="shared" si="3"/>
        <v>9761688</v>
      </c>
      <c r="M7" s="832">
        <f t="shared" si="3"/>
        <v>9761688</v>
      </c>
      <c r="N7" s="359">
        <v>67898561.5</v>
      </c>
      <c r="O7" s="358">
        <f>B7-N7</f>
        <v>46435501.099999994</v>
      </c>
      <c r="P7" s="231">
        <f>B7-61145423.5</f>
        <v>53188639.099999994</v>
      </c>
      <c r="AC7" s="229">
        <v>61145423.5</v>
      </c>
      <c r="AD7" s="229">
        <f>B7-AC7</f>
        <v>53188639.099999994</v>
      </c>
    </row>
    <row r="8" spans="1:30">
      <c r="A8" s="833" t="s">
        <v>408</v>
      </c>
      <c r="B8" s="618">
        <f t="shared" si="0"/>
        <v>2914439.7000000011</v>
      </c>
      <c r="C8" s="618">
        <f t="shared" ref="C8:M8" si="4">C14+C20+C26</f>
        <v>380944.2</v>
      </c>
      <c r="D8" s="618">
        <f t="shared" si="4"/>
        <v>125044.5</v>
      </c>
      <c r="E8" s="618">
        <f t="shared" si="4"/>
        <v>148417.1</v>
      </c>
      <c r="F8" s="618">
        <f t="shared" si="4"/>
        <v>148570.79999999999</v>
      </c>
      <c r="G8" s="618">
        <f t="shared" si="4"/>
        <v>453785.59999999998</v>
      </c>
      <c r="H8" s="832">
        <f t="shared" si="4"/>
        <v>478004.6</v>
      </c>
      <c r="I8" s="832">
        <f t="shared" si="4"/>
        <v>512972</v>
      </c>
      <c r="J8" s="832">
        <f t="shared" si="4"/>
        <v>427484.80000000005</v>
      </c>
      <c r="K8" s="618">
        <f t="shared" si="4"/>
        <v>79738.7</v>
      </c>
      <c r="L8" s="618">
        <f t="shared" si="4"/>
        <v>79738.7</v>
      </c>
      <c r="M8" s="832">
        <f t="shared" si="4"/>
        <v>79738.7</v>
      </c>
      <c r="N8" s="359">
        <v>1165013.5</v>
      </c>
      <c r="O8" s="358">
        <f>B8-N8</f>
        <v>1749426.2000000011</v>
      </c>
      <c r="P8" s="231">
        <f>B8-85634.6</f>
        <v>2828805.100000001</v>
      </c>
      <c r="AC8" s="229">
        <v>856345.59999999998</v>
      </c>
      <c r="AD8" s="229">
        <f>B8-AC8</f>
        <v>2058094.100000001</v>
      </c>
    </row>
    <row r="9" spans="1:30">
      <c r="A9" s="833" t="s">
        <v>409</v>
      </c>
      <c r="B9" s="618">
        <f t="shared" si="0"/>
        <v>8295431</v>
      </c>
      <c r="C9" s="618">
        <f t="shared" ref="C9:M9" si="5">C15+C21+C27</f>
        <v>0</v>
      </c>
      <c r="D9" s="618">
        <f t="shared" si="5"/>
        <v>0</v>
      </c>
      <c r="E9" s="618">
        <f t="shared" si="5"/>
        <v>0</v>
      </c>
      <c r="F9" s="618">
        <f t="shared" si="5"/>
        <v>80000</v>
      </c>
      <c r="G9" s="618">
        <f t="shared" si="5"/>
        <v>126461</v>
      </c>
      <c r="H9" s="832">
        <f t="shared" si="5"/>
        <v>307796.3</v>
      </c>
      <c r="I9" s="832">
        <f t="shared" si="5"/>
        <v>1412591</v>
      </c>
      <c r="J9" s="832">
        <f t="shared" si="5"/>
        <v>1479529.7</v>
      </c>
      <c r="K9" s="618">
        <f t="shared" si="5"/>
        <v>4889053</v>
      </c>
      <c r="L9" s="618">
        <f t="shared" si="5"/>
        <v>0</v>
      </c>
      <c r="M9" s="832">
        <f t="shared" si="5"/>
        <v>0</v>
      </c>
    </row>
    <row r="10" spans="1:30">
      <c r="A10" s="835" t="s">
        <v>1061</v>
      </c>
      <c r="B10" s="618"/>
      <c r="C10" s="618"/>
      <c r="D10" s="618"/>
      <c r="E10" s="618"/>
      <c r="F10" s="618"/>
      <c r="G10" s="618"/>
      <c r="H10" s="832"/>
      <c r="I10" s="832"/>
      <c r="J10" s="832"/>
      <c r="K10" s="618"/>
      <c r="L10" s="618"/>
      <c r="M10" s="832"/>
    </row>
    <row r="11" spans="1:30">
      <c r="A11" s="831" t="s">
        <v>410</v>
      </c>
      <c r="B11" s="618">
        <f t="shared" si="0"/>
        <v>59097120.920000002</v>
      </c>
      <c r="C11" s="618">
        <f t="shared" ref="C11:M11" si="6">SUM(C12:C15)</f>
        <v>1721621.6</v>
      </c>
      <c r="D11" s="618">
        <f t="shared" si="6"/>
        <v>1219454.52</v>
      </c>
      <c r="E11" s="618">
        <f t="shared" si="6"/>
        <v>1886282.8</v>
      </c>
      <c r="F11" s="618">
        <f t="shared" si="6"/>
        <v>2996289.3</v>
      </c>
      <c r="G11" s="618">
        <f t="shared" si="6"/>
        <v>5691056.4000000004</v>
      </c>
      <c r="H11" s="832">
        <f t="shared" si="6"/>
        <v>4057875.2</v>
      </c>
      <c r="I11" s="832">
        <f t="shared" si="6"/>
        <v>13570195.799999999</v>
      </c>
      <c r="J11" s="832">
        <f t="shared" si="6"/>
        <v>13413892.199999999</v>
      </c>
      <c r="K11" s="618">
        <f t="shared" si="6"/>
        <v>10632479.699999999</v>
      </c>
      <c r="L11" s="618">
        <f t="shared" si="6"/>
        <v>1953986.7</v>
      </c>
      <c r="M11" s="832">
        <f t="shared" si="6"/>
        <v>1953986.7</v>
      </c>
      <c r="N11" s="231">
        <f>C11+D11+E11+F11+G11+H11+I11+J11</f>
        <v>44556667.819999993</v>
      </c>
    </row>
    <row r="12" spans="1:30" s="170" customFormat="1">
      <c r="A12" s="834" t="s">
        <v>406</v>
      </c>
      <c r="B12" s="618">
        <f t="shared" si="0"/>
        <v>29616939.719999999</v>
      </c>
      <c r="C12" s="618">
        <v>1104798.1000000001</v>
      </c>
      <c r="D12" s="618">
        <v>625434.81999999995</v>
      </c>
      <c r="E12" s="618">
        <v>445107.7</v>
      </c>
      <c r="F12" s="618">
        <f>334095.8+400000</f>
        <v>734095.8</v>
      </c>
      <c r="G12" s="618">
        <v>2844623</v>
      </c>
      <c r="H12" s="832">
        <v>1593462.1</v>
      </c>
      <c r="I12" s="832">
        <v>9111790.0999999996</v>
      </c>
      <c r="J12" s="832">
        <v>9368188.0999999996</v>
      </c>
      <c r="K12" s="618">
        <v>3789440</v>
      </c>
      <c r="L12" s="618"/>
      <c r="M12" s="618"/>
    </row>
    <row r="13" spans="1:30" s="170" customFormat="1">
      <c r="A13" s="835" t="s">
        <v>407</v>
      </c>
      <c r="B13" s="618">
        <f t="shared" si="0"/>
        <v>20577850.899999999</v>
      </c>
      <c r="C13" s="618">
        <v>288964.5</v>
      </c>
      <c r="D13" s="618">
        <v>589700.9</v>
      </c>
      <c r="E13" s="618">
        <f>1429700.5+3474-66.5</f>
        <v>1433108</v>
      </c>
      <c r="F13" s="618">
        <f>1831999.9+324558.6</f>
        <v>2156558.5</v>
      </c>
      <c r="G13" s="618">
        <v>2712397.4</v>
      </c>
      <c r="H13" s="832">
        <f>2120778.6+5300</f>
        <v>2126078.6</v>
      </c>
      <c r="I13" s="832">
        <v>2983285.5</v>
      </c>
      <c r="J13" s="832">
        <v>2437757.5</v>
      </c>
      <c r="K13" s="618">
        <v>1950000</v>
      </c>
      <c r="L13" s="618">
        <v>1950000</v>
      </c>
      <c r="M13" s="618">
        <v>1950000</v>
      </c>
    </row>
    <row r="14" spans="1:30" s="170" customFormat="1">
      <c r="A14" s="834" t="s">
        <v>408</v>
      </c>
      <c r="B14" s="618">
        <f t="shared" si="0"/>
        <v>606899.29999999981</v>
      </c>
      <c r="C14" s="618">
        <v>327859</v>
      </c>
      <c r="D14" s="618">
        <v>4318.8</v>
      </c>
      <c r="E14" s="618">
        <v>8067.1</v>
      </c>
      <c r="F14" s="618">
        <v>25635</v>
      </c>
      <c r="G14" s="618">
        <v>7575</v>
      </c>
      <c r="H14" s="832">
        <v>30538.2</v>
      </c>
      <c r="I14" s="832">
        <v>62529.2</v>
      </c>
      <c r="J14" s="832">
        <v>128416.9</v>
      </c>
      <c r="K14" s="618">
        <v>3986.7</v>
      </c>
      <c r="L14" s="618">
        <v>3986.7</v>
      </c>
      <c r="M14" s="618">
        <v>3986.7</v>
      </c>
    </row>
    <row r="15" spans="1:30" s="170" customFormat="1">
      <c r="A15" s="834" t="s">
        <v>409</v>
      </c>
      <c r="B15" s="618">
        <f t="shared" si="0"/>
        <v>8295431</v>
      </c>
      <c r="C15" s="618">
        <f>C55</f>
        <v>0</v>
      </c>
      <c r="D15" s="618">
        <f>D55</f>
        <v>0</v>
      </c>
      <c r="E15" s="618">
        <f>E55</f>
        <v>0</v>
      </c>
      <c r="F15" s="618">
        <v>80000</v>
      </c>
      <c r="G15" s="618">
        <v>126461</v>
      </c>
      <c r="H15" s="832">
        <v>307796.3</v>
      </c>
      <c r="I15" s="832">
        <v>1412591</v>
      </c>
      <c r="J15" s="832">
        <v>1479529.7</v>
      </c>
      <c r="K15" s="618">
        <v>4889053</v>
      </c>
      <c r="L15" s="618">
        <v>0</v>
      </c>
      <c r="M15" s="618">
        <v>0</v>
      </c>
    </row>
    <row r="16" spans="1:30" s="170" customFormat="1" ht="20.25" customHeight="1">
      <c r="A16" s="835" t="s">
        <v>1061</v>
      </c>
      <c r="B16" s="439">
        <v>0</v>
      </c>
      <c r="C16" s="439">
        <v>0</v>
      </c>
      <c r="D16" s="439">
        <v>0</v>
      </c>
      <c r="E16" s="439">
        <v>0</v>
      </c>
      <c r="F16" s="439">
        <v>0</v>
      </c>
      <c r="G16" s="439">
        <v>0</v>
      </c>
      <c r="H16" s="438">
        <v>0</v>
      </c>
      <c r="I16" s="438">
        <v>0</v>
      </c>
      <c r="J16" s="438">
        <v>0</v>
      </c>
      <c r="K16" s="439">
        <v>0</v>
      </c>
      <c r="L16" s="439">
        <v>0</v>
      </c>
      <c r="M16" s="439">
        <v>0</v>
      </c>
    </row>
    <row r="17" spans="1:14">
      <c r="A17" s="827" t="s">
        <v>411</v>
      </c>
      <c r="B17" s="618">
        <f t="shared" si="0"/>
        <v>406859</v>
      </c>
      <c r="C17" s="439">
        <f t="shared" ref="C17:M17" si="7">SUM(C18:C21)</f>
        <v>3000</v>
      </c>
      <c r="D17" s="439">
        <f t="shared" si="7"/>
        <v>610</v>
      </c>
      <c r="E17" s="439">
        <f t="shared" si="7"/>
        <v>7750</v>
      </c>
      <c r="F17" s="439">
        <f t="shared" si="7"/>
        <v>19476.599999999999</v>
      </c>
      <c r="G17" s="439">
        <f t="shared" si="7"/>
        <v>39101.699999999997</v>
      </c>
      <c r="H17" s="438">
        <f t="shared" si="7"/>
        <v>130482.3</v>
      </c>
      <c r="I17" s="438">
        <f t="shared" si="7"/>
        <v>25915.5</v>
      </c>
      <c r="J17" s="438">
        <f t="shared" si="7"/>
        <v>132522.9</v>
      </c>
      <c r="K17" s="439">
        <f t="shared" si="7"/>
        <v>16000</v>
      </c>
      <c r="L17" s="439">
        <f t="shared" si="7"/>
        <v>16000</v>
      </c>
      <c r="M17" s="438">
        <f t="shared" si="7"/>
        <v>16000</v>
      </c>
    </row>
    <row r="18" spans="1:14">
      <c r="A18" s="828" t="s">
        <v>406</v>
      </c>
      <c r="B18" s="439">
        <f t="shared" ref="B18:M21" si="8">B58</f>
        <v>0</v>
      </c>
      <c r="C18" s="439">
        <f t="shared" si="8"/>
        <v>0</v>
      </c>
      <c r="D18" s="439">
        <f t="shared" si="8"/>
        <v>0</v>
      </c>
      <c r="E18" s="439">
        <f t="shared" si="8"/>
        <v>0</v>
      </c>
      <c r="F18" s="439">
        <f t="shared" si="8"/>
        <v>0</v>
      </c>
      <c r="G18" s="439">
        <f t="shared" si="8"/>
        <v>0</v>
      </c>
      <c r="H18" s="438">
        <f t="shared" si="8"/>
        <v>0</v>
      </c>
      <c r="I18" s="438">
        <f t="shared" si="8"/>
        <v>0</v>
      </c>
      <c r="J18" s="438">
        <f t="shared" si="8"/>
        <v>0</v>
      </c>
      <c r="K18" s="836">
        <f t="shared" si="8"/>
        <v>0</v>
      </c>
      <c r="L18" s="836">
        <f t="shared" si="8"/>
        <v>0</v>
      </c>
      <c r="M18" s="836">
        <f t="shared" si="8"/>
        <v>0</v>
      </c>
    </row>
    <row r="19" spans="1:14">
      <c r="A19" s="827" t="s">
        <v>407</v>
      </c>
      <c r="B19" s="618">
        <f t="shared" si="0"/>
        <v>406859</v>
      </c>
      <c r="C19" s="439">
        <f t="shared" si="8"/>
        <v>3000</v>
      </c>
      <c r="D19" s="439">
        <f t="shared" si="8"/>
        <v>610</v>
      </c>
      <c r="E19" s="439">
        <v>7750</v>
      </c>
      <c r="F19" s="439">
        <v>19476.599999999999</v>
      </c>
      <c r="G19" s="439">
        <v>39101.699999999997</v>
      </c>
      <c r="H19" s="438">
        <v>130482.3</v>
      </c>
      <c r="I19" s="438">
        <v>25915.5</v>
      </c>
      <c r="J19" s="438">
        <v>132522.9</v>
      </c>
      <c r="K19" s="439">
        <v>16000</v>
      </c>
      <c r="L19" s="439">
        <v>16000</v>
      </c>
      <c r="M19" s="438">
        <v>16000</v>
      </c>
    </row>
    <row r="20" spans="1:14">
      <c r="A20" s="828" t="s">
        <v>408</v>
      </c>
      <c r="B20" s="439">
        <f t="shared" ref="B20" si="9">B60</f>
        <v>0</v>
      </c>
      <c r="C20" s="439">
        <f t="shared" si="8"/>
        <v>0</v>
      </c>
      <c r="D20" s="439">
        <f t="shared" si="8"/>
        <v>0</v>
      </c>
      <c r="E20" s="439">
        <f t="shared" si="8"/>
        <v>0</v>
      </c>
      <c r="F20" s="439">
        <f t="shared" si="8"/>
        <v>0</v>
      </c>
      <c r="G20" s="439">
        <f t="shared" si="8"/>
        <v>0</v>
      </c>
      <c r="H20" s="438">
        <f t="shared" si="8"/>
        <v>0</v>
      </c>
      <c r="I20" s="438">
        <f t="shared" si="8"/>
        <v>0</v>
      </c>
      <c r="J20" s="438">
        <f>J60</f>
        <v>0</v>
      </c>
      <c r="K20" s="439">
        <v>0</v>
      </c>
      <c r="L20" s="439">
        <v>0</v>
      </c>
      <c r="M20" s="438">
        <v>0</v>
      </c>
    </row>
    <row r="21" spans="1:14">
      <c r="A21" s="828" t="s">
        <v>409</v>
      </c>
      <c r="B21" s="439">
        <f t="shared" ref="B21" si="10">B61</f>
        <v>0</v>
      </c>
      <c r="C21" s="439">
        <f t="shared" si="8"/>
        <v>0</v>
      </c>
      <c r="D21" s="439">
        <f t="shared" si="8"/>
        <v>0</v>
      </c>
      <c r="E21" s="439">
        <f t="shared" si="8"/>
        <v>0</v>
      </c>
      <c r="F21" s="439">
        <f t="shared" si="8"/>
        <v>0</v>
      </c>
      <c r="G21" s="439">
        <f t="shared" si="8"/>
        <v>0</v>
      </c>
      <c r="H21" s="438">
        <f t="shared" si="8"/>
        <v>0</v>
      </c>
      <c r="I21" s="438">
        <f t="shared" si="8"/>
        <v>0</v>
      </c>
      <c r="J21" s="438">
        <f>J61</f>
        <v>0</v>
      </c>
      <c r="K21" s="439">
        <v>0</v>
      </c>
      <c r="L21" s="439">
        <v>0</v>
      </c>
      <c r="M21" s="438">
        <v>0</v>
      </c>
    </row>
    <row r="22" spans="1:14">
      <c r="A22" s="826" t="s">
        <v>1061</v>
      </c>
      <c r="B22" s="439">
        <f t="shared" ref="B22:M22" si="11">B61</f>
        <v>0</v>
      </c>
      <c r="C22" s="439">
        <f t="shared" si="11"/>
        <v>0</v>
      </c>
      <c r="D22" s="439">
        <f t="shared" si="11"/>
        <v>0</v>
      </c>
      <c r="E22" s="439">
        <f t="shared" si="11"/>
        <v>0</v>
      </c>
      <c r="F22" s="439">
        <f t="shared" si="11"/>
        <v>0</v>
      </c>
      <c r="G22" s="439">
        <f t="shared" si="11"/>
        <v>0</v>
      </c>
      <c r="H22" s="438">
        <f t="shared" si="11"/>
        <v>0</v>
      </c>
      <c r="I22" s="438">
        <f t="shared" si="11"/>
        <v>0</v>
      </c>
      <c r="J22" s="438">
        <f t="shared" si="11"/>
        <v>0</v>
      </c>
      <c r="K22" s="439">
        <f t="shared" si="11"/>
        <v>0</v>
      </c>
      <c r="L22" s="439">
        <f t="shared" si="11"/>
        <v>0</v>
      </c>
      <c r="M22" s="439">
        <f t="shared" si="11"/>
        <v>0</v>
      </c>
    </row>
    <row r="23" spans="1:14">
      <c r="A23" s="827" t="s">
        <v>412</v>
      </c>
      <c r="B23" s="618">
        <f t="shared" si="0"/>
        <v>100486208.90000001</v>
      </c>
      <c r="C23" s="439">
        <f t="shared" ref="C23:M23" si="12">SUM(C24:C27)</f>
        <v>5664900.5</v>
      </c>
      <c r="D23" s="439">
        <f t="shared" si="12"/>
        <v>7322584.4000000004</v>
      </c>
      <c r="E23" s="439">
        <f t="shared" si="12"/>
        <v>7779299.2000000002</v>
      </c>
      <c r="F23" s="439">
        <f t="shared" si="12"/>
        <v>8684857.9000000004</v>
      </c>
      <c r="G23" s="439">
        <f t="shared" si="12"/>
        <v>11602688.199999999</v>
      </c>
      <c r="H23" s="438">
        <f t="shared" si="12"/>
        <v>10168146.1</v>
      </c>
      <c r="I23" s="438">
        <f t="shared" si="12"/>
        <v>11886544</v>
      </c>
      <c r="J23" s="438">
        <f t="shared" si="12"/>
        <v>13762868.6</v>
      </c>
      <c r="K23" s="439">
        <f t="shared" si="12"/>
        <v>7871440</v>
      </c>
      <c r="L23" s="439">
        <f t="shared" si="12"/>
        <v>7871440</v>
      </c>
      <c r="M23" s="438">
        <f t="shared" si="12"/>
        <v>7871440</v>
      </c>
    </row>
    <row r="24" spans="1:14" s="170" customFormat="1">
      <c r="A24" s="823" t="s">
        <v>406</v>
      </c>
      <c r="B24" s="618">
        <f t="shared" si="0"/>
        <v>4829315.8</v>
      </c>
      <c r="C24" s="439">
        <v>457365.1</v>
      </c>
      <c r="D24" s="439">
        <v>108000</v>
      </c>
      <c r="E24" s="439">
        <v>809637.7</v>
      </c>
      <c r="F24" s="439">
        <v>769174.1</v>
      </c>
      <c r="G24" s="439">
        <f>1957938.9</f>
        <v>1957938.9</v>
      </c>
      <c r="H24" s="438">
        <v>632200</v>
      </c>
      <c r="I24" s="438">
        <v>95000</v>
      </c>
      <c r="J24" s="438">
        <v>0</v>
      </c>
      <c r="K24" s="439">
        <v>0</v>
      </c>
      <c r="L24" s="439">
        <v>0</v>
      </c>
      <c r="M24" s="439">
        <v>0</v>
      </c>
    </row>
    <row r="25" spans="1:14" s="170" customFormat="1">
      <c r="A25" s="829" t="s">
        <v>407</v>
      </c>
      <c r="B25" s="618">
        <f t="shared" si="0"/>
        <v>93349352.700000003</v>
      </c>
      <c r="C25" s="439">
        <v>5154450.2</v>
      </c>
      <c r="D25" s="439">
        <v>7093858.7000000002</v>
      </c>
      <c r="E25" s="439">
        <f>6809245.1+20000+66.4</f>
        <v>6829311.5</v>
      </c>
      <c r="F25" s="439">
        <f>7676572.8+16700+99475.2</f>
        <v>7792748</v>
      </c>
      <c r="G25" s="439">
        <v>9198538.6999999993</v>
      </c>
      <c r="H25" s="438">
        <f>9093779.7-5300</f>
        <v>9088479.6999999993</v>
      </c>
      <c r="I25" s="438">
        <v>11341101.199999999</v>
      </c>
      <c r="J25" s="438">
        <v>13463800.699999999</v>
      </c>
      <c r="K25" s="439">
        <v>7795688</v>
      </c>
      <c r="L25" s="439">
        <v>7795688</v>
      </c>
      <c r="M25" s="439">
        <v>7795688</v>
      </c>
    </row>
    <row r="26" spans="1:14" s="170" customFormat="1">
      <c r="A26" s="823" t="s">
        <v>408</v>
      </c>
      <c r="B26" s="618">
        <f t="shared" si="0"/>
        <v>2307540.4</v>
      </c>
      <c r="C26" s="439">
        <v>53085.2</v>
      </c>
      <c r="D26" s="439">
        <v>120725.7</v>
      </c>
      <c r="E26" s="439">
        <f>139297.4+1052.6</f>
        <v>140350</v>
      </c>
      <c r="F26" s="439">
        <f>117756.8+968.4+4210.6</f>
        <v>122935.8</v>
      </c>
      <c r="G26" s="439">
        <v>446210.6</v>
      </c>
      <c r="H26" s="438">
        <f>478004.6-H14</f>
        <v>447466.39999999997</v>
      </c>
      <c r="I26" s="438">
        <f>512972-I14</f>
        <v>450442.8</v>
      </c>
      <c r="J26" s="438">
        <f>427484.8-J14</f>
        <v>299067.90000000002</v>
      </c>
      <c r="K26" s="439">
        <v>75752</v>
      </c>
      <c r="L26" s="439">
        <v>75752</v>
      </c>
      <c r="M26" s="439">
        <v>75752</v>
      </c>
    </row>
    <row r="27" spans="1:14" s="170" customFormat="1">
      <c r="A27" s="823" t="s">
        <v>409</v>
      </c>
      <c r="B27" s="439">
        <f t="shared" ref="B27:J27" si="13">B67</f>
        <v>0</v>
      </c>
      <c r="C27" s="439">
        <f t="shared" si="13"/>
        <v>0</v>
      </c>
      <c r="D27" s="439">
        <f t="shared" si="13"/>
        <v>0</v>
      </c>
      <c r="E27" s="439">
        <f t="shared" si="13"/>
        <v>0</v>
      </c>
      <c r="F27" s="439">
        <f t="shared" si="13"/>
        <v>0</v>
      </c>
      <c r="G27" s="439">
        <f t="shared" si="13"/>
        <v>0</v>
      </c>
      <c r="H27" s="438">
        <f t="shared" si="13"/>
        <v>0</v>
      </c>
      <c r="I27" s="438">
        <f t="shared" si="13"/>
        <v>0</v>
      </c>
      <c r="J27" s="438">
        <f t="shared" si="13"/>
        <v>0</v>
      </c>
      <c r="K27" s="439">
        <v>0</v>
      </c>
      <c r="L27" s="439">
        <v>0</v>
      </c>
      <c r="M27" s="439">
        <v>0</v>
      </c>
    </row>
    <row r="28" spans="1:14" s="170" customFormat="1">
      <c r="A28" s="826" t="s">
        <v>1061</v>
      </c>
      <c r="B28" s="824">
        <v>0</v>
      </c>
      <c r="C28" s="824">
        <v>0</v>
      </c>
      <c r="D28" s="824">
        <v>0</v>
      </c>
      <c r="E28" s="824">
        <v>0</v>
      </c>
      <c r="F28" s="824">
        <v>0</v>
      </c>
      <c r="G28" s="824">
        <v>0</v>
      </c>
      <c r="H28" s="897">
        <v>0</v>
      </c>
      <c r="I28" s="897">
        <v>0</v>
      </c>
      <c r="J28" s="897">
        <v>0</v>
      </c>
      <c r="K28" s="824">
        <v>0</v>
      </c>
      <c r="L28" s="824">
        <v>0</v>
      </c>
      <c r="M28" s="824">
        <v>0</v>
      </c>
    </row>
    <row r="29" spans="1:14" s="170" customFormat="1">
      <c r="A29" s="717"/>
      <c r="B29" s="718"/>
      <c r="C29" s="718"/>
      <c r="D29" s="718"/>
      <c r="E29" s="718"/>
      <c r="F29" s="718"/>
      <c r="G29" s="718"/>
      <c r="H29" s="229"/>
      <c r="I29" s="229"/>
      <c r="J29" s="229"/>
      <c r="K29" s="718"/>
      <c r="L29" s="718"/>
      <c r="M29" s="445"/>
    </row>
    <row r="30" spans="1:14">
      <c r="A30" s="1176" t="s">
        <v>797</v>
      </c>
      <c r="B30" s="1177"/>
      <c r="C30" s="1177"/>
      <c r="D30" s="1177"/>
      <c r="E30" s="1177"/>
      <c r="F30" s="1177"/>
      <c r="G30" s="1177"/>
      <c r="H30" s="1177"/>
      <c r="I30" s="1177"/>
      <c r="J30" s="1177"/>
      <c r="K30" s="1177"/>
      <c r="L30" s="1177"/>
      <c r="M30" s="1178"/>
    </row>
    <row r="31" spans="1:14">
      <c r="A31" s="830" t="s">
        <v>405</v>
      </c>
      <c r="B31" s="439">
        <f>G31+H31+I31</f>
        <v>2003713.1</v>
      </c>
      <c r="C31" s="439">
        <v>0</v>
      </c>
      <c r="D31" s="439">
        <v>0</v>
      </c>
      <c r="E31" s="439">
        <v>0</v>
      </c>
      <c r="F31" s="439">
        <v>0</v>
      </c>
      <c r="G31" s="439">
        <f>G32+G33</f>
        <v>527684.4</v>
      </c>
      <c r="H31" s="438">
        <f t="shared" ref="H31:I31" si="14">H33</f>
        <v>447176.9</v>
      </c>
      <c r="I31" s="438">
        <f t="shared" si="14"/>
        <v>1028851.8</v>
      </c>
      <c r="J31" s="438">
        <v>0</v>
      </c>
      <c r="K31" s="439">
        <v>0</v>
      </c>
      <c r="L31" s="439">
        <v>0</v>
      </c>
      <c r="M31" s="438">
        <v>0</v>
      </c>
      <c r="N31">
        <v>0</v>
      </c>
    </row>
    <row r="32" spans="1:14">
      <c r="A32" s="825" t="s">
        <v>798</v>
      </c>
      <c r="B32" s="439">
        <f t="shared" ref="B32:B41" si="15">G32+H32+I32</f>
        <v>200000</v>
      </c>
      <c r="C32" s="439">
        <v>0</v>
      </c>
      <c r="D32" s="439">
        <v>0</v>
      </c>
      <c r="E32" s="439">
        <v>0</v>
      </c>
      <c r="F32" s="439">
        <v>0</v>
      </c>
      <c r="G32" s="439">
        <f>G38</f>
        <v>200000</v>
      </c>
      <c r="H32" s="438">
        <v>0</v>
      </c>
      <c r="I32" s="438">
        <v>0</v>
      </c>
      <c r="J32" s="438">
        <v>0</v>
      </c>
      <c r="K32" s="439">
        <v>0</v>
      </c>
      <c r="L32" s="439">
        <v>0</v>
      </c>
      <c r="M32" s="438">
        <v>0</v>
      </c>
    </row>
    <row r="33" spans="1:14">
      <c r="A33" s="825" t="s">
        <v>407</v>
      </c>
      <c r="B33" s="439">
        <f t="shared" si="15"/>
        <v>1803713.1</v>
      </c>
      <c r="C33" s="439">
        <v>0</v>
      </c>
      <c r="D33" s="439">
        <v>0</v>
      </c>
      <c r="E33" s="439">
        <v>0</v>
      </c>
      <c r="F33" s="439">
        <v>0</v>
      </c>
      <c r="G33" s="439">
        <f>G39</f>
        <v>327684.40000000002</v>
      </c>
      <c r="H33" s="438">
        <f>H37</f>
        <v>447176.9</v>
      </c>
      <c r="I33" s="438">
        <f>I39</f>
        <v>1028851.8</v>
      </c>
      <c r="J33" s="438">
        <v>0</v>
      </c>
      <c r="K33" s="438">
        <v>0</v>
      </c>
      <c r="L33" s="438">
        <v>0</v>
      </c>
      <c r="M33" s="438">
        <v>0</v>
      </c>
      <c r="N33" s="534">
        <v>0</v>
      </c>
    </row>
    <row r="34" spans="1:14">
      <c r="A34" s="825" t="s">
        <v>799</v>
      </c>
      <c r="B34" s="439">
        <f t="shared" si="15"/>
        <v>0</v>
      </c>
      <c r="C34" s="439">
        <v>0</v>
      </c>
      <c r="D34" s="439">
        <v>0</v>
      </c>
      <c r="E34" s="439">
        <v>0</v>
      </c>
      <c r="F34" s="439">
        <v>0</v>
      </c>
      <c r="G34" s="439">
        <v>0</v>
      </c>
      <c r="H34" s="438">
        <v>0</v>
      </c>
      <c r="I34" s="438">
        <v>0</v>
      </c>
      <c r="J34" s="438">
        <v>0</v>
      </c>
      <c r="K34" s="438">
        <v>0</v>
      </c>
      <c r="L34" s="438">
        <v>0</v>
      </c>
      <c r="M34" s="438">
        <v>0</v>
      </c>
      <c r="N34" s="534">
        <v>0</v>
      </c>
    </row>
    <row r="35" spans="1:14">
      <c r="A35" s="825" t="s">
        <v>800</v>
      </c>
      <c r="B35" s="439">
        <f t="shared" si="15"/>
        <v>0</v>
      </c>
      <c r="C35" s="439">
        <v>0</v>
      </c>
      <c r="D35" s="439">
        <v>0</v>
      </c>
      <c r="E35" s="439">
        <v>0</v>
      </c>
      <c r="F35" s="439">
        <v>0</v>
      </c>
      <c r="G35" s="439">
        <v>0</v>
      </c>
      <c r="H35" s="438">
        <v>0</v>
      </c>
      <c r="I35" s="438">
        <v>0</v>
      </c>
      <c r="J35" s="438">
        <v>0</v>
      </c>
      <c r="K35" s="439">
        <v>0</v>
      </c>
      <c r="L35" s="439">
        <v>0</v>
      </c>
      <c r="M35" s="438">
        <v>0</v>
      </c>
    </row>
    <row r="36" spans="1:14">
      <c r="A36" s="825" t="s">
        <v>1061</v>
      </c>
      <c r="B36" s="439"/>
      <c r="C36" s="439"/>
      <c r="D36" s="439"/>
      <c r="E36" s="439"/>
      <c r="F36" s="439"/>
      <c r="G36" s="439"/>
      <c r="H36" s="438"/>
      <c r="I36" s="438"/>
      <c r="J36" s="438"/>
      <c r="K36" s="439"/>
      <c r="L36" s="439"/>
      <c r="M36" s="438"/>
    </row>
    <row r="37" spans="1:14">
      <c r="A37" s="825" t="s">
        <v>410</v>
      </c>
      <c r="B37" s="439">
        <f t="shared" si="15"/>
        <v>2003713.1</v>
      </c>
      <c r="C37" s="439">
        <v>0</v>
      </c>
      <c r="D37" s="439">
        <v>0</v>
      </c>
      <c r="E37" s="439">
        <v>0</v>
      </c>
      <c r="F37" s="439">
        <v>0</v>
      </c>
      <c r="G37" s="439">
        <f>G38+G39</f>
        <v>527684.4</v>
      </c>
      <c r="H37" s="438">
        <f t="shared" ref="H37:I37" si="16">H39</f>
        <v>447176.9</v>
      </c>
      <c r="I37" s="438">
        <f t="shared" si="16"/>
        <v>1028851.8</v>
      </c>
      <c r="J37" s="438">
        <v>0</v>
      </c>
      <c r="K37" s="439">
        <v>0</v>
      </c>
      <c r="L37" s="439">
        <v>0</v>
      </c>
      <c r="M37" s="438">
        <v>0</v>
      </c>
    </row>
    <row r="38" spans="1:14">
      <c r="A38" s="825" t="s">
        <v>798</v>
      </c>
      <c r="B38" s="439">
        <f t="shared" si="15"/>
        <v>200000</v>
      </c>
      <c r="C38" s="439">
        <v>0</v>
      </c>
      <c r="D38" s="439">
        <v>0</v>
      </c>
      <c r="E38" s="439">
        <v>0</v>
      </c>
      <c r="F38" s="439">
        <v>0</v>
      </c>
      <c r="G38" s="439">
        <v>200000</v>
      </c>
      <c r="H38" s="438">
        <v>0</v>
      </c>
      <c r="I38" s="438">
        <v>0</v>
      </c>
      <c r="J38" s="438">
        <v>0</v>
      </c>
      <c r="K38" s="439">
        <v>0</v>
      </c>
      <c r="L38" s="439">
        <v>0</v>
      </c>
      <c r="M38" s="438">
        <v>0</v>
      </c>
    </row>
    <row r="39" spans="1:14">
      <c r="A39" s="825" t="s">
        <v>407</v>
      </c>
      <c r="B39" s="439">
        <f t="shared" si="15"/>
        <v>1803713.1</v>
      </c>
      <c r="C39" s="439">
        <v>0</v>
      </c>
      <c r="D39" s="439">
        <v>0</v>
      </c>
      <c r="E39" s="439">
        <v>0</v>
      </c>
      <c r="F39" s="439">
        <v>0</v>
      </c>
      <c r="G39" s="439">
        <v>327684.40000000002</v>
      </c>
      <c r="H39" s="438">
        <v>447176.9</v>
      </c>
      <c r="I39" s="438">
        <v>1028851.8</v>
      </c>
      <c r="J39" s="438">
        <v>0</v>
      </c>
      <c r="K39" s="439">
        <v>0</v>
      </c>
      <c r="L39" s="439">
        <v>0</v>
      </c>
      <c r="M39" s="438">
        <v>0</v>
      </c>
    </row>
    <row r="40" spans="1:14">
      <c r="A40" s="825" t="s">
        <v>799</v>
      </c>
      <c r="B40" s="439">
        <f t="shared" si="15"/>
        <v>0</v>
      </c>
      <c r="C40" s="439">
        <v>0</v>
      </c>
      <c r="D40" s="439">
        <v>0</v>
      </c>
      <c r="E40" s="439">
        <v>0</v>
      </c>
      <c r="F40" s="439">
        <v>0</v>
      </c>
      <c r="G40" s="439">
        <v>0</v>
      </c>
      <c r="H40" s="438">
        <v>0</v>
      </c>
      <c r="I40" s="438">
        <v>0</v>
      </c>
      <c r="J40" s="438"/>
      <c r="K40" s="439">
        <v>0</v>
      </c>
      <c r="L40" s="439">
        <v>0</v>
      </c>
      <c r="M40" s="438">
        <v>0</v>
      </c>
    </row>
    <row r="41" spans="1:14">
      <c r="A41" s="825" t="s">
        <v>800</v>
      </c>
      <c r="B41" s="439">
        <f t="shared" si="15"/>
        <v>0</v>
      </c>
      <c r="C41" s="439">
        <v>0</v>
      </c>
      <c r="D41" s="439">
        <v>0</v>
      </c>
      <c r="E41" s="439">
        <v>0</v>
      </c>
      <c r="F41" s="439">
        <v>0</v>
      </c>
      <c r="G41" s="439">
        <v>0</v>
      </c>
      <c r="H41" s="438">
        <v>0</v>
      </c>
      <c r="I41" s="438">
        <v>0</v>
      </c>
      <c r="J41" s="438">
        <v>0</v>
      </c>
      <c r="K41" s="439">
        <v>0</v>
      </c>
      <c r="L41" s="439">
        <v>0</v>
      </c>
      <c r="M41" s="438">
        <v>0</v>
      </c>
    </row>
    <row r="42" spans="1:14">
      <c r="A42" s="825" t="s">
        <v>1061</v>
      </c>
      <c r="B42" s="439">
        <v>0</v>
      </c>
      <c r="C42" s="439">
        <v>0</v>
      </c>
      <c r="D42" s="439">
        <v>0</v>
      </c>
      <c r="E42" s="439">
        <v>0</v>
      </c>
      <c r="F42" s="439">
        <v>0</v>
      </c>
      <c r="G42" s="439">
        <v>0</v>
      </c>
      <c r="H42" s="438">
        <v>0</v>
      </c>
      <c r="I42" s="438">
        <v>0</v>
      </c>
      <c r="J42" s="438">
        <v>0</v>
      </c>
      <c r="K42" s="439">
        <v>0</v>
      </c>
      <c r="L42" s="439">
        <v>0</v>
      </c>
      <c r="M42" s="438">
        <v>0</v>
      </c>
    </row>
    <row r="43" spans="1:14">
      <c r="A43" s="726"/>
      <c r="B43" s="718"/>
      <c r="C43" s="718">
        <f>G43-B43</f>
        <v>29194.099999999627</v>
      </c>
      <c r="D43" s="718"/>
      <c r="E43" s="718"/>
      <c r="F43" s="718"/>
      <c r="G43" s="718">
        <f>G47-12248528.1</f>
        <v>29194.099999999627</v>
      </c>
      <c r="H43" s="229">
        <f>H51-H54</f>
        <v>4474513.8999999994</v>
      </c>
      <c r="I43" s="229"/>
      <c r="J43" s="229"/>
      <c r="K43" s="229"/>
      <c r="L43" s="229"/>
      <c r="M43" s="229"/>
    </row>
    <row r="44" spans="1:14" ht="20.25" customHeight="1">
      <c r="A44" s="1180" t="s">
        <v>413</v>
      </c>
      <c r="B44" s="1181"/>
      <c r="C44" s="1181"/>
      <c r="D44" s="1181"/>
      <c r="E44" s="1181"/>
      <c r="F44" s="1181"/>
      <c r="G44" s="1181"/>
      <c r="H44" s="1181"/>
      <c r="I44" s="1181"/>
      <c r="J44" s="1181"/>
      <c r="K44" s="1181"/>
      <c r="L44" s="1181"/>
      <c r="M44" s="1182"/>
    </row>
    <row r="45" spans="1:14">
      <c r="A45" s="827" t="s">
        <v>405</v>
      </c>
      <c r="B45" s="439">
        <f t="shared" ref="B45:B67" si="17">SUM(C45:M45)</f>
        <v>161993901.89999998</v>
      </c>
      <c r="C45" s="439">
        <f t="shared" ref="C45:M45" si="18">SUM(C46:C49)</f>
        <v>7389522.1000000006</v>
      </c>
      <c r="D45" s="439">
        <v>8542648.9000000004</v>
      </c>
      <c r="E45" s="439">
        <f t="shared" si="18"/>
        <v>9673332</v>
      </c>
      <c r="F45" s="439">
        <f t="shared" si="18"/>
        <v>11700623.800000001</v>
      </c>
      <c r="G45" s="439">
        <f>G46+G47+G48+G49</f>
        <v>17860530.700000003</v>
      </c>
      <c r="H45" s="438">
        <f t="shared" si="18"/>
        <v>14803680.5</v>
      </c>
      <c r="I45" s="438">
        <f t="shared" si="18"/>
        <v>26511507.100000001</v>
      </c>
      <c r="J45" s="438">
        <f t="shared" si="18"/>
        <v>27309283.699999999</v>
      </c>
      <c r="K45" s="438">
        <f t="shared" si="18"/>
        <v>18519919.699999999</v>
      </c>
      <c r="L45" s="438">
        <f t="shared" si="18"/>
        <v>9841426.6999999993</v>
      </c>
      <c r="M45" s="438">
        <f t="shared" si="18"/>
        <v>9841426.6999999993</v>
      </c>
    </row>
    <row r="46" spans="1:14">
      <c r="A46" s="828" t="s">
        <v>406</v>
      </c>
      <c r="B46" s="439">
        <f t="shared" si="17"/>
        <v>34646255.520000003</v>
      </c>
      <c r="C46" s="439">
        <f t="shared" ref="C46:E49" si="19">C52+C58+C64</f>
        <v>1562163.2000000002</v>
      </c>
      <c r="D46" s="439">
        <f t="shared" si="19"/>
        <v>733434.82</v>
      </c>
      <c r="E46" s="439">
        <f t="shared" si="19"/>
        <v>1254745.3999999999</v>
      </c>
      <c r="F46" s="439">
        <f>F52+F64</f>
        <v>1503269.9</v>
      </c>
      <c r="G46" s="439">
        <f>G52+G58+G64</f>
        <v>5002561.9000000004</v>
      </c>
      <c r="H46" s="438">
        <f t="shared" ref="H46:M46" si="20">H52+H58+H64</f>
        <v>2225662.1</v>
      </c>
      <c r="I46" s="438">
        <f t="shared" si="20"/>
        <v>9206790.0999999996</v>
      </c>
      <c r="J46" s="438">
        <f t="shared" si="20"/>
        <v>9368188.0999999996</v>
      </c>
      <c r="K46" s="438">
        <f t="shared" si="20"/>
        <v>3789440</v>
      </c>
      <c r="L46" s="438">
        <f t="shared" si="20"/>
        <v>0</v>
      </c>
      <c r="M46" s="438">
        <f t="shared" si="20"/>
        <v>0</v>
      </c>
    </row>
    <row r="47" spans="1:14">
      <c r="A47" s="827" t="s">
        <v>407</v>
      </c>
      <c r="B47" s="439">
        <f t="shared" si="17"/>
        <v>116137775.69999999</v>
      </c>
      <c r="C47" s="439">
        <f t="shared" si="19"/>
        <v>5446414.7000000002</v>
      </c>
      <c r="D47" s="439">
        <f t="shared" si="19"/>
        <v>7684169.6000000006</v>
      </c>
      <c r="E47" s="439">
        <f t="shared" si="19"/>
        <v>8270169.5</v>
      </c>
      <c r="F47" s="439">
        <f>F53+F59+F65</f>
        <v>9968783.0999999996</v>
      </c>
      <c r="G47" s="439">
        <f>G53+G59+G65</f>
        <v>12277722.199999999</v>
      </c>
      <c r="H47" s="438">
        <f t="shared" ref="H47:M47" si="21">H53+H59+H65</f>
        <v>11792217.5</v>
      </c>
      <c r="I47" s="438">
        <f t="shared" si="21"/>
        <v>15379154</v>
      </c>
      <c r="J47" s="438">
        <f t="shared" si="21"/>
        <v>16034081.1</v>
      </c>
      <c r="K47" s="438">
        <f t="shared" si="21"/>
        <v>9761688</v>
      </c>
      <c r="L47" s="438">
        <f t="shared" si="21"/>
        <v>9761688</v>
      </c>
      <c r="M47" s="438">
        <f t="shared" si="21"/>
        <v>9761688</v>
      </c>
    </row>
    <row r="48" spans="1:14">
      <c r="A48" s="828" t="s">
        <v>408</v>
      </c>
      <c r="B48" s="439">
        <f t="shared" si="17"/>
        <v>2914439.7000000011</v>
      </c>
      <c r="C48" s="439">
        <f t="shared" si="19"/>
        <v>380944.2</v>
      </c>
      <c r="D48" s="439">
        <f t="shared" si="19"/>
        <v>125044.5</v>
      </c>
      <c r="E48" s="439">
        <f t="shared" si="19"/>
        <v>148417.1</v>
      </c>
      <c r="F48" s="439">
        <f>F54+F66</f>
        <v>148570.79999999999</v>
      </c>
      <c r="G48" s="439">
        <f>G54+G60+G66</f>
        <v>453785.59999999998</v>
      </c>
      <c r="H48" s="438">
        <f t="shared" ref="H48:M49" si="22">H54+H60+H66</f>
        <v>478004.6</v>
      </c>
      <c r="I48" s="438">
        <f t="shared" si="22"/>
        <v>512972</v>
      </c>
      <c r="J48" s="438">
        <f t="shared" si="22"/>
        <v>427484.80000000005</v>
      </c>
      <c r="K48" s="439">
        <f t="shared" si="22"/>
        <v>79738.7</v>
      </c>
      <c r="L48" s="439">
        <f t="shared" si="22"/>
        <v>79738.7</v>
      </c>
      <c r="M48" s="438">
        <f t="shared" si="22"/>
        <v>79738.7</v>
      </c>
    </row>
    <row r="49" spans="1:14">
      <c r="A49" s="828" t="s">
        <v>409</v>
      </c>
      <c r="B49" s="439">
        <f t="shared" si="17"/>
        <v>8295431</v>
      </c>
      <c r="C49" s="439">
        <f t="shared" si="19"/>
        <v>0</v>
      </c>
      <c r="D49" s="439">
        <f t="shared" si="19"/>
        <v>0</v>
      </c>
      <c r="E49" s="439">
        <f t="shared" si="19"/>
        <v>0</v>
      </c>
      <c r="F49" s="439">
        <f>F55+F61+F67</f>
        <v>80000</v>
      </c>
      <c r="G49" s="439">
        <f>G55+G61+G67</f>
        <v>126461</v>
      </c>
      <c r="H49" s="438">
        <f t="shared" si="22"/>
        <v>307796.3</v>
      </c>
      <c r="I49" s="438">
        <f t="shared" si="22"/>
        <v>1412591</v>
      </c>
      <c r="J49" s="438">
        <f t="shared" si="22"/>
        <v>1479529.7</v>
      </c>
      <c r="K49" s="438">
        <f t="shared" si="22"/>
        <v>4889053</v>
      </c>
      <c r="L49" s="438">
        <f t="shared" si="22"/>
        <v>0</v>
      </c>
      <c r="M49" s="438">
        <f t="shared" si="22"/>
        <v>0</v>
      </c>
    </row>
    <row r="50" spans="1:14">
      <c r="A50" s="825" t="s">
        <v>1061</v>
      </c>
      <c r="B50" s="439">
        <v>0</v>
      </c>
      <c r="C50" s="439">
        <v>0</v>
      </c>
      <c r="D50" s="439">
        <v>0</v>
      </c>
      <c r="E50" s="439">
        <v>0</v>
      </c>
      <c r="F50" s="439">
        <v>0</v>
      </c>
      <c r="G50" s="439">
        <v>0</v>
      </c>
      <c r="H50" s="438">
        <v>0</v>
      </c>
      <c r="I50" s="438">
        <v>0</v>
      </c>
      <c r="J50" s="438">
        <v>0</v>
      </c>
      <c r="K50" s="439">
        <v>0</v>
      </c>
      <c r="L50" s="439">
        <v>0</v>
      </c>
      <c r="M50" s="438">
        <v>0</v>
      </c>
    </row>
    <row r="51" spans="1:14" ht="19.5" customHeight="1">
      <c r="A51" s="827" t="s">
        <v>410</v>
      </c>
      <c r="B51" s="439">
        <f t="shared" si="17"/>
        <v>61100834.019999996</v>
      </c>
      <c r="C51" s="439">
        <f>SUM(C52:C55)</f>
        <v>1721621.6</v>
      </c>
      <c r="D51" s="439">
        <f>SUM(D52:D55)</f>
        <v>1219454.52</v>
      </c>
      <c r="E51" s="439">
        <f>SUM(E52:E55)</f>
        <v>1886282.8</v>
      </c>
      <c r="F51" s="439">
        <f>SUM(F52:F55)</f>
        <v>2996289.3</v>
      </c>
      <c r="G51" s="439">
        <f t="shared" ref="G51:M51" si="23">SUM(G52:G55)</f>
        <v>6218740.7999999998</v>
      </c>
      <c r="H51" s="438">
        <f t="shared" si="23"/>
        <v>4505052.0999999996</v>
      </c>
      <c r="I51" s="438">
        <f t="shared" si="23"/>
        <v>14599047.599999998</v>
      </c>
      <c r="J51" s="438">
        <f t="shared" si="23"/>
        <v>13413892.199999999</v>
      </c>
      <c r="K51" s="439">
        <f t="shared" si="23"/>
        <v>10632479.699999999</v>
      </c>
      <c r="L51" s="439">
        <f t="shared" si="23"/>
        <v>1953986.7</v>
      </c>
      <c r="M51" s="438">
        <f t="shared" si="23"/>
        <v>1953986.7</v>
      </c>
      <c r="N51" s="231">
        <f>C51+D51+E51+F51+G51+H51+I51+J51</f>
        <v>46560380.919999994</v>
      </c>
    </row>
    <row r="52" spans="1:14" s="170" customFormat="1">
      <c r="A52" s="823" t="s">
        <v>406</v>
      </c>
      <c r="B52" s="439">
        <f t="shared" si="17"/>
        <v>29816939.719999999</v>
      </c>
      <c r="C52" s="439">
        <v>1104798.1000000001</v>
      </c>
      <c r="D52" s="439">
        <v>625434.81999999995</v>
      </c>
      <c r="E52" s="439">
        <v>445107.7</v>
      </c>
      <c r="F52" s="439">
        <v>734095.8</v>
      </c>
      <c r="G52" s="439">
        <f>G12+G38</f>
        <v>3044623</v>
      </c>
      <c r="H52" s="438">
        <f t="shared" ref="H52:M52" si="24">H12+H38</f>
        <v>1593462.1</v>
      </c>
      <c r="I52" s="438">
        <f t="shared" si="24"/>
        <v>9111790.0999999996</v>
      </c>
      <c r="J52" s="438">
        <f t="shared" si="24"/>
        <v>9368188.0999999996</v>
      </c>
      <c r="K52" s="439">
        <f t="shared" si="24"/>
        <v>3789440</v>
      </c>
      <c r="L52" s="439">
        <f t="shared" si="24"/>
        <v>0</v>
      </c>
      <c r="M52" s="439">
        <f t="shared" si="24"/>
        <v>0</v>
      </c>
    </row>
    <row r="53" spans="1:14" s="170" customFormat="1">
      <c r="A53" s="829" t="s">
        <v>407</v>
      </c>
      <c r="B53" s="439">
        <f t="shared" si="17"/>
        <v>22381564</v>
      </c>
      <c r="C53" s="439">
        <v>288964.5</v>
      </c>
      <c r="D53" s="439">
        <v>589700.9</v>
      </c>
      <c r="E53" s="439">
        <f>1429700.5+3474-66.5</f>
        <v>1433108</v>
      </c>
      <c r="F53" s="439">
        <f>1831999.9+324558.6</f>
        <v>2156558.5</v>
      </c>
      <c r="G53" s="439">
        <f>G13+G39</f>
        <v>3040081.8</v>
      </c>
      <c r="H53" s="438">
        <f t="shared" ref="H53:M53" si="25">H13+H39</f>
        <v>2573255.5</v>
      </c>
      <c r="I53" s="438">
        <f t="shared" si="25"/>
        <v>4012137.3</v>
      </c>
      <c r="J53" s="438">
        <f t="shared" si="25"/>
        <v>2437757.5</v>
      </c>
      <c r="K53" s="439">
        <f t="shared" si="25"/>
        <v>1950000</v>
      </c>
      <c r="L53" s="439">
        <f t="shared" si="25"/>
        <v>1950000</v>
      </c>
      <c r="M53" s="439">
        <f t="shared" si="25"/>
        <v>1950000</v>
      </c>
    </row>
    <row r="54" spans="1:14" s="170" customFormat="1">
      <c r="A54" s="823" t="s">
        <v>408</v>
      </c>
      <c r="B54" s="439">
        <f t="shared" si="17"/>
        <v>606899.29999999981</v>
      </c>
      <c r="C54" s="439">
        <v>327859</v>
      </c>
      <c r="D54" s="439">
        <v>4318.8</v>
      </c>
      <c r="E54" s="439">
        <v>8067.1</v>
      </c>
      <c r="F54" s="439">
        <v>25635</v>
      </c>
      <c r="G54" s="439">
        <f>G14+G40</f>
        <v>7575</v>
      </c>
      <c r="H54" s="438">
        <f t="shared" ref="H54:M54" si="26">H14+H40</f>
        <v>30538.2</v>
      </c>
      <c r="I54" s="438">
        <f t="shared" si="26"/>
        <v>62529.2</v>
      </c>
      <c r="J54" s="438">
        <f t="shared" si="26"/>
        <v>128416.9</v>
      </c>
      <c r="K54" s="439">
        <f t="shared" si="26"/>
        <v>3986.7</v>
      </c>
      <c r="L54" s="439">
        <f t="shared" si="26"/>
        <v>3986.7</v>
      </c>
      <c r="M54" s="439">
        <f t="shared" si="26"/>
        <v>3986.7</v>
      </c>
    </row>
    <row r="55" spans="1:14" s="170" customFormat="1">
      <c r="A55" s="823" t="s">
        <v>409</v>
      </c>
      <c r="B55" s="439">
        <f t="shared" si="17"/>
        <v>8295431</v>
      </c>
      <c r="C55" s="439">
        <v>0</v>
      </c>
      <c r="D55" s="439">
        <v>0</v>
      </c>
      <c r="E55" s="439">
        <v>0</v>
      </c>
      <c r="F55" s="439">
        <v>80000</v>
      </c>
      <c r="G55" s="439">
        <f>G15+G41</f>
        <v>126461</v>
      </c>
      <c r="H55" s="438">
        <f t="shared" ref="H55:M55" si="27">H15+H41</f>
        <v>307796.3</v>
      </c>
      <c r="I55" s="438">
        <f t="shared" si="27"/>
        <v>1412591</v>
      </c>
      <c r="J55" s="438">
        <f t="shared" si="27"/>
        <v>1479529.7</v>
      </c>
      <c r="K55" s="439">
        <f t="shared" si="27"/>
        <v>4889053</v>
      </c>
      <c r="L55" s="439">
        <f t="shared" si="27"/>
        <v>0</v>
      </c>
      <c r="M55" s="439">
        <f t="shared" si="27"/>
        <v>0</v>
      </c>
    </row>
    <row r="56" spans="1:14" s="170" customFormat="1">
      <c r="A56" s="825" t="s">
        <v>1061</v>
      </c>
      <c r="B56" s="439">
        <v>0</v>
      </c>
      <c r="C56" s="439">
        <v>0</v>
      </c>
      <c r="D56" s="439">
        <v>0</v>
      </c>
      <c r="E56" s="439">
        <v>0</v>
      </c>
      <c r="F56" s="439">
        <v>0</v>
      </c>
      <c r="G56" s="439">
        <v>0</v>
      </c>
      <c r="H56" s="438">
        <v>0</v>
      </c>
      <c r="I56" s="438">
        <v>0</v>
      </c>
      <c r="J56" s="438">
        <v>0</v>
      </c>
      <c r="K56" s="439">
        <v>0</v>
      </c>
      <c r="L56" s="439">
        <v>0</v>
      </c>
      <c r="M56" s="438">
        <v>0</v>
      </c>
    </row>
    <row r="57" spans="1:14" s="170" customFormat="1">
      <c r="A57" s="823" t="s">
        <v>411</v>
      </c>
      <c r="B57" s="439">
        <f t="shared" si="17"/>
        <v>406859</v>
      </c>
      <c r="C57" s="439">
        <f>SUM(C58:C61)</f>
        <v>3000</v>
      </c>
      <c r="D57" s="439">
        <f>SUM(D58:D61)</f>
        <v>610</v>
      </c>
      <c r="E57" s="439">
        <f>SUM(E58:E61)</f>
        <v>7750</v>
      </c>
      <c r="F57" s="439">
        <f>SUM(F58:F61)</f>
        <v>19476.599999999999</v>
      </c>
      <c r="G57" s="439">
        <f>G58+G59+G60+G61</f>
        <v>39101.699999999997</v>
      </c>
      <c r="H57" s="438">
        <f t="shared" ref="H57:I57" si="28">H58+H59+H60+H61</f>
        <v>130482.3</v>
      </c>
      <c r="I57" s="438">
        <f t="shared" si="28"/>
        <v>25915.5</v>
      </c>
      <c r="J57" s="438">
        <f>SUM(J58:J61)</f>
        <v>132522.9</v>
      </c>
      <c r="K57" s="439">
        <f>SUM(K58:K61)</f>
        <v>16000</v>
      </c>
      <c r="L57" s="439">
        <f>SUM(L58:L61)</f>
        <v>16000</v>
      </c>
      <c r="M57" s="439">
        <f>SUM(M58:M61)</f>
        <v>16000</v>
      </c>
      <c r="N57" s="208">
        <f>7684169.6-D59-D53</f>
        <v>7093858.6999999993</v>
      </c>
    </row>
    <row r="58" spans="1:14" s="170" customFormat="1">
      <c r="A58" s="823" t="s">
        <v>406</v>
      </c>
      <c r="B58" s="439">
        <f t="shared" si="17"/>
        <v>0</v>
      </c>
      <c r="C58" s="439">
        <v>0</v>
      </c>
      <c r="D58" s="439">
        <v>0</v>
      </c>
      <c r="E58" s="439">
        <v>0</v>
      </c>
      <c r="F58" s="439">
        <v>0</v>
      </c>
      <c r="G58" s="439">
        <v>0</v>
      </c>
      <c r="H58" s="438">
        <v>0</v>
      </c>
      <c r="I58" s="438">
        <v>0</v>
      </c>
      <c r="J58" s="438">
        <v>0</v>
      </c>
      <c r="K58" s="439">
        <v>0</v>
      </c>
      <c r="L58" s="439">
        <v>0</v>
      </c>
      <c r="M58" s="439">
        <v>0</v>
      </c>
    </row>
    <row r="59" spans="1:14" s="170" customFormat="1">
      <c r="A59" s="829" t="s">
        <v>407</v>
      </c>
      <c r="B59" s="439">
        <f t="shared" si="17"/>
        <v>406859</v>
      </c>
      <c r="C59" s="439">
        <v>3000</v>
      </c>
      <c r="D59" s="439">
        <v>610</v>
      </c>
      <c r="E59" s="439">
        <v>7750</v>
      </c>
      <c r="F59" s="439">
        <v>19476.599999999999</v>
      </c>
      <c r="G59" s="439">
        <f>G19</f>
        <v>39101.699999999997</v>
      </c>
      <c r="H59" s="438">
        <f t="shared" ref="H59:M59" si="29">H19</f>
        <v>130482.3</v>
      </c>
      <c r="I59" s="438">
        <f t="shared" si="29"/>
        <v>25915.5</v>
      </c>
      <c r="J59" s="438">
        <f t="shared" si="29"/>
        <v>132522.9</v>
      </c>
      <c r="K59" s="439">
        <f t="shared" si="29"/>
        <v>16000</v>
      </c>
      <c r="L59" s="439">
        <f t="shared" si="29"/>
        <v>16000</v>
      </c>
      <c r="M59" s="439">
        <f t="shared" si="29"/>
        <v>16000</v>
      </c>
    </row>
    <row r="60" spans="1:14" s="170" customFormat="1">
      <c r="A60" s="823" t="s">
        <v>408</v>
      </c>
      <c r="B60" s="439">
        <f t="shared" si="17"/>
        <v>0</v>
      </c>
      <c r="C60" s="439">
        <v>0</v>
      </c>
      <c r="D60" s="439">
        <v>0</v>
      </c>
      <c r="E60" s="439">
        <v>0</v>
      </c>
      <c r="F60" s="439">
        <v>0</v>
      </c>
      <c r="G60" s="439">
        <v>0</v>
      </c>
      <c r="H60" s="438">
        <v>0</v>
      </c>
      <c r="I60" s="438">
        <v>0</v>
      </c>
      <c r="J60" s="438">
        <v>0</v>
      </c>
      <c r="K60" s="439">
        <v>0</v>
      </c>
      <c r="L60" s="439">
        <v>0</v>
      </c>
      <c r="M60" s="439">
        <v>0</v>
      </c>
    </row>
    <row r="61" spans="1:14" s="170" customFormat="1">
      <c r="A61" s="823" t="s">
        <v>409</v>
      </c>
      <c r="B61" s="439">
        <f t="shared" si="17"/>
        <v>0</v>
      </c>
      <c r="C61" s="439">
        <v>0</v>
      </c>
      <c r="D61" s="439">
        <v>0</v>
      </c>
      <c r="E61" s="439">
        <v>0</v>
      </c>
      <c r="F61" s="439">
        <v>0</v>
      </c>
      <c r="G61" s="439">
        <v>0</v>
      </c>
      <c r="H61" s="438">
        <v>0</v>
      </c>
      <c r="I61" s="438">
        <v>0</v>
      </c>
      <c r="J61" s="438">
        <v>0</v>
      </c>
      <c r="K61" s="439">
        <v>0</v>
      </c>
      <c r="L61" s="439">
        <v>0</v>
      </c>
      <c r="M61" s="439">
        <v>0</v>
      </c>
    </row>
    <row r="62" spans="1:14" s="170" customFormat="1">
      <c r="A62" s="825" t="s">
        <v>1061</v>
      </c>
      <c r="B62" s="439">
        <v>0</v>
      </c>
      <c r="C62" s="439">
        <v>0</v>
      </c>
      <c r="D62" s="439">
        <v>0</v>
      </c>
      <c r="E62" s="439">
        <v>0</v>
      </c>
      <c r="F62" s="439">
        <v>0</v>
      </c>
      <c r="G62" s="439">
        <v>0</v>
      </c>
      <c r="H62" s="438">
        <v>0</v>
      </c>
      <c r="I62" s="438">
        <v>0</v>
      </c>
      <c r="J62" s="438">
        <v>0</v>
      </c>
      <c r="K62" s="439">
        <v>0</v>
      </c>
      <c r="L62" s="439">
        <v>0</v>
      </c>
      <c r="M62" s="438">
        <v>0</v>
      </c>
    </row>
    <row r="63" spans="1:14" s="170" customFormat="1">
      <c r="A63" s="829" t="s">
        <v>412</v>
      </c>
      <c r="B63" s="439">
        <f t="shared" si="17"/>
        <v>100486208.90000001</v>
      </c>
      <c r="C63" s="439">
        <f t="shared" ref="C63:M63" si="30">SUM(C64:C67)</f>
        <v>5664900.5</v>
      </c>
      <c r="D63" s="439">
        <f t="shared" si="30"/>
        <v>7322584.4000000004</v>
      </c>
      <c r="E63" s="439">
        <f t="shared" si="30"/>
        <v>7779299.2000000002</v>
      </c>
      <c r="F63" s="439">
        <f t="shared" si="30"/>
        <v>8684857.9000000004</v>
      </c>
      <c r="G63" s="439">
        <f t="shared" si="30"/>
        <v>11602688.199999999</v>
      </c>
      <c r="H63" s="438">
        <f t="shared" si="30"/>
        <v>10168146.1</v>
      </c>
      <c r="I63" s="438">
        <f t="shared" si="30"/>
        <v>11886544</v>
      </c>
      <c r="J63" s="438">
        <f t="shared" si="30"/>
        <v>13762868.6</v>
      </c>
      <c r="K63" s="439">
        <f t="shared" si="30"/>
        <v>7871440</v>
      </c>
      <c r="L63" s="439">
        <f t="shared" si="30"/>
        <v>7871440</v>
      </c>
      <c r="M63" s="439">
        <f t="shared" si="30"/>
        <v>7871440</v>
      </c>
    </row>
    <row r="64" spans="1:14" s="170" customFormat="1">
      <c r="A64" s="823" t="s">
        <v>406</v>
      </c>
      <c r="B64" s="439">
        <f t="shared" si="17"/>
        <v>4829315.8</v>
      </c>
      <c r="C64" s="439">
        <v>457365.1</v>
      </c>
      <c r="D64" s="439">
        <v>108000</v>
      </c>
      <c r="E64" s="439">
        <v>809637.7</v>
      </c>
      <c r="F64" s="439">
        <v>769174.1</v>
      </c>
      <c r="G64" s="439">
        <f>G24</f>
        <v>1957938.9</v>
      </c>
      <c r="H64" s="438">
        <f t="shared" ref="H64:I64" si="31">H24</f>
        <v>632200</v>
      </c>
      <c r="I64" s="438">
        <f t="shared" si="31"/>
        <v>95000</v>
      </c>
      <c r="J64" s="438">
        <f t="shared" ref="J64:M64" si="32">J24</f>
        <v>0</v>
      </c>
      <c r="K64" s="439">
        <f t="shared" si="32"/>
        <v>0</v>
      </c>
      <c r="L64" s="439">
        <f t="shared" si="32"/>
        <v>0</v>
      </c>
      <c r="M64" s="439">
        <f t="shared" si="32"/>
        <v>0</v>
      </c>
    </row>
    <row r="65" spans="1:14" s="170" customFormat="1">
      <c r="A65" s="829" t="s">
        <v>407</v>
      </c>
      <c r="B65" s="439">
        <f t="shared" si="17"/>
        <v>93349352.700000003</v>
      </c>
      <c r="C65" s="439">
        <v>5154450.2</v>
      </c>
      <c r="D65" s="439">
        <v>7093858.7000000002</v>
      </c>
      <c r="E65" s="439">
        <f>6809245.1+20000+66.4</f>
        <v>6829311.5</v>
      </c>
      <c r="F65" s="439">
        <f>7676572.8+16700+99475.2</f>
        <v>7792748</v>
      </c>
      <c r="G65" s="439">
        <f>G25</f>
        <v>9198538.6999999993</v>
      </c>
      <c r="H65" s="438">
        <f t="shared" ref="H65:I65" si="33">H25</f>
        <v>9088479.6999999993</v>
      </c>
      <c r="I65" s="438">
        <f t="shared" si="33"/>
        <v>11341101.199999999</v>
      </c>
      <c r="J65" s="438">
        <f t="shared" ref="J65:M65" si="34">J25</f>
        <v>13463800.699999999</v>
      </c>
      <c r="K65" s="439">
        <f t="shared" si="34"/>
        <v>7795688</v>
      </c>
      <c r="L65" s="439">
        <f t="shared" si="34"/>
        <v>7795688</v>
      </c>
      <c r="M65" s="439">
        <f t="shared" si="34"/>
        <v>7795688</v>
      </c>
    </row>
    <row r="66" spans="1:14" s="170" customFormat="1">
      <c r="A66" s="823" t="s">
        <v>408</v>
      </c>
      <c r="B66" s="439">
        <f t="shared" si="17"/>
        <v>2307540.4</v>
      </c>
      <c r="C66" s="439">
        <v>53085.2</v>
      </c>
      <c r="D66" s="439">
        <v>120725.7</v>
      </c>
      <c r="E66" s="439">
        <f>139297.4+1052.6</f>
        <v>140350</v>
      </c>
      <c r="F66" s="439">
        <f>117756.8+968.4+4210.6</f>
        <v>122935.8</v>
      </c>
      <c r="G66" s="439">
        <f>G26</f>
        <v>446210.6</v>
      </c>
      <c r="H66" s="438">
        <f t="shared" ref="H66:M66" si="35">H26</f>
        <v>447466.39999999997</v>
      </c>
      <c r="I66" s="438">
        <f t="shared" si="35"/>
        <v>450442.8</v>
      </c>
      <c r="J66" s="438">
        <f t="shared" si="35"/>
        <v>299067.90000000002</v>
      </c>
      <c r="K66" s="439">
        <f t="shared" si="35"/>
        <v>75752</v>
      </c>
      <c r="L66" s="439">
        <f t="shared" si="35"/>
        <v>75752</v>
      </c>
      <c r="M66" s="439">
        <f t="shared" si="35"/>
        <v>75752</v>
      </c>
    </row>
    <row r="67" spans="1:14" s="170" customFormat="1">
      <c r="A67" s="823" t="s">
        <v>409</v>
      </c>
      <c r="B67" s="439">
        <f t="shared" si="17"/>
        <v>0</v>
      </c>
      <c r="C67" s="439">
        <v>0</v>
      </c>
      <c r="D67" s="439">
        <v>0</v>
      </c>
      <c r="E67" s="439">
        <v>0</v>
      </c>
      <c r="F67" s="439">
        <v>0</v>
      </c>
      <c r="G67" s="439">
        <v>0</v>
      </c>
      <c r="H67" s="438">
        <v>0</v>
      </c>
      <c r="I67" s="438">
        <v>0</v>
      </c>
      <c r="J67" s="438">
        <v>0</v>
      </c>
      <c r="K67" s="439"/>
      <c r="L67" s="439"/>
      <c r="M67" s="439"/>
    </row>
    <row r="68" spans="1:14" s="170" customFormat="1">
      <c r="A68" s="825" t="s">
        <v>1061</v>
      </c>
      <c r="B68" s="439">
        <v>0</v>
      </c>
      <c r="C68" s="439">
        <v>0</v>
      </c>
      <c r="D68" s="439">
        <v>0</v>
      </c>
      <c r="E68" s="439">
        <v>0</v>
      </c>
      <c r="F68" s="439">
        <v>0</v>
      </c>
      <c r="G68" s="439">
        <v>0</v>
      </c>
      <c r="H68" s="438">
        <v>0</v>
      </c>
      <c r="I68" s="438">
        <v>0</v>
      </c>
      <c r="J68" s="438">
        <v>0</v>
      </c>
      <c r="K68" s="439">
        <v>0</v>
      </c>
      <c r="L68" s="439">
        <v>0</v>
      </c>
      <c r="M68" s="438">
        <v>0</v>
      </c>
    </row>
    <row r="69" spans="1:14" ht="68.25" customHeight="1" thickBot="1">
      <c r="A69" s="390" t="s">
        <v>719</v>
      </c>
      <c r="B69" s="447">
        <f>SUM(B71:B79)</f>
        <v>37475203.120000005</v>
      </c>
      <c r="C69" s="447">
        <f t="shared" ref="C69:M69" si="36">SUM(C71:C79)</f>
        <v>1562163.2000000002</v>
      </c>
      <c r="D69" s="447">
        <f t="shared" si="36"/>
        <v>733434.82</v>
      </c>
      <c r="E69" s="447">
        <f t="shared" si="36"/>
        <v>1254745.3999999999</v>
      </c>
      <c r="F69" s="447">
        <f>SUM(F71:F79)</f>
        <v>1503269.9</v>
      </c>
      <c r="G69" s="447">
        <f t="shared" si="36"/>
        <v>5002561.9000000004</v>
      </c>
      <c r="H69" s="898">
        <f t="shared" si="36"/>
        <v>2045662.1</v>
      </c>
      <c r="I69" s="898">
        <f t="shared" si="36"/>
        <v>9516790.0999999996</v>
      </c>
      <c r="J69" s="898">
        <f t="shared" si="36"/>
        <v>9678188.0999999996</v>
      </c>
      <c r="K69" s="447">
        <f t="shared" si="36"/>
        <v>6178387.5999999996</v>
      </c>
      <c r="L69" s="447">
        <f t="shared" si="36"/>
        <v>0</v>
      </c>
      <c r="M69" s="447">
        <f t="shared" si="36"/>
        <v>0</v>
      </c>
    </row>
    <row r="70" spans="1:14" s="233" customFormat="1" ht="19.5" customHeight="1" thickBot="1">
      <c r="A70" s="230" t="s">
        <v>30</v>
      </c>
      <c r="B70" s="445"/>
      <c r="C70" s="445"/>
      <c r="D70" s="445"/>
      <c r="E70" s="445"/>
      <c r="F70" s="445"/>
      <c r="G70" s="445"/>
      <c r="H70" s="443"/>
      <c r="I70" s="443"/>
      <c r="J70" s="443"/>
      <c r="K70" s="445"/>
      <c r="L70" s="445">
        <f>SUM(L71:L79)</f>
        <v>0</v>
      </c>
      <c r="M70" s="443">
        <f>SUM(M71:M79)</f>
        <v>0</v>
      </c>
    </row>
    <row r="71" spans="1:14" ht="133.5" customHeight="1" thickBot="1">
      <c r="A71" s="446" t="s">
        <v>417</v>
      </c>
      <c r="B71" s="439">
        <f t="shared" ref="B71:B79" si="37">SUM(C71:M71)</f>
        <v>453331.80000000005</v>
      </c>
      <c r="C71" s="439">
        <v>95879.3</v>
      </c>
      <c r="D71" s="439">
        <v>60969.599999999999</v>
      </c>
      <c r="E71" s="439">
        <v>296482.90000000002</v>
      </c>
      <c r="F71" s="442"/>
      <c r="G71" s="442"/>
      <c r="H71" s="899"/>
      <c r="I71" s="438">
        <v>0</v>
      </c>
      <c r="J71" s="438">
        <v>0</v>
      </c>
      <c r="K71" s="439">
        <v>0</v>
      </c>
      <c r="L71" s="439">
        <v>0</v>
      </c>
      <c r="M71" s="438">
        <v>0</v>
      </c>
    </row>
    <row r="72" spans="1:14" ht="201" customHeight="1">
      <c r="A72" s="844" t="s">
        <v>794</v>
      </c>
      <c r="B72" s="845">
        <f t="shared" si="37"/>
        <v>304102.59999999998</v>
      </c>
      <c r="C72" s="845"/>
      <c r="D72" s="845"/>
      <c r="E72" s="845"/>
      <c r="F72" s="845">
        <v>128269.9</v>
      </c>
      <c r="G72" s="793">
        <v>175832.7</v>
      </c>
      <c r="H72" s="900"/>
      <c r="I72" s="846">
        <v>0</v>
      </c>
      <c r="J72" s="846"/>
      <c r="K72" s="845"/>
      <c r="L72" s="845"/>
      <c r="M72" s="846"/>
    </row>
    <row r="73" spans="1:14" ht="201" customHeight="1">
      <c r="A73" s="828" t="s">
        <v>1062</v>
      </c>
      <c r="B73" s="439">
        <f>SUM(C73:M73)</f>
        <v>450719.6</v>
      </c>
      <c r="C73" s="439"/>
      <c r="D73" s="439"/>
      <c r="E73" s="439"/>
      <c r="F73" s="439"/>
      <c r="G73" s="65"/>
      <c r="H73" s="86">
        <v>235662.1</v>
      </c>
      <c r="I73" s="438">
        <v>105290.1</v>
      </c>
      <c r="J73" s="438">
        <v>109767.4</v>
      </c>
      <c r="K73" s="439"/>
      <c r="L73" s="439"/>
      <c r="M73" s="438"/>
    </row>
    <row r="74" spans="1:14" ht="108.75" customHeight="1" thickBot="1">
      <c r="A74" s="232" t="s">
        <v>418</v>
      </c>
      <c r="B74" s="447">
        <f t="shared" si="37"/>
        <v>1582071.82</v>
      </c>
      <c r="C74" s="447">
        <v>1008918.8</v>
      </c>
      <c r="D74" s="447">
        <v>564465.22</v>
      </c>
      <c r="E74" s="447">
        <v>5792.5</v>
      </c>
      <c r="F74" s="445"/>
      <c r="G74" s="445">
        <v>2895.3</v>
      </c>
      <c r="H74" s="443"/>
      <c r="I74" s="229"/>
      <c r="J74" s="901"/>
      <c r="K74" s="451"/>
      <c r="L74" s="451"/>
      <c r="M74" s="444"/>
    </row>
    <row r="75" spans="1:14" ht="85.5" customHeight="1" thickBot="1">
      <c r="A75" s="232" t="s">
        <v>419</v>
      </c>
      <c r="B75" s="445">
        <f t="shared" si="37"/>
        <v>565365.1</v>
      </c>
      <c r="C75" s="445">
        <v>457365.1</v>
      </c>
      <c r="D75" s="445">
        <v>108000</v>
      </c>
      <c r="E75" s="718">
        <v>0</v>
      </c>
      <c r="F75" s="442"/>
      <c r="G75" s="442"/>
      <c r="H75" s="899"/>
      <c r="I75" s="902"/>
      <c r="J75" s="899"/>
      <c r="K75" s="442"/>
      <c r="L75" s="439"/>
      <c r="M75" s="438"/>
    </row>
    <row r="76" spans="1:14" ht="81" customHeight="1">
      <c r="A76" s="441" t="s">
        <v>451</v>
      </c>
      <c r="B76" s="439">
        <f t="shared" si="37"/>
        <v>1927470</v>
      </c>
      <c r="C76" s="439"/>
      <c r="D76" s="439"/>
      <c r="E76" s="439">
        <v>952470</v>
      </c>
      <c r="F76" s="439">
        <v>975000</v>
      </c>
      <c r="G76" s="439"/>
      <c r="H76" s="438"/>
      <c r="I76" s="438"/>
      <c r="J76" s="438"/>
      <c r="K76" s="439"/>
      <c r="L76" s="439"/>
      <c r="M76" s="438"/>
      <c r="N76" s="234">
        <f>B76</f>
        <v>1927470</v>
      </c>
    </row>
    <row r="77" spans="1:14" ht="69" customHeight="1">
      <c r="A77" s="450" t="s">
        <v>720</v>
      </c>
      <c r="B77" s="439">
        <f t="shared" si="37"/>
        <v>5034502.2</v>
      </c>
      <c r="C77" s="439"/>
      <c r="D77" s="439"/>
      <c r="E77" s="439"/>
      <c r="F77" s="439"/>
      <c r="G77" s="439">
        <f>2303202.2+731300</f>
        <v>3034502.2</v>
      </c>
      <c r="H77" s="438">
        <v>1000000</v>
      </c>
      <c r="I77" s="438">
        <v>1000000</v>
      </c>
      <c r="J77" s="438"/>
      <c r="K77" s="439"/>
      <c r="L77" s="439"/>
      <c r="M77" s="438"/>
      <c r="N77" s="234"/>
    </row>
    <row r="78" spans="1:14" ht="111" customHeight="1">
      <c r="A78" s="450" t="s">
        <v>1063</v>
      </c>
      <c r="B78" s="439">
        <f t="shared" si="37"/>
        <v>930000</v>
      </c>
      <c r="C78" s="439"/>
      <c r="D78" s="439"/>
      <c r="E78" s="439"/>
      <c r="F78" s="439"/>
      <c r="G78" s="439"/>
      <c r="H78" s="438">
        <v>310000</v>
      </c>
      <c r="I78" s="438">
        <v>310000</v>
      </c>
      <c r="J78" s="438">
        <v>310000</v>
      </c>
      <c r="K78" s="439"/>
      <c r="L78" s="439"/>
      <c r="M78" s="438"/>
      <c r="N78" s="234"/>
    </row>
    <row r="79" spans="1:14" ht="127.5" customHeight="1" thickBot="1">
      <c r="A79" s="440" t="s">
        <v>718</v>
      </c>
      <c r="B79" s="439">
        <f t="shared" si="37"/>
        <v>26227640</v>
      </c>
      <c r="C79" s="439"/>
      <c r="D79" s="439"/>
      <c r="E79" s="439"/>
      <c r="F79" s="439">
        <v>400000</v>
      </c>
      <c r="G79" s="439">
        <v>1789331.7</v>
      </c>
      <c r="H79" s="438">
        <v>500000</v>
      </c>
      <c r="I79" s="438">
        <v>8101500</v>
      </c>
      <c r="J79" s="438">
        <v>9258420.6999999993</v>
      </c>
      <c r="K79" s="439">
        <v>6178387.5999999996</v>
      </c>
      <c r="L79" s="439"/>
      <c r="M79" s="438"/>
      <c r="N79" s="234"/>
    </row>
    <row r="80" spans="1:14" ht="58.5" customHeight="1" thickBot="1">
      <c r="A80" s="580" t="s">
        <v>820</v>
      </c>
      <c r="B80" s="839">
        <f>B81+B83</f>
        <v>37982674.720000006</v>
      </c>
      <c r="C80" s="839">
        <f t="shared" ref="C80:L80" si="38">C81+C83</f>
        <v>0</v>
      </c>
      <c r="D80" s="839">
        <f t="shared" si="38"/>
        <v>0</v>
      </c>
      <c r="E80" s="839">
        <f t="shared" si="38"/>
        <v>412.43</v>
      </c>
      <c r="F80" s="839">
        <f t="shared" si="38"/>
        <v>884190.5</v>
      </c>
      <c r="G80" s="839">
        <f t="shared" si="38"/>
        <v>2573912.59</v>
      </c>
      <c r="H80" s="903">
        <f t="shared" si="38"/>
        <v>1502796.3</v>
      </c>
      <c r="I80" s="903">
        <f t="shared" si="38"/>
        <v>11218418.199999999</v>
      </c>
      <c r="J80" s="903">
        <f t="shared" si="38"/>
        <v>10737950.399999999</v>
      </c>
      <c r="K80" s="839">
        <f t="shared" si="38"/>
        <v>11064994.300000001</v>
      </c>
      <c r="L80" s="839">
        <f t="shared" si="38"/>
        <v>0</v>
      </c>
      <c r="M80" s="579"/>
      <c r="N80" s="234"/>
    </row>
    <row r="81" spans="1:24" ht="154.5" customHeight="1">
      <c r="A81" s="580" t="s">
        <v>1064</v>
      </c>
      <c r="B81" s="839">
        <f>B82</f>
        <v>3459603.74</v>
      </c>
      <c r="C81" s="839">
        <f t="shared" ref="C81:M81" si="39">C82</f>
        <v>0</v>
      </c>
      <c r="D81" s="839">
        <f t="shared" si="39"/>
        <v>0</v>
      </c>
      <c r="E81" s="839">
        <f t="shared" si="39"/>
        <v>412.43</v>
      </c>
      <c r="F81" s="839">
        <f t="shared" si="39"/>
        <v>403513.4</v>
      </c>
      <c r="G81" s="839">
        <f t="shared" si="39"/>
        <v>656350.71</v>
      </c>
      <c r="H81" s="903">
        <f t="shared" si="39"/>
        <v>695000</v>
      </c>
      <c r="I81" s="903">
        <f t="shared" si="39"/>
        <v>1704327.2</v>
      </c>
      <c r="J81" s="903">
        <f t="shared" si="39"/>
        <v>0</v>
      </c>
      <c r="K81" s="839">
        <f t="shared" si="39"/>
        <v>0</v>
      </c>
      <c r="L81" s="839">
        <f t="shared" si="39"/>
        <v>0</v>
      </c>
      <c r="M81" s="839">
        <f t="shared" si="39"/>
        <v>0</v>
      </c>
      <c r="N81" s="234"/>
    </row>
    <row r="82" spans="1:24" ht="36" customHeight="1" thickBot="1">
      <c r="A82" s="837" t="s">
        <v>249</v>
      </c>
      <c r="B82" s="840">
        <f t="shared" ref="B82" si="40">SUM(C82:K82)</f>
        <v>3459603.74</v>
      </c>
      <c r="C82" s="840"/>
      <c r="D82" s="840"/>
      <c r="E82" s="840">
        <v>412.43</v>
      </c>
      <c r="F82" s="840">
        <v>403513.4</v>
      </c>
      <c r="G82" s="840">
        <v>656350.71</v>
      </c>
      <c r="H82" s="904">
        <v>695000</v>
      </c>
      <c r="I82" s="904">
        <v>1704327.2</v>
      </c>
      <c r="J82" s="904"/>
      <c r="K82" s="841"/>
      <c r="L82" s="838"/>
      <c r="M82" s="838"/>
      <c r="N82" s="234"/>
    </row>
    <row r="83" spans="1:24" ht="154.5" customHeight="1">
      <c r="A83" s="580" t="s">
        <v>1065</v>
      </c>
      <c r="B83" s="839">
        <f>B84+B85</f>
        <v>34523070.980000004</v>
      </c>
      <c r="C83" s="839">
        <f t="shared" ref="C83:M83" si="41">C84+C85</f>
        <v>0</v>
      </c>
      <c r="D83" s="839">
        <f t="shared" si="41"/>
        <v>0</v>
      </c>
      <c r="E83" s="839">
        <f t="shared" si="41"/>
        <v>0</v>
      </c>
      <c r="F83" s="839">
        <f t="shared" si="41"/>
        <v>480677.1</v>
      </c>
      <c r="G83" s="839">
        <f t="shared" si="41"/>
        <v>1917561.88</v>
      </c>
      <c r="H83" s="903">
        <f t="shared" si="41"/>
        <v>807796.3</v>
      </c>
      <c r="I83" s="903">
        <f t="shared" si="41"/>
        <v>9514091</v>
      </c>
      <c r="J83" s="903">
        <f t="shared" si="41"/>
        <v>10737950.399999999</v>
      </c>
      <c r="K83" s="839">
        <f t="shared" si="41"/>
        <v>11064994.300000001</v>
      </c>
      <c r="L83" s="839">
        <f t="shared" si="41"/>
        <v>0</v>
      </c>
      <c r="M83" s="839">
        <f t="shared" si="41"/>
        <v>0</v>
      </c>
      <c r="N83" s="234"/>
    </row>
    <row r="84" spans="1:24" ht="17.25" customHeight="1">
      <c r="A84" s="837" t="s">
        <v>502</v>
      </c>
      <c r="B84" s="840">
        <f>SUM(C84:K84)</f>
        <v>26227640</v>
      </c>
      <c r="C84" s="840"/>
      <c r="D84" s="840"/>
      <c r="E84" s="840"/>
      <c r="F84" s="840">
        <v>400000</v>
      </c>
      <c r="G84" s="840">
        <v>1789331.7</v>
      </c>
      <c r="H84" s="904">
        <v>500000</v>
      </c>
      <c r="I84" s="904">
        <v>8101500</v>
      </c>
      <c r="J84" s="904">
        <v>9258420.6999999993</v>
      </c>
      <c r="K84" s="841">
        <v>6178387.5999999996</v>
      </c>
      <c r="L84" s="838"/>
      <c r="M84" s="838"/>
      <c r="N84" s="238">
        <f>SUM(D84:J84)</f>
        <v>20049252.399999999</v>
      </c>
      <c r="P84" s="237"/>
      <c r="S84" s="231"/>
    </row>
    <row r="85" spans="1:24" ht="15.75" thickBot="1">
      <c r="A85" s="577" t="s">
        <v>454</v>
      </c>
      <c r="B85" s="840">
        <f t="shared" ref="B85" si="42">SUM(C85:K85)</f>
        <v>8295430.9800000004</v>
      </c>
      <c r="C85" s="842"/>
      <c r="D85" s="842"/>
      <c r="E85" s="842">
        <v>0</v>
      </c>
      <c r="F85" s="842">
        <v>80677.100000000006</v>
      </c>
      <c r="G85" s="842">
        <v>128230.18</v>
      </c>
      <c r="H85" s="905">
        <v>307796.3</v>
      </c>
      <c r="I85" s="905">
        <v>1412591</v>
      </c>
      <c r="J85" s="905">
        <v>1479529.7</v>
      </c>
      <c r="K85" s="843">
        <v>4886606.7</v>
      </c>
      <c r="L85" s="578"/>
      <c r="M85" s="578"/>
      <c r="N85" s="240">
        <f>SUM(N76:N83)</f>
        <v>1927470</v>
      </c>
    </row>
    <row r="86" spans="1:24">
      <c r="D86" s="208" t="e">
        <f>D76+#REF!+#REF!</f>
        <v>#REF!</v>
      </c>
      <c r="E86" s="208" t="e">
        <f>E76+#REF!+#REF!</f>
        <v>#REF!</v>
      </c>
      <c r="F86" s="208" t="e">
        <f>F76+#REF!+#REF!</f>
        <v>#REF!</v>
      </c>
      <c r="G86" s="208" t="e">
        <f>G76+#REF!+#REF!</f>
        <v>#REF!</v>
      </c>
      <c r="H86" s="906" t="e">
        <f>H76+#REF!+#REF!</f>
        <v>#REF!</v>
      </c>
      <c r="I86" s="906" t="e">
        <f>I76+#REF!+#REF!</f>
        <v>#REF!</v>
      </c>
      <c r="X86" s="231" t="e">
        <f>B87-D86-E86</f>
        <v>#REF!</v>
      </c>
    </row>
    <row r="87" spans="1:24">
      <c r="B87" s="803"/>
      <c r="C87" s="803"/>
      <c r="D87" s="803"/>
      <c r="E87" s="803"/>
      <c r="F87" s="803"/>
      <c r="G87" s="803">
        <f>G84+G85</f>
        <v>1917561.88</v>
      </c>
      <c r="H87" s="908">
        <f>H84+H85</f>
        <v>807796.3</v>
      </c>
      <c r="I87" s="908"/>
      <c r="J87" s="908"/>
      <c r="K87" s="241"/>
    </row>
    <row r="88" spans="1:24">
      <c r="B88" s="816">
        <f>B84+B85</f>
        <v>34523070.980000004</v>
      </c>
      <c r="C88" s="171">
        <v>2015</v>
      </c>
      <c r="D88" s="171">
        <v>2016</v>
      </c>
      <c r="E88" s="171">
        <v>2017</v>
      </c>
      <c r="F88" s="171">
        <v>2018</v>
      </c>
      <c r="G88" s="171">
        <v>2019</v>
      </c>
      <c r="H88" s="909">
        <v>2020</v>
      </c>
      <c r="I88" s="909">
        <v>2021</v>
      </c>
    </row>
    <row r="89" spans="1:24">
      <c r="B89" s="803"/>
      <c r="D89" s="817">
        <v>107.31489163336438</v>
      </c>
      <c r="E89" s="437">
        <v>106.80419218815939</v>
      </c>
      <c r="F89" s="437">
        <v>106.40296400340539</v>
      </c>
      <c r="G89" s="437">
        <v>105.28755638334495</v>
      </c>
      <c r="H89" s="910">
        <v>104.62228427027578</v>
      </c>
      <c r="I89" s="911">
        <v>103.90195775089536</v>
      </c>
    </row>
    <row r="90" spans="1:24">
      <c r="A90" s="246" t="s">
        <v>423</v>
      </c>
      <c r="D90" s="436">
        <f t="shared" ref="D90:I90" si="43">D89/100</f>
        <v>1.0731489163336438</v>
      </c>
      <c r="E90" s="436">
        <f t="shared" si="43"/>
        <v>1.068041921881594</v>
      </c>
      <c r="F90" s="436">
        <f t="shared" si="43"/>
        <v>1.0640296400340539</v>
      </c>
      <c r="G90" s="436">
        <f t="shared" si="43"/>
        <v>1.0528755638334495</v>
      </c>
      <c r="H90" s="912">
        <f t="shared" si="43"/>
        <v>1.0462228427027578</v>
      </c>
      <c r="I90" s="912">
        <f t="shared" si="43"/>
        <v>1.0390195775089537</v>
      </c>
    </row>
    <row r="91" spans="1:24">
      <c r="A91" s="248"/>
      <c r="C91" s="434">
        <f>32078587.37</f>
        <v>32078587.370000001</v>
      </c>
      <c r="D91" s="434">
        <v>775000</v>
      </c>
      <c r="E91" s="434">
        <f>$C91/5-775000/5</f>
        <v>6260717.4740000004</v>
      </c>
      <c r="F91" s="434">
        <f>$C91/5-775000/5</f>
        <v>6260717.4740000004</v>
      </c>
      <c r="G91" s="434">
        <f>$C91/5-775000/5</f>
        <v>6260717.4740000004</v>
      </c>
      <c r="H91" s="913">
        <f>$C91/5-775000/5</f>
        <v>6260717.4740000004</v>
      </c>
      <c r="I91" s="913">
        <f>$C91/5-775000/5</f>
        <v>6260717.4740000004</v>
      </c>
      <c r="J91" s="914">
        <f>SUM(D91:I91)</f>
        <v>32078587.370000001</v>
      </c>
      <c r="K91" s="452"/>
      <c r="L91" s="452"/>
      <c r="M91" s="250"/>
    </row>
    <row r="92" spans="1:24">
      <c r="A92" s="248"/>
      <c r="B92" s="818">
        <v>1</v>
      </c>
      <c r="C92" s="477" t="s">
        <v>424</v>
      </c>
      <c r="D92" s="435">
        <v>775000</v>
      </c>
      <c r="E92" s="435">
        <f>E90*E91</f>
        <v>6686708.7232886385</v>
      </c>
      <c r="F92" s="435">
        <f>F90*F91</f>
        <v>6661588.9602151318</v>
      </c>
      <c r="G92" s="435">
        <f>G90*G91</f>
        <v>6591756.4404396797</v>
      </c>
      <c r="H92" s="915">
        <f>H90*H91</f>
        <v>6550105.6330071092</v>
      </c>
      <c r="I92" s="915">
        <f>I90*I91</f>
        <v>6505008.024738404</v>
      </c>
      <c r="J92" s="916">
        <f>SUM(D92:I92)</f>
        <v>33770167.781688958</v>
      </c>
      <c r="K92" s="453"/>
      <c r="L92" s="453"/>
      <c r="M92" s="433"/>
    </row>
    <row r="93" spans="1:24" hidden="1">
      <c r="A93" s="248"/>
      <c r="E93" s="434">
        <f>33770167.8*0.75/5</f>
        <v>5065525.17</v>
      </c>
      <c r="F93" s="434">
        <f>33770167.8*0.75/5</f>
        <v>5065525.17</v>
      </c>
      <c r="G93" s="434">
        <f>33770167.8*0.75/5</f>
        <v>5065525.17</v>
      </c>
      <c r="H93" s="913">
        <f>33770167.8*0.75/5</f>
        <v>5065525.17</v>
      </c>
      <c r="I93" s="913">
        <f>33770167.8*0.75/5</f>
        <v>5065525.17</v>
      </c>
      <c r="J93" s="914">
        <f>SUM(E93:I93)</f>
        <v>25327625.850000001</v>
      </c>
      <c r="K93" s="452"/>
      <c r="L93" s="452"/>
      <c r="M93" s="250"/>
      <c r="N93" s="249">
        <f>25368000-J93</f>
        <v>40374.14999999851</v>
      </c>
      <c r="P93" s="255"/>
    </row>
    <row r="94" spans="1:24" hidden="1">
      <c r="A94" s="248"/>
      <c r="E94" s="414">
        <f>N93/5</f>
        <v>8074.8299999997016</v>
      </c>
      <c r="F94" s="414">
        <v>8074.8299999997016</v>
      </c>
      <c r="G94" s="414">
        <v>8074.8299999997016</v>
      </c>
      <c r="H94" s="917">
        <v>8074.8299999997016</v>
      </c>
      <c r="I94" s="917">
        <v>8074.8299999997016</v>
      </c>
      <c r="J94" s="914">
        <f>SUM(E94:I94)</f>
        <v>40374.14999999851</v>
      </c>
      <c r="K94" s="452"/>
      <c r="L94" s="452"/>
      <c r="M94" s="250"/>
    </row>
    <row r="95" spans="1:24" hidden="1">
      <c r="A95" s="248"/>
      <c r="B95" s="818">
        <v>0.75</v>
      </c>
      <c r="C95" s="477" t="s">
        <v>425</v>
      </c>
      <c r="D95" s="442"/>
      <c r="E95" s="426">
        <f>E93+E94</f>
        <v>5073600</v>
      </c>
      <c r="F95" s="426">
        <f>F93+F94</f>
        <v>5073600</v>
      </c>
      <c r="G95" s="426">
        <f>G93+G94</f>
        <v>5073600</v>
      </c>
      <c r="H95" s="918">
        <f>H93+H94</f>
        <v>5073600</v>
      </c>
      <c r="I95" s="918">
        <f>I93+I94</f>
        <v>5073600</v>
      </c>
      <c r="J95" s="916">
        <f>SUM(E95:I95)</f>
        <v>25368000</v>
      </c>
      <c r="K95" s="453"/>
      <c r="L95" s="453"/>
      <c r="M95" s="433"/>
      <c r="N95" s="1183">
        <f>J95+J97+J96</f>
        <v>33770167.781688958</v>
      </c>
    </row>
    <row r="96" spans="1:24" hidden="1">
      <c r="A96" s="248"/>
      <c r="B96" s="818"/>
      <c r="C96" s="477" t="s">
        <v>426</v>
      </c>
      <c r="D96" s="426">
        <v>775000</v>
      </c>
      <c r="E96" s="427">
        <v>2011000</v>
      </c>
      <c r="F96" s="427">
        <v>1272000</v>
      </c>
      <c r="G96" s="426"/>
      <c r="H96" s="918"/>
      <c r="I96" s="918"/>
      <c r="J96" s="916">
        <f>SUM(D96:I96)</f>
        <v>4058000</v>
      </c>
      <c r="K96" s="453"/>
      <c r="L96" s="453"/>
      <c r="M96" s="433"/>
      <c r="N96" s="1183"/>
      <c r="P96" s="255"/>
    </row>
    <row r="97" spans="1:19" hidden="1">
      <c r="A97" s="248"/>
      <c r="B97" s="818">
        <v>0.25</v>
      </c>
      <c r="C97" s="477" t="s">
        <v>427</v>
      </c>
      <c r="D97" s="442"/>
      <c r="E97" s="426">
        <f>E92-E95-E96</f>
        <v>-397891.27671136148</v>
      </c>
      <c r="F97" s="426">
        <f>F92-F95-F96</f>
        <v>315988.96021513175</v>
      </c>
      <c r="G97" s="426">
        <f>G92-G95-G96</f>
        <v>1518156.4404396797</v>
      </c>
      <c r="H97" s="918">
        <f>H92-H95-H96</f>
        <v>1476505.6330071092</v>
      </c>
      <c r="I97" s="918">
        <f>I92-I95-I96</f>
        <v>1431408.024738404</v>
      </c>
      <c r="J97" s="916">
        <f>SUM(E97:I97)</f>
        <v>4344167.7816889631</v>
      </c>
      <c r="K97" s="453"/>
      <c r="L97" s="453"/>
      <c r="M97" s="433"/>
      <c r="N97" s="1184"/>
    </row>
    <row r="98" spans="1:19" hidden="1">
      <c r="A98" s="248"/>
    </row>
    <row r="99" spans="1:19" hidden="1">
      <c r="A99" s="248"/>
    </row>
    <row r="100" spans="1:19" hidden="1">
      <c r="A100" s="248"/>
      <c r="E100" s="426">
        <f>8079000</f>
        <v>8079000</v>
      </c>
      <c r="F100" s="426">
        <f>5497000</f>
        <v>5497000</v>
      </c>
      <c r="G100" s="426">
        <f>5741000</f>
        <v>5741000</v>
      </c>
      <c r="H100" s="918">
        <f>3981000</f>
        <v>3981000</v>
      </c>
      <c r="I100" s="918">
        <f>2070000</f>
        <v>2070000</v>
      </c>
      <c r="J100" s="917">
        <f>SUM(E100:I100)</f>
        <v>25368000</v>
      </c>
      <c r="K100" s="414"/>
      <c r="L100" s="414"/>
      <c r="M100" s="255"/>
    </row>
    <row r="101" spans="1:19" hidden="1">
      <c r="A101" s="1185" t="s">
        <v>428</v>
      </c>
      <c r="C101" s="477" t="s">
        <v>425</v>
      </c>
      <c r="E101" s="419">
        <f>E100/$N95</f>
        <v>0.23923481968545737</v>
      </c>
      <c r="F101" s="419">
        <f>F100/$N95</f>
        <v>0.16277680453162016</v>
      </c>
      <c r="G101" s="419">
        <f>G100/$N95</f>
        <v>0.17000211657559236</v>
      </c>
      <c r="H101" s="919">
        <f>H100/$N95</f>
        <v>0.11788511166825175</v>
      </c>
      <c r="I101" s="919">
        <f>I100/$N95</f>
        <v>6.129670463533813E-2</v>
      </c>
      <c r="J101" s="919">
        <f>SUM(E101:I101)</f>
        <v>0.75119555709625974</v>
      </c>
      <c r="K101" s="454"/>
      <c r="L101" s="454"/>
      <c r="M101" s="432"/>
    </row>
    <row r="102" spans="1:19" hidden="1">
      <c r="A102" s="1185"/>
      <c r="C102" s="477" t="s">
        <v>427</v>
      </c>
      <c r="E102" s="419">
        <f>E101/$J101</f>
        <v>0.3184720908230842</v>
      </c>
      <c r="F102" s="419">
        <f>F101/$J101</f>
        <v>0.21669031851151058</v>
      </c>
      <c r="G102" s="419">
        <f>G101/$J101</f>
        <v>0.22630873541469568</v>
      </c>
      <c r="H102" s="919">
        <f>H101/$J101</f>
        <v>0.15692999053926207</v>
      </c>
      <c r="I102" s="919">
        <f>I101/$J101</f>
        <v>8.1598864711447491E-2</v>
      </c>
      <c r="J102" s="919">
        <f>SUM(E102:I102)</f>
        <v>1</v>
      </c>
      <c r="K102" s="454"/>
      <c r="L102" s="454"/>
      <c r="M102" s="432"/>
    </row>
    <row r="103" spans="1:19" ht="15.75" thickBot="1">
      <c r="A103" s="389"/>
      <c r="C103" s="819"/>
      <c r="E103" s="431"/>
      <c r="F103" s="431"/>
      <c r="G103" s="431"/>
      <c r="H103" s="920"/>
      <c r="I103" s="920"/>
    </row>
    <row r="104" spans="1:19" ht="15.75" thickBot="1">
      <c r="A104" s="1185" t="s">
        <v>429</v>
      </c>
      <c r="B104" s="818">
        <v>0.75</v>
      </c>
      <c r="C104" s="477" t="s">
        <v>425</v>
      </c>
      <c r="D104" s="442"/>
      <c r="E104" s="426">
        <f>$N95*E101</f>
        <v>8079000</v>
      </c>
      <c r="F104" s="426">
        <f>$N95*F101</f>
        <v>5497000</v>
      </c>
      <c r="G104" s="426">
        <f>$N95*G101</f>
        <v>5741000</v>
      </c>
      <c r="H104" s="918">
        <f>$N95*H101</f>
        <v>3981000</v>
      </c>
      <c r="I104" s="918">
        <f>$N95*I101</f>
        <v>2070000</v>
      </c>
      <c r="J104" s="916">
        <f>SUM(D104:I104)</f>
        <v>25368000</v>
      </c>
      <c r="K104" s="455"/>
      <c r="L104" s="455"/>
      <c r="M104" s="430"/>
      <c r="N104" s="1186">
        <f>J104+J106+J105</f>
        <v>33824000</v>
      </c>
      <c r="R104" s="262"/>
    </row>
    <row r="105" spans="1:19" ht="15.75" thickBot="1">
      <c r="A105" s="1185"/>
      <c r="B105" s="818"/>
      <c r="C105" s="477" t="s">
        <v>426</v>
      </c>
      <c r="E105" s="427">
        <v>775000</v>
      </c>
      <c r="F105" s="427">
        <v>2011000</v>
      </c>
      <c r="G105" s="427">
        <v>1272000</v>
      </c>
      <c r="H105" s="918"/>
      <c r="I105" s="918"/>
      <c r="J105" s="916">
        <f>SUM(E105:I105)</f>
        <v>4058000</v>
      </c>
      <c r="K105" s="455"/>
      <c r="L105" s="455"/>
      <c r="M105" s="430"/>
      <c r="N105" s="1186"/>
      <c r="P105" s="255"/>
      <c r="R105" s="263"/>
    </row>
    <row r="106" spans="1:19">
      <c r="A106" s="1185"/>
      <c r="B106" s="818">
        <v>0.25</v>
      </c>
      <c r="C106" s="477" t="s">
        <v>427</v>
      </c>
      <c r="D106" s="477"/>
      <c r="E106" s="426">
        <v>1400640.2554399243</v>
      </c>
      <c r="F106" s="426">
        <v>953004.02081362344</v>
      </c>
      <c r="G106" s="426">
        <v>995305.81835383154</v>
      </c>
      <c r="H106" s="918">
        <v>690178.09839167458</v>
      </c>
      <c r="I106" s="918">
        <v>358871.80700094608</v>
      </c>
      <c r="J106" s="916">
        <f>SUM(D106:I106)</f>
        <v>4398000</v>
      </c>
      <c r="K106" s="455"/>
      <c r="L106" s="455"/>
      <c r="M106" s="430"/>
      <c r="N106" s="1186"/>
    </row>
    <row r="107" spans="1:19">
      <c r="A107" s="1185"/>
      <c r="B107" s="820">
        <v>1</v>
      </c>
      <c r="C107" s="821" t="s">
        <v>430</v>
      </c>
      <c r="D107" s="423">
        <f t="shared" ref="D107:J107" si="44">SUM(D104:D106)</f>
        <v>0</v>
      </c>
      <c r="E107" s="423">
        <f t="shared" si="44"/>
        <v>10254640.255439924</v>
      </c>
      <c r="F107" s="423">
        <f t="shared" si="44"/>
        <v>8461004.0208136234</v>
      </c>
      <c r="G107" s="423">
        <f t="shared" si="44"/>
        <v>8008305.8183538318</v>
      </c>
      <c r="H107" s="266">
        <f t="shared" si="44"/>
        <v>4671178.0983916745</v>
      </c>
      <c r="I107" s="266">
        <f t="shared" si="44"/>
        <v>2428871.8070009463</v>
      </c>
      <c r="J107" s="266">
        <f t="shared" si="44"/>
        <v>33824000</v>
      </c>
      <c r="K107" s="456"/>
      <c r="L107" s="456"/>
      <c r="M107" s="429"/>
      <c r="N107" s="388"/>
    </row>
    <row r="108" spans="1:19" ht="19.5" customHeight="1">
      <c r="B108" s="1179" t="s">
        <v>428</v>
      </c>
      <c r="C108" s="1179"/>
      <c r="D108" s="421">
        <f t="shared" ref="D108:I108" si="45">D107/$N104</f>
        <v>0</v>
      </c>
      <c r="E108" s="421">
        <f t="shared" si="45"/>
        <v>0.3031764503145673</v>
      </c>
      <c r="F108" s="421">
        <f t="shared" si="45"/>
        <v>0.25014794290484932</v>
      </c>
      <c r="G108" s="421">
        <f t="shared" si="45"/>
        <v>0.23676400834773628</v>
      </c>
      <c r="H108" s="921">
        <f t="shared" si="45"/>
        <v>0.13810247452671695</v>
      </c>
      <c r="I108" s="921">
        <f t="shared" si="45"/>
        <v>7.1809123906130146E-2</v>
      </c>
      <c r="J108" s="921">
        <f>SUM(D108:I108)</f>
        <v>1</v>
      </c>
      <c r="K108" s="457"/>
      <c r="L108" s="457"/>
      <c r="M108" s="428"/>
      <c r="R108" s="255"/>
    </row>
    <row r="110" spans="1:19">
      <c r="B110" s="818">
        <v>0.75</v>
      </c>
      <c r="C110" s="477" t="s">
        <v>425</v>
      </c>
      <c r="D110" s="427"/>
      <c r="E110" s="426">
        <f>8079000</f>
        <v>8079000</v>
      </c>
      <c r="F110" s="426">
        <f>5497000</f>
        <v>5497000</v>
      </c>
      <c r="G110" s="426">
        <f>5741000</f>
        <v>5741000</v>
      </c>
      <c r="H110" s="918">
        <f>3981000</f>
        <v>3981000</v>
      </c>
      <c r="I110" s="918">
        <f>2070000</f>
        <v>2070000</v>
      </c>
      <c r="J110" s="916">
        <f>SUM(E110:I110)</f>
        <v>25368000</v>
      </c>
      <c r="K110" s="453"/>
      <c r="L110" s="453"/>
      <c r="M110" s="424"/>
      <c r="Q110" t="s">
        <v>431</v>
      </c>
      <c r="R110" s="255">
        <v>25368000</v>
      </c>
      <c r="S110" s="259">
        <f>R110/R114</f>
        <v>0.75</v>
      </c>
    </row>
    <row r="111" spans="1:19">
      <c r="B111" s="818"/>
      <c r="C111" s="477" t="s">
        <v>426</v>
      </c>
      <c r="D111" s="427">
        <v>0</v>
      </c>
      <c r="E111" s="427">
        <v>775000</v>
      </c>
      <c r="F111" s="427">
        <v>2011000</v>
      </c>
      <c r="G111" s="427">
        <v>1272000</v>
      </c>
      <c r="H111" s="922"/>
      <c r="I111" s="922"/>
      <c r="J111" s="916">
        <f>SUM(D111:I111)</f>
        <v>4058000</v>
      </c>
      <c r="K111" s="453"/>
      <c r="L111" s="453"/>
      <c r="M111" s="424"/>
      <c r="Q111" t="s">
        <v>432</v>
      </c>
      <c r="R111" s="255">
        <v>4058000</v>
      </c>
      <c r="S111" s="259">
        <f>R111/R114</f>
        <v>0.11997398297067172</v>
      </c>
    </row>
    <row r="112" spans="1:19">
      <c r="B112" s="818">
        <v>0.25</v>
      </c>
      <c r="C112" s="477" t="s">
        <v>427</v>
      </c>
      <c r="D112" s="427"/>
      <c r="E112" s="426">
        <v>358871.80700094608</v>
      </c>
      <c r="F112" s="426">
        <v>690178.09839167458</v>
      </c>
      <c r="G112" s="426">
        <v>995305.81835383154</v>
      </c>
      <c r="H112" s="918">
        <v>953004.02081362344</v>
      </c>
      <c r="I112" s="918">
        <v>1400640.2554399243</v>
      </c>
      <c r="J112" s="916">
        <f>SUM(D112:I112)</f>
        <v>4398000</v>
      </c>
      <c r="K112" s="453"/>
      <c r="L112" s="453"/>
      <c r="M112" s="424"/>
      <c r="N112" s="255"/>
      <c r="Q112" t="s">
        <v>433</v>
      </c>
      <c r="R112" s="255">
        <v>4398000</v>
      </c>
      <c r="S112" s="259">
        <f>R112/R114</f>
        <v>0.13002601702932828</v>
      </c>
    </row>
    <row r="113" spans="2:19">
      <c r="B113" s="818"/>
      <c r="C113" s="477"/>
      <c r="D113" s="427"/>
      <c r="E113" s="425">
        <f>E112/J112</f>
        <v>8.1598864711447491E-2</v>
      </c>
      <c r="F113" s="425">
        <f>F112/J112</f>
        <v>0.15692999053926207</v>
      </c>
      <c r="G113" s="425">
        <f>G112/J112</f>
        <v>0.22630873541469568</v>
      </c>
      <c r="H113" s="923">
        <f>H112/J112</f>
        <v>0.21669031851151055</v>
      </c>
      <c r="I113" s="923">
        <f>I112/J112</f>
        <v>0.3184720908230842</v>
      </c>
      <c r="J113" s="916">
        <f>SUM(D113:I113)</f>
        <v>1</v>
      </c>
      <c r="K113" s="453"/>
      <c r="L113" s="453"/>
      <c r="M113" s="424"/>
      <c r="N113" s="255"/>
      <c r="R113" s="255"/>
      <c r="S113" s="259"/>
    </row>
    <row r="114" spans="2:19">
      <c r="B114" s="820">
        <v>1</v>
      </c>
      <c r="C114" s="820" t="s">
        <v>430</v>
      </c>
      <c r="D114" s="423">
        <f t="shared" ref="D114:J114" si="46">SUM(D110:D112)</f>
        <v>0</v>
      </c>
      <c r="E114" s="423">
        <f t="shared" si="46"/>
        <v>9212871.8070009463</v>
      </c>
      <c r="F114" s="423">
        <f t="shared" si="46"/>
        <v>8198178.0983916745</v>
      </c>
      <c r="G114" s="423">
        <f t="shared" si="46"/>
        <v>8008305.8183538318</v>
      </c>
      <c r="H114" s="266">
        <f t="shared" si="46"/>
        <v>4934004.0208136234</v>
      </c>
      <c r="I114" s="266">
        <f t="shared" si="46"/>
        <v>3470640.2554399241</v>
      </c>
      <c r="J114" s="266">
        <f t="shared" si="46"/>
        <v>33824000</v>
      </c>
      <c r="K114" s="456"/>
      <c r="L114" s="456"/>
      <c r="M114" s="422"/>
      <c r="Q114" t="s">
        <v>434</v>
      </c>
      <c r="R114" s="276">
        <f>SUM(R110:R112)</f>
        <v>33824000</v>
      </c>
      <c r="S114" s="259">
        <v>1</v>
      </c>
    </row>
    <row r="115" spans="2:19">
      <c r="B115" s="1179" t="s">
        <v>428</v>
      </c>
      <c r="C115" s="1179"/>
      <c r="D115" s="421">
        <f t="shared" ref="D115:I115" si="47">D114/$J114</f>
        <v>0</v>
      </c>
      <c r="E115" s="421">
        <f t="shared" si="47"/>
        <v>0.27237676818238371</v>
      </c>
      <c r="F115" s="421">
        <f t="shared" si="47"/>
        <v>0.24237754548225149</v>
      </c>
      <c r="G115" s="421">
        <f t="shared" si="47"/>
        <v>0.23676400834773628</v>
      </c>
      <c r="H115" s="921">
        <f t="shared" si="47"/>
        <v>0.14587287194931478</v>
      </c>
      <c r="I115" s="921">
        <f t="shared" si="47"/>
        <v>0.10260880603831374</v>
      </c>
      <c r="J115" s="921">
        <f>SUM(D115:I115)</f>
        <v>1</v>
      </c>
      <c r="K115" s="457"/>
      <c r="L115" s="457"/>
      <c r="M115" s="420"/>
    </row>
    <row r="117" spans="2:19">
      <c r="D117" s="419"/>
      <c r="E117" s="419">
        <f>E110/R114</f>
        <v>0.23885406811731316</v>
      </c>
      <c r="F117" s="419">
        <f>F110/R114</f>
        <v>0.16251773888363291</v>
      </c>
      <c r="G117" s="419">
        <f>G110/R114</f>
        <v>0.16973155156102177</v>
      </c>
      <c r="H117" s="919">
        <f>H110/R114</f>
        <v>0.11769749290444655</v>
      </c>
      <c r="I117" s="919">
        <f>I110/R114</f>
        <v>6.1199148533585622E-2</v>
      </c>
      <c r="J117" s="920">
        <f>SUM(D117:I117)</f>
        <v>0.75</v>
      </c>
      <c r="K117" s="431"/>
      <c r="L117" s="431"/>
      <c r="M117" s="239"/>
    </row>
    <row r="118" spans="2:19">
      <c r="E118" s="418">
        <f>E112/$J112</f>
        <v>8.1598864711447491E-2</v>
      </c>
      <c r="F118" s="418">
        <f>F112/$J112</f>
        <v>0.15692999053926207</v>
      </c>
      <c r="G118" s="418">
        <f>G112/$J112</f>
        <v>0.22630873541469568</v>
      </c>
      <c r="H118" s="924">
        <f>H112/$J112</f>
        <v>0.21669031851151055</v>
      </c>
      <c r="I118" s="924">
        <f>I112/$J112</f>
        <v>0.3184720908230842</v>
      </c>
      <c r="J118" s="920">
        <f>SUM(D118:I118)</f>
        <v>1</v>
      </c>
      <c r="K118" s="431"/>
      <c r="L118" s="431"/>
      <c r="M118" s="239"/>
    </row>
    <row r="119" spans="2:19">
      <c r="E119" s="418"/>
      <c r="F119" s="418"/>
      <c r="G119" s="418"/>
      <c r="H119" s="924"/>
      <c r="I119" s="924"/>
    </row>
    <row r="120" spans="2:19">
      <c r="E120" s="418"/>
      <c r="F120" s="418"/>
      <c r="G120" s="418"/>
      <c r="H120" s="924"/>
      <c r="I120" s="924"/>
    </row>
    <row r="121" spans="2:19">
      <c r="B121" s="822" t="s">
        <v>435</v>
      </c>
      <c r="D121" s="417">
        <v>2016</v>
      </c>
      <c r="E121" s="417">
        <v>2017</v>
      </c>
      <c r="F121" s="417">
        <v>2018</v>
      </c>
      <c r="G121" s="417">
        <v>2019</v>
      </c>
      <c r="H121" s="925">
        <v>2020</v>
      </c>
      <c r="I121" s="925">
        <v>2021</v>
      </c>
    </row>
    <row r="122" spans="2:19">
      <c r="B122" s="822" t="s">
        <v>436</v>
      </c>
      <c r="D122" s="416">
        <v>24994.5</v>
      </c>
      <c r="E122" s="416">
        <v>26644.1</v>
      </c>
      <c r="F122" s="416">
        <v>28349.3</v>
      </c>
      <c r="G122" s="416">
        <f>F122*G90</f>
        <v>29848.285221783608</v>
      </c>
      <c r="H122" s="926">
        <f>G122*H90</f>
        <v>31227.95781453716</v>
      </c>
      <c r="I122" s="926">
        <f>H122*I90</f>
        <v>32446.459534927828</v>
      </c>
    </row>
    <row r="123" spans="2:19">
      <c r="B123" s="822" t="s">
        <v>437</v>
      </c>
      <c r="D123" s="415">
        <f t="shared" ref="D123:I123" si="48">D114/D122</f>
        <v>0</v>
      </c>
      <c r="E123" s="415">
        <f t="shared" si="48"/>
        <v>345.77530511448862</v>
      </c>
      <c r="F123" s="415">
        <f t="shared" si="48"/>
        <v>289.18449832594365</v>
      </c>
      <c r="G123" s="415">
        <f t="shared" si="48"/>
        <v>268.30036495729013</v>
      </c>
      <c r="H123" s="927">
        <f t="shared" si="48"/>
        <v>157.99957365501365</v>
      </c>
      <c r="I123" s="927">
        <f t="shared" si="48"/>
        <v>106.9651452018629</v>
      </c>
      <c r="J123" s="928">
        <f>SUM(D123:I123)</f>
        <v>1168.224887254599</v>
      </c>
      <c r="K123" s="458"/>
      <c r="L123" s="458"/>
      <c r="M123" s="283"/>
    </row>
    <row r="125" spans="2:19">
      <c r="D125" s="170">
        <v>24554</v>
      </c>
      <c r="F125" s="414">
        <f>70000/F122</f>
        <v>2.4691967702906243</v>
      </c>
    </row>
    <row r="126" spans="2:19">
      <c r="D126" s="414">
        <f>D125/D122</f>
        <v>0.98237612274700437</v>
      </c>
    </row>
  </sheetData>
  <mergeCells count="13">
    <mergeCell ref="A1:A3"/>
    <mergeCell ref="B2:B3"/>
    <mergeCell ref="C2:M2"/>
    <mergeCell ref="B1:M1"/>
    <mergeCell ref="A4:M4"/>
    <mergeCell ref="A30:M30"/>
    <mergeCell ref="B115:C115"/>
    <mergeCell ref="A44:M44"/>
    <mergeCell ref="N95:N97"/>
    <mergeCell ref="A101:A102"/>
    <mergeCell ref="A104:A107"/>
    <mergeCell ref="N104:N106"/>
    <mergeCell ref="B108:C108"/>
  </mergeCells>
  <hyperlinks>
    <hyperlink ref="A6" r:id="rId1" display="consultantplus://offline/ref=BC496DE9CD4DD003661B9BE3DD29CC0BB84219353379C154704F53E6C66F167571238B5D4FA498D2047A2859L0N"/>
    <hyperlink ref="A8" r:id="rId2" display="consultantplus://offline/ref=BC496DE9CD4DD003661B9BE3DD29CC0BB84219353379C154704F53E6C66F167571238B5D4FA498D2047A2859L0N"/>
    <hyperlink ref="A9" r:id="rId3" display="consultantplus://offline/ref=BC496DE9CD4DD003661B9BE3DD29CC0BB84219353379C154704F53E6C66F167571238B5D4FA498D2047A2859L0N"/>
    <hyperlink ref="A12" r:id="rId4" display="consultantplus://offline/ref=BC496DE9CD4DD003661B9BE3DD29CC0BB84219353379C154704F53E6C66F167571238B5D4FA498D2047A2859L0N"/>
    <hyperlink ref="A14" r:id="rId5" display="consultantplus://offline/ref=BC496DE9CD4DD003661B9BE3DD29CC0BB84219353379C154704F53E6C66F167571238B5D4FA498D2047A2859L0N"/>
    <hyperlink ref="A15" r:id="rId6" display="consultantplus://offline/ref=BC496DE9CD4DD003661B9BE3DD29CC0BB84219353379C154704F53E6C66F167571238B5D4FA498D2047A2859L0N"/>
    <hyperlink ref="A17" r:id="rId7" display="consultantplus://offline/ref=BC496DE9CD4DD003661B9BE3DD29CC0BB84219353379C154704F53E6C66F167571238B5D4FA498D2047A2859L3N"/>
    <hyperlink ref="A18" r:id="rId8" display="consultantplus://offline/ref=BC496DE9CD4DD003661B9BE3DD29CC0BB84219353379C154704F53E6C66F167571238B5D4FA498D2047A2859L0N"/>
    <hyperlink ref="A20" r:id="rId9" display="consultantplus://offline/ref=BC496DE9CD4DD003661B9BE3DD29CC0BB84219353379C154704F53E6C66F167571238B5D4FA498D2047A2859L0N"/>
    <hyperlink ref="A21" r:id="rId10" display="consultantplus://offline/ref=BC496DE9CD4DD003661B9BE3DD29CC0BB84219353379C154704F53E6C66F167571238B5D4FA498D2047A2859L0N"/>
    <hyperlink ref="A24" r:id="rId11" display="consultantplus://offline/ref=BC496DE9CD4DD003661B9BE3DD29CC0BB84219353379C154704F53E6C66F167571238B5D4FA498D2047A2859L0N"/>
    <hyperlink ref="A26" r:id="rId12" display="consultantplus://offline/ref=BC496DE9CD4DD003661B9BE3DD29CC0BB84219353379C154704F53E6C66F167571238B5D4FA498D2047A2859L0N"/>
    <hyperlink ref="A27" r:id="rId13" display="consultantplus://offline/ref=BC496DE9CD4DD003661B9BE3DD29CC0BB84219353379C154704F53E6C66F167571238B5D4FA498D2047A2859L0N"/>
    <hyperlink ref="A46" r:id="rId14" display="consultantplus://offline/ref=BC496DE9CD4DD003661B9BE3DD29CC0BB84219353379C154704F53E6C66F167571238B5D4FA498D2047A2859L0N"/>
    <hyperlink ref="A48" r:id="rId15" display="consultantplus://offline/ref=BC496DE9CD4DD003661B9BE3DD29CC0BB84219353379C154704F53E6C66F167571238B5D4FA498D2047A2859L0N"/>
    <hyperlink ref="A49" r:id="rId16" display="consultantplus://offline/ref=BC496DE9CD4DD003661B9BE3DD29CC0BB84219353379C154704F53E6C66F167571238B5D4FA498D2047A2859L0N"/>
    <hyperlink ref="A52" r:id="rId17" display="consultantplus://offline/ref=BC496DE9CD4DD003661B9BE3DD29CC0BB84219353379C154704F53E6C66F167571238B5D4FA498D2047A2859L0N"/>
    <hyperlink ref="A54" r:id="rId18" display="consultantplus://offline/ref=BC496DE9CD4DD003661B9BE3DD29CC0BB84219353379C154704F53E6C66F167571238B5D4FA498D2047A2859L0N"/>
    <hyperlink ref="A55" r:id="rId19" display="consultantplus://offline/ref=BC496DE9CD4DD003661B9BE3DD29CC0BB84219353379C154704F53E6C66F167571238B5D4FA498D2047A2859L0N"/>
    <hyperlink ref="A57" r:id="rId20" display="consultantplus://offline/ref=BC496DE9CD4DD003661B9BE3DD29CC0BB84219353379C154704F53E6C66F167571238B5D4FA498D2047A2859L3N"/>
    <hyperlink ref="A58" r:id="rId21" display="consultantplus://offline/ref=BC496DE9CD4DD003661B9BE3DD29CC0BB84219353379C154704F53E6C66F167571238B5D4FA498D2047A2859L0N"/>
    <hyperlink ref="A60" r:id="rId22" display="consultantplus://offline/ref=BC496DE9CD4DD003661B9BE3DD29CC0BB84219353379C154704F53E6C66F167571238B5D4FA498D2047A2859L0N"/>
    <hyperlink ref="A61" r:id="rId23" display="consultantplus://offline/ref=BC496DE9CD4DD003661B9BE3DD29CC0BB84219353379C154704F53E6C66F167571238B5D4FA498D2047A2859L0N"/>
    <hyperlink ref="A64" r:id="rId24" display="consultantplus://offline/ref=BC496DE9CD4DD003661B9BE3DD29CC0BB84219353379C154704F53E6C66F167571238B5D4FA498D2047A2859L0N"/>
    <hyperlink ref="A66" r:id="rId25" display="consultantplus://offline/ref=BC496DE9CD4DD003661B9BE3DD29CC0BB84219353379C154704F53E6C66F167571238B5D4FA498D2047A2859L0N"/>
    <hyperlink ref="A67" r:id="rId26" display="consultantplus://offline/ref=BC496DE9CD4DD003661B9BE3DD29CC0BB84219353379C154704F53E6C66F167571238B5D4FA498D2047A2859L0N"/>
    <hyperlink ref="A71" r:id="rId27" display="consultantplus://offline/ref=BC496DE9CD4DD003661B85EECB459202B04E433B3E7BCE04281008BB91661C22366CD21F0BA999D350L2N"/>
    <hyperlink ref="A74" r:id="rId28" display="consultantplus://offline/ref=BC496DE9CD4DD003661B85EECB459202B04F45393C7FCE04281008BB91661C22366CD21F0BA999D550L3N"/>
    <hyperlink ref="A75" r:id="rId29" display="consultantplus://offline/ref=BC496DE9CD4DD003661B85EECB459202B04F45393C7FCE04281008BB91661C22366CD21F0BA999D550L3N"/>
    <hyperlink ref="A76" r:id="rId30" display="consultantplus://offline/ref=BC496DE9CD4DD003661B85EECB459202B04F45393C7FCE04281008BB91661C22366CD21F0BA999D550L3N"/>
  </hyperlinks>
  <pageMargins left="0.70866141732283472" right="0.70866141732283472" top="0.74803149606299213" bottom="0.74803149606299213" header="0.31496062992125984" footer="0.31496062992125984"/>
  <pageSetup paperSize="9" scale="81" fitToHeight="0" orientation="landscape" r:id="rId31"/>
  <legacyDrawing r:id="rId3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94"/>
  <sheetViews>
    <sheetView workbookViewId="0">
      <pane xSplit="10" ySplit="3" topLeftCell="K4" activePane="bottomRight" state="frozen"/>
      <selection pane="topRight" activeCell="K1" sqref="K1"/>
      <selection pane="bottomLeft" activeCell="A4" sqref="A4"/>
      <selection pane="bottomRight" activeCell="B5" sqref="B5"/>
    </sheetView>
  </sheetViews>
  <sheetFormatPr defaultRowHeight="15"/>
  <cols>
    <col min="1" max="1" width="33.7109375" customWidth="1"/>
    <col min="2" max="2" width="14.140625" customWidth="1"/>
    <col min="3" max="3" width="20.85546875" customWidth="1"/>
    <col min="4" max="4" width="12.85546875" customWidth="1"/>
    <col min="5" max="6" width="18.7109375" customWidth="1"/>
    <col min="7" max="7" width="17.28515625" customWidth="1"/>
    <col min="8" max="8" width="16.7109375" customWidth="1"/>
    <col min="9" max="9" width="18" customWidth="1"/>
    <col min="10" max="10" width="15.7109375" customWidth="1"/>
    <col min="11" max="11" width="17.5703125" customWidth="1"/>
    <col min="13" max="13" width="16.85546875" customWidth="1"/>
    <col min="14" max="14" width="10.28515625" customWidth="1"/>
    <col min="15" max="15" width="21.42578125" customWidth="1"/>
    <col min="21" max="21" width="18" customWidth="1"/>
  </cols>
  <sheetData>
    <row r="1" spans="1:11" ht="40.5" customHeight="1">
      <c r="A1" s="1201" t="s">
        <v>247</v>
      </c>
      <c r="B1" s="1201" t="s">
        <v>401</v>
      </c>
      <c r="C1" s="1201"/>
      <c r="D1" s="1201"/>
      <c r="E1" s="1201"/>
      <c r="F1" s="1201"/>
      <c r="G1" s="1201"/>
      <c r="H1" s="1201"/>
      <c r="I1" s="1201"/>
      <c r="J1" s="1201"/>
    </row>
    <row r="2" spans="1:11">
      <c r="A2" s="1201"/>
      <c r="B2" s="1201" t="s">
        <v>402</v>
      </c>
      <c r="C2" s="1201" t="s">
        <v>403</v>
      </c>
      <c r="D2" s="1201"/>
      <c r="E2" s="1201"/>
      <c r="F2" s="1201"/>
      <c r="G2" s="1201"/>
      <c r="H2" s="1201"/>
      <c r="I2" s="1201"/>
      <c r="J2" s="1201"/>
    </row>
    <row r="3" spans="1:11">
      <c r="A3" s="1201"/>
      <c r="B3" s="1201"/>
      <c r="C3" s="284">
        <v>2015</v>
      </c>
      <c r="D3" s="284">
        <v>2016</v>
      </c>
      <c r="E3" s="284">
        <v>2017</v>
      </c>
      <c r="F3" s="284">
        <v>2018</v>
      </c>
      <c r="G3" s="284">
        <v>2019</v>
      </c>
      <c r="H3" s="284">
        <v>2020</v>
      </c>
      <c r="I3" s="284">
        <v>2021</v>
      </c>
      <c r="J3" s="284">
        <v>2022</v>
      </c>
    </row>
    <row r="4" spans="1:11" ht="21.75" customHeight="1">
      <c r="A4" s="1202" t="s">
        <v>404</v>
      </c>
      <c r="B4" s="1202"/>
      <c r="C4" s="1202"/>
      <c r="D4" s="1202"/>
      <c r="E4" s="1202"/>
      <c r="F4" s="1202"/>
      <c r="G4" s="1202"/>
      <c r="H4" s="1202"/>
      <c r="I4" s="1202"/>
      <c r="J4" s="1202"/>
    </row>
    <row r="5" spans="1:11">
      <c r="A5" s="285" t="s">
        <v>405</v>
      </c>
      <c r="B5" s="286">
        <f>'[3]прил .6 с мостом'!B5</f>
        <v>78559983.919999987</v>
      </c>
      <c r="C5" s="286">
        <f>'[3]прил .6 с мостом'!C5</f>
        <v>7389522.1000000006</v>
      </c>
      <c r="D5" s="286">
        <f>'[3]прил .6 с мостом'!D5</f>
        <v>8429259.5199999996</v>
      </c>
      <c r="E5" s="286">
        <f>'[3]прил .6 с мостом'!E5</f>
        <v>9666667.4999999981</v>
      </c>
      <c r="F5" s="286">
        <f>'[3]прил .6 с мостом'!F5</f>
        <v>10032250.300000001</v>
      </c>
      <c r="G5" s="286">
        <f>'[3]прил .6 с мостом'!G5</f>
        <v>9939612.4999999981</v>
      </c>
      <c r="H5" s="286">
        <f>'[3]прил .6 с мостом'!H5</f>
        <v>10814708.099999998</v>
      </c>
      <c r="I5" s="286">
        <f>'[3]прил .6 с мостом'!I5</f>
        <v>11044938.499999998</v>
      </c>
      <c r="J5" s="286">
        <f>'[3]прил .6 с мостом'!J5</f>
        <v>11243025.399999999</v>
      </c>
    </row>
    <row r="6" spans="1:11">
      <c r="A6" s="285" t="s">
        <v>406</v>
      </c>
      <c r="B6" s="286">
        <f>'[3]прил .6 с мостом'!B6</f>
        <v>9086523.0199999996</v>
      </c>
      <c r="C6" s="286">
        <f>'[3]прил .6 с мостом'!C6</f>
        <v>1562163.2000000002</v>
      </c>
      <c r="D6" s="286">
        <f>'[3]прил .6 с мостом'!D6</f>
        <v>625434.81999999995</v>
      </c>
      <c r="E6" s="286">
        <f>'[3]прил .6 с мостом'!E6</f>
        <v>924750.6</v>
      </c>
      <c r="F6" s="286">
        <f>'[3]прил .6 с мостом'!F6</f>
        <v>899982.3</v>
      </c>
      <c r="G6" s="286">
        <f>'[3]прил .6 с мостом'!G6</f>
        <v>932600</v>
      </c>
      <c r="H6" s="286">
        <f>'[3]прил .6 с мостом'!H6</f>
        <v>1380530.7</v>
      </c>
      <c r="I6" s="286">
        <f>'[3]прил .6 с мостом'!I6</f>
        <v>1380530.7</v>
      </c>
      <c r="J6" s="286">
        <f>'[3]прил .6 с мостом'!J6</f>
        <v>1380530.7</v>
      </c>
    </row>
    <row r="7" spans="1:11">
      <c r="A7" s="285" t="s">
        <v>407</v>
      </c>
      <c r="B7" s="286">
        <f>'[3]прил .6 с мостом'!B7</f>
        <v>68317536.900000006</v>
      </c>
      <c r="C7" s="286">
        <f>'[3]прил .6 с мостом'!C7</f>
        <v>5446414.7000000002</v>
      </c>
      <c r="D7" s="286">
        <f>'[3]прил .6 с мостом'!D7</f>
        <v>7684169.5999999996</v>
      </c>
      <c r="E7" s="286">
        <f>'[3]прил .6 с мостом'!E7</f>
        <v>8638936.6999999993</v>
      </c>
      <c r="F7" s="286">
        <f>'[3]прил .6 с мостом'!F7</f>
        <v>9029287.8000000007</v>
      </c>
      <c r="G7" s="286">
        <f>'[3]прил .6 с мостом'!G7</f>
        <v>8904032.2999999989</v>
      </c>
      <c r="H7" s="286">
        <f>'[3]прил .6 с мостом'!H7</f>
        <v>9313197.1999999993</v>
      </c>
      <c r="I7" s="286">
        <f>'[3]прил .6 с мостом'!I7</f>
        <v>9539810.5999999996</v>
      </c>
      <c r="J7" s="286">
        <f>'[3]прил .6 с мостом'!J7</f>
        <v>9761688</v>
      </c>
    </row>
    <row r="8" spans="1:11">
      <c r="A8" s="285" t="s">
        <v>408</v>
      </c>
      <c r="B8" s="286">
        <f>'[3]прил .6 с мостом'!B8</f>
        <v>1155923.9999999998</v>
      </c>
      <c r="C8" s="286">
        <f>'[3]прил .6 с мостом'!C8</f>
        <v>380944.2</v>
      </c>
      <c r="D8" s="286">
        <f>'[3]прил .6 с мостом'!D8</f>
        <v>119655.09999999999</v>
      </c>
      <c r="E8" s="286">
        <f>'[3]прил .6 с мостом'!E8</f>
        <v>102980.2</v>
      </c>
      <c r="F8" s="286">
        <f>'[3]прил .6 с мостом'!F8</f>
        <v>102980.2</v>
      </c>
      <c r="G8" s="286">
        <f>'[3]прил .6 с мостом'!G8</f>
        <v>102980.2</v>
      </c>
      <c r="H8" s="286">
        <f>'[3]прил .6 с мостом'!H8</f>
        <v>120980.2</v>
      </c>
      <c r="I8" s="286">
        <f>'[3]прил .6 с мостом'!I8</f>
        <v>124597.2</v>
      </c>
      <c r="J8" s="286">
        <f>'[3]прил .6 с мостом'!J8</f>
        <v>100806.7</v>
      </c>
    </row>
    <row r="9" spans="1:11">
      <c r="A9" s="285" t="s">
        <v>409</v>
      </c>
      <c r="B9" s="286">
        <f>'[3]прил .6 с мостом'!B9</f>
        <v>0</v>
      </c>
      <c r="C9" s="287">
        <f>'[3]прил .6 с мостом'!C9</f>
        <v>0</v>
      </c>
      <c r="D9" s="287">
        <f>'[3]прил .6 с мостом'!D9</f>
        <v>0</v>
      </c>
      <c r="E9" s="286"/>
      <c r="F9" s="286"/>
      <c r="G9" s="286"/>
      <c r="H9" s="286"/>
      <c r="I9" s="286"/>
      <c r="J9" s="287"/>
    </row>
    <row r="10" spans="1:11">
      <c r="A10" s="285" t="s">
        <v>410</v>
      </c>
      <c r="B10" s="286">
        <f>'[3]прил .6 с мостом'!B10</f>
        <v>20485271.619999997</v>
      </c>
      <c r="C10" s="286">
        <f>'[3]прил .6 с мостом'!C10</f>
        <v>1721621.6</v>
      </c>
      <c r="D10" s="286">
        <f>'[3]прил .6 с мостом'!D10</f>
        <v>1278114.1199999999</v>
      </c>
      <c r="E10" s="286">
        <f>'[3]прил .6 с мостом'!E10</f>
        <v>2724550.3000000003</v>
      </c>
      <c r="F10" s="286">
        <f>'[3]прил .6 с мостом'!F10</f>
        <v>2525966</v>
      </c>
      <c r="G10" s="286">
        <f>'[3]прил .6 с мостом'!G10</f>
        <v>2335603.6</v>
      </c>
      <c r="H10" s="286">
        <f>'[3]прил .6 с мостом'!H10</f>
        <v>3257150.7</v>
      </c>
      <c r="I10" s="286">
        <f>'[3]прил .6 с мостом'!I10</f>
        <v>3308747.9000000004</v>
      </c>
      <c r="J10" s="286">
        <f>'[3]прил .6 с мостом'!J10</f>
        <v>3333517.4000000004</v>
      </c>
      <c r="K10" s="231">
        <f>C10+D10+E10+F10+G10+H10+I10+J10</f>
        <v>20485271.619999997</v>
      </c>
    </row>
    <row r="11" spans="1:11">
      <c r="A11" s="285" t="s">
        <v>406</v>
      </c>
      <c r="B11" s="286">
        <f>'[3]прил .6 с мостом'!B11</f>
        <v>8629157.9199999999</v>
      </c>
      <c r="C11" s="286">
        <f>'[3]прил .6 с мостом'!C11</f>
        <v>1104798.1000000001</v>
      </c>
      <c r="D11" s="286">
        <f>'[3]прил .6 с мостом'!D11</f>
        <v>625434.81999999995</v>
      </c>
      <c r="E11" s="286">
        <f>'[3]прил .6 с мостом'!E11</f>
        <v>924750.6</v>
      </c>
      <c r="F11" s="286">
        <f>'[3]прил .6 с мостом'!F11</f>
        <v>899982.3</v>
      </c>
      <c r="G11" s="286">
        <f>'[3]прил .6 с мостом'!G11</f>
        <v>932600</v>
      </c>
      <c r="H11" s="286">
        <f>'[3]прил .6 с мостом'!H11</f>
        <v>1380530.7</v>
      </c>
      <c r="I11" s="286">
        <f>'[3]прил .6 с мостом'!I11</f>
        <v>1380530.7</v>
      </c>
      <c r="J11" s="286">
        <f>'[3]прил .6 с мостом'!J11</f>
        <v>1380530.7</v>
      </c>
    </row>
    <row r="12" spans="1:11">
      <c r="A12" s="285" t="s">
        <v>407</v>
      </c>
      <c r="B12" s="286">
        <f>'[3]прил .6 с мостом'!B12</f>
        <v>11373151.9</v>
      </c>
      <c r="C12" s="286">
        <f>'[3]прил .6 с мостом'!C12</f>
        <v>288964.5</v>
      </c>
      <c r="D12" s="286">
        <f>'[3]прил .6 с мостом'!D12</f>
        <v>625717.6</v>
      </c>
      <c r="E12" s="286">
        <f>'[3]прил .6 с мостом'!E12</f>
        <v>1777303.5</v>
      </c>
      <c r="F12" s="286">
        <f>'[3]прил .6 с мостом'!F12</f>
        <v>1602362.7000000002</v>
      </c>
      <c r="G12" s="286">
        <f>'[3]прил .6 с мостом'!G12</f>
        <v>1378803.6</v>
      </c>
      <c r="H12" s="286">
        <f>'[3]прил .6 с мостом'!H12</f>
        <v>1850000</v>
      </c>
      <c r="I12" s="286">
        <f>'[3]прил .6 с мостом'!I12</f>
        <v>1900000</v>
      </c>
      <c r="J12" s="286">
        <f>'[3]прил .6 с мостом'!J12</f>
        <v>1950000</v>
      </c>
    </row>
    <row r="13" spans="1:11">
      <c r="A13" s="285" t="s">
        <v>408</v>
      </c>
      <c r="B13" s="287">
        <f>'[3]прил .6 с мостом'!B13</f>
        <v>482961.80000000005</v>
      </c>
      <c r="C13" s="287">
        <f>'[3]прил .6 с мостом'!C13</f>
        <v>327859</v>
      </c>
      <c r="D13" s="287">
        <f>'[3]прил .6 с мостом'!D13</f>
        <v>26961.7</v>
      </c>
      <c r="E13" s="287">
        <f>'[3]прил .6 с мостом'!E13</f>
        <v>22496.2</v>
      </c>
      <c r="F13" s="287">
        <f>'[3]прил .6 с мостом'!F13</f>
        <v>23621</v>
      </c>
      <c r="G13" s="287">
        <f>'[3]прил .6 с мостом'!G13</f>
        <v>24200</v>
      </c>
      <c r="H13" s="287">
        <f>'[3]прил .6 с мостом'!H13</f>
        <v>26620</v>
      </c>
      <c r="I13" s="287">
        <f>'[3]прил .6 с мостом'!I13</f>
        <v>28217.200000000001</v>
      </c>
      <c r="J13" s="287">
        <f>'[3]прил .6 с мостом'!J13</f>
        <v>2986.7</v>
      </c>
    </row>
    <row r="14" spans="1:11">
      <c r="A14" s="285" t="s">
        <v>409</v>
      </c>
      <c r="B14" s="286"/>
      <c r="C14" s="287"/>
      <c r="D14" s="287"/>
      <c r="E14" s="286"/>
      <c r="F14" s="286"/>
      <c r="G14" s="286"/>
      <c r="H14" s="286"/>
      <c r="I14" s="286"/>
      <c r="J14" s="287"/>
    </row>
    <row r="15" spans="1:11">
      <c r="A15" s="285" t="s">
        <v>411</v>
      </c>
      <c r="B15" s="286">
        <f>'[3]прил .6 с мостом'!B15</f>
        <v>57000</v>
      </c>
      <c r="C15" s="286">
        <f>'[3]прил .6 с мостом'!C15</f>
        <v>3000</v>
      </c>
      <c r="D15" s="286">
        <f>'[3]прил .6 с мостом'!D15</f>
        <v>3000</v>
      </c>
      <c r="E15" s="286">
        <f>'[3]прил .6 с мостом'!E15</f>
        <v>3000</v>
      </c>
      <c r="F15" s="286">
        <f>'[3]прил .6 с мостом'!F15</f>
        <v>3000</v>
      </c>
      <c r="G15" s="286">
        <f>'[3]прил .6 с мостом'!G15</f>
        <v>3000</v>
      </c>
      <c r="H15" s="286">
        <f>'[3]прил .6 с мостом'!H15</f>
        <v>12000</v>
      </c>
      <c r="I15" s="286">
        <f>'[3]прил .6 с мостом'!I15</f>
        <v>14000</v>
      </c>
      <c r="J15" s="286">
        <f>'[3]прил .6 с мостом'!J15</f>
        <v>16000</v>
      </c>
    </row>
    <row r="16" spans="1:11">
      <c r="A16" s="285" t="s">
        <v>406</v>
      </c>
      <c r="B16" s="287">
        <f>'[3]прил .6 с мостом'!B16</f>
        <v>0</v>
      </c>
      <c r="C16" s="287">
        <f>'[3]прил .6 с мостом'!C16</f>
        <v>0</v>
      </c>
      <c r="D16" s="287">
        <f>'[3]прил .6 с мостом'!D16</f>
        <v>0</v>
      </c>
      <c r="E16" s="287">
        <f>'[3]прил .6 с мостом'!E16</f>
        <v>0</v>
      </c>
      <c r="F16" s="287">
        <f>'[3]прил .6 с мостом'!F16</f>
        <v>0</v>
      </c>
      <c r="G16" s="287">
        <f>'[3]прил .6 с мостом'!G16</f>
        <v>0</v>
      </c>
      <c r="H16" s="287">
        <f>'[3]прил .6 с мостом'!H16</f>
        <v>0</v>
      </c>
      <c r="I16" s="287">
        <f>'[3]прил .6 с мостом'!I16</f>
        <v>0</v>
      </c>
      <c r="J16" s="287">
        <f>'[3]прил .6 с мостом'!J16</f>
        <v>0</v>
      </c>
    </row>
    <row r="17" spans="1:11">
      <c r="A17" s="285" t="s">
        <v>407</v>
      </c>
      <c r="B17" s="286">
        <f>'[3]прил .6 с мостом'!B17</f>
        <v>57000</v>
      </c>
      <c r="C17" s="286">
        <f>'[3]прил .6 с мостом'!C17</f>
        <v>3000</v>
      </c>
      <c r="D17" s="286">
        <f>'[3]прил .6 с мостом'!D17</f>
        <v>3000</v>
      </c>
      <c r="E17" s="286">
        <f>'[3]прил .6 с мостом'!E17</f>
        <v>3000</v>
      </c>
      <c r="F17" s="286">
        <f>'[3]прил .6 с мостом'!F17</f>
        <v>3000</v>
      </c>
      <c r="G17" s="286">
        <f>'[3]прил .6 с мостом'!G17</f>
        <v>3000</v>
      </c>
      <c r="H17" s="286">
        <f>'[3]прил .6 с мостом'!H17</f>
        <v>12000</v>
      </c>
      <c r="I17" s="286">
        <f>'[3]прил .6 с мостом'!I17</f>
        <v>14000</v>
      </c>
      <c r="J17" s="286">
        <f>'[3]прил .6 с мостом'!J17</f>
        <v>16000</v>
      </c>
    </row>
    <row r="18" spans="1:11">
      <c r="A18" s="285" t="s">
        <v>408</v>
      </c>
      <c r="B18" s="287">
        <f>'[3]прил .6 с мостом'!B18</f>
        <v>0</v>
      </c>
      <c r="C18" s="287">
        <f>'[3]прил .6 с мостом'!C18</f>
        <v>0</v>
      </c>
      <c r="D18" s="287">
        <f>'[3]прил .6 с мостом'!D18</f>
        <v>0</v>
      </c>
      <c r="E18" s="287">
        <f>'[3]прил .6 с мостом'!E18</f>
        <v>0</v>
      </c>
      <c r="F18" s="287">
        <f>'[3]прил .6 с мостом'!F18</f>
        <v>0</v>
      </c>
      <c r="G18" s="287">
        <f>'[3]прил .6 с мостом'!G18</f>
        <v>0</v>
      </c>
      <c r="H18" s="287">
        <f>'[3]прил .6 с мостом'!H18</f>
        <v>0</v>
      </c>
      <c r="I18" s="287">
        <f>'[3]прил .6 с мостом'!I18</f>
        <v>0</v>
      </c>
      <c r="J18" s="287">
        <f>'[3]прил .6 с мостом'!J18</f>
        <v>0</v>
      </c>
    </row>
    <row r="19" spans="1:11">
      <c r="A19" s="285" t="s">
        <v>409</v>
      </c>
      <c r="B19" s="287">
        <f>'[3]прил .6 с мостом'!B19</f>
        <v>0</v>
      </c>
      <c r="C19" s="287">
        <f>'[3]прил .6 с мостом'!C19</f>
        <v>0</v>
      </c>
      <c r="D19" s="287">
        <f>'[3]прил .6 с мостом'!D19</f>
        <v>0</v>
      </c>
      <c r="E19" s="287">
        <f>'[3]прил .6 с мостом'!E19</f>
        <v>0</v>
      </c>
      <c r="F19" s="287">
        <f>'[3]прил .6 с мостом'!F19</f>
        <v>0</v>
      </c>
      <c r="G19" s="287">
        <f>'[3]прил .6 с мостом'!G19</f>
        <v>0</v>
      </c>
      <c r="H19" s="287">
        <f>'[3]прил .6 с мостом'!H19</f>
        <v>0</v>
      </c>
      <c r="I19" s="287">
        <f>'[3]прил .6 с мостом'!I19</f>
        <v>0</v>
      </c>
      <c r="J19" s="287">
        <f>'[3]прил .6 с мостом'!J19</f>
        <v>0</v>
      </c>
    </row>
    <row r="20" spans="1:11">
      <c r="A20" s="285" t="s">
        <v>412</v>
      </c>
      <c r="B20" s="286">
        <f>'[3]прил .6 с мостом'!B20</f>
        <v>58017712.300000004</v>
      </c>
      <c r="C20" s="286">
        <f>'[3]прил .6 с мостом'!C20</f>
        <v>5664900.5</v>
      </c>
      <c r="D20" s="286">
        <f>'[3]прил .6 с мостом'!D20</f>
        <v>7148145.4000000004</v>
      </c>
      <c r="E20" s="286">
        <f>'[3]прил .6 с мостом'!E20</f>
        <v>6939117.2000000002</v>
      </c>
      <c r="F20" s="286">
        <f>'[3]прил .6 с мостом'!F20</f>
        <v>7503284.2999999998</v>
      </c>
      <c r="G20" s="286">
        <f>'[3]прил .6 с мостом'!G20</f>
        <v>7601008.8999999994</v>
      </c>
      <c r="H20" s="286">
        <f>'[3]прил .6 с мостом'!H20</f>
        <v>7545557.4000000004</v>
      </c>
      <c r="I20" s="286">
        <f>'[3]прил .6 с мостом'!I20</f>
        <v>7722190.5999999996</v>
      </c>
      <c r="J20" s="286">
        <f>'[3]прил .6 с мостом'!J20</f>
        <v>7893508</v>
      </c>
    </row>
    <row r="21" spans="1:11">
      <c r="A21" s="285" t="s">
        <v>406</v>
      </c>
      <c r="B21" s="286">
        <f>'[3]прил .6 с мостом'!B21</f>
        <v>457365.1</v>
      </c>
      <c r="C21" s="286">
        <f>'[3]прил .6 с мостом'!C21</f>
        <v>457365.1</v>
      </c>
      <c r="D21" s="287">
        <f>'[3]прил .6 с мостом'!D21</f>
        <v>0</v>
      </c>
      <c r="E21" s="287">
        <f>'[3]прил .6 с мостом'!E21</f>
        <v>0</v>
      </c>
      <c r="F21" s="287">
        <f>'[3]прил .6 с мостом'!F21</f>
        <v>0</v>
      </c>
      <c r="G21" s="287">
        <f>'[3]прил .6 с мостом'!G21</f>
        <v>0</v>
      </c>
      <c r="H21" s="287">
        <f>'[3]прил .6 с мостом'!H21</f>
        <v>0</v>
      </c>
      <c r="I21" s="287">
        <f>'[3]прил .6 с мостом'!I21</f>
        <v>0</v>
      </c>
      <c r="J21" s="287">
        <f>'[3]прил .6 с мостом'!J21</f>
        <v>0</v>
      </c>
    </row>
    <row r="22" spans="1:11">
      <c r="A22" s="285" t="s">
        <v>407</v>
      </c>
      <c r="B22" s="286">
        <f>'[3]прил .6 с мостом'!B22</f>
        <v>56887385.000000007</v>
      </c>
      <c r="C22" s="286">
        <f>'[3]прил .6 с мостом'!C22</f>
        <v>5154450.2</v>
      </c>
      <c r="D22" s="286">
        <f>'[3]прил .6 с мостом'!D22</f>
        <v>7055452</v>
      </c>
      <c r="E22" s="286">
        <f>'[3]прил .6 с мостом'!E22</f>
        <v>6858633.2000000002</v>
      </c>
      <c r="F22" s="286">
        <f>'[3]прил .6 с мостом'!F22</f>
        <v>7423925.0999999996</v>
      </c>
      <c r="G22" s="286">
        <f>'[3]прил .6 с мостом'!G22</f>
        <v>7522228.6999999993</v>
      </c>
      <c r="H22" s="286">
        <f>'[3]прил .6 с мостом'!H22</f>
        <v>7451197.2000000002</v>
      </c>
      <c r="I22" s="286">
        <f>'[3]прил .6 с мостом'!I22</f>
        <v>7625810.5999999996</v>
      </c>
      <c r="J22" s="286">
        <f>'[3]прил .6 с мостом'!J22</f>
        <v>7795688</v>
      </c>
    </row>
    <row r="23" spans="1:11">
      <c r="A23" s="285" t="s">
        <v>408</v>
      </c>
      <c r="B23" s="286">
        <f>'[3]прил .6 с мостом'!B23</f>
        <v>672962.2</v>
      </c>
      <c r="C23" s="286">
        <f>'[3]прил .6 с мостом'!C23</f>
        <v>53085.2</v>
      </c>
      <c r="D23" s="286">
        <f>'[3]прил .6 с мостом'!D23</f>
        <v>92693.4</v>
      </c>
      <c r="E23" s="286">
        <f>'[3]прил .6 с мостом'!E23</f>
        <v>80484</v>
      </c>
      <c r="F23" s="286">
        <f>'[3]прил .6 с мостом'!F23</f>
        <v>79359.199999999997</v>
      </c>
      <c r="G23" s="286">
        <f>'[3]прил .6 с мостом'!G23</f>
        <v>78780.2</v>
      </c>
      <c r="H23" s="286">
        <f>'[3]прил .6 с мостом'!H23</f>
        <v>94360.2</v>
      </c>
      <c r="I23" s="286">
        <f>'[3]прил .6 с мостом'!I23</f>
        <v>96380</v>
      </c>
      <c r="J23" s="286">
        <f>'[3]прил .6 с мостом'!J23</f>
        <v>97820</v>
      </c>
    </row>
    <row r="24" spans="1:11">
      <c r="A24" s="285" t="s">
        <v>409</v>
      </c>
      <c r="B24" s="287">
        <f>'[3]прил .6 с мостом'!B24</f>
        <v>0</v>
      </c>
      <c r="C24" s="287">
        <f>'[3]прил .6 с мостом'!C24</f>
        <v>0</v>
      </c>
      <c r="D24" s="287">
        <f>'[3]прил .6 с мостом'!D24</f>
        <v>0</v>
      </c>
      <c r="E24" s="287">
        <f>'[3]прил .6 с мостом'!E24</f>
        <v>0</v>
      </c>
      <c r="F24" s="287">
        <f>'[3]прил .6 с мостом'!F24</f>
        <v>0</v>
      </c>
      <c r="G24" s="287">
        <f>'[3]прил .6 с мостом'!G24</f>
        <v>0</v>
      </c>
      <c r="H24" s="287">
        <f>'[3]прил .6 с мостом'!H24</f>
        <v>0</v>
      </c>
      <c r="I24" s="287">
        <f>'[3]прил .6 с мостом'!I24</f>
        <v>0</v>
      </c>
      <c r="J24" s="287">
        <f>'[3]прил .6 с мостом'!J24</f>
        <v>0</v>
      </c>
    </row>
    <row r="25" spans="1:11" ht="20.25" customHeight="1">
      <c r="A25" s="1203" t="s">
        <v>413</v>
      </c>
      <c r="B25" s="1203"/>
      <c r="C25" s="1203"/>
      <c r="D25" s="1203"/>
      <c r="E25" s="1203"/>
      <c r="F25" s="1203"/>
      <c r="G25" s="1203"/>
      <c r="H25" s="1203"/>
      <c r="I25" s="1203"/>
      <c r="J25" s="1203"/>
    </row>
    <row r="26" spans="1:11">
      <c r="A26" s="285" t="s">
        <v>405</v>
      </c>
      <c r="B26" s="286">
        <f>'[3]прил .6 с мостом'!B26</f>
        <v>78559983.919999987</v>
      </c>
      <c r="C26" s="286">
        <f>'[3]прил .6 с мостом'!C26</f>
        <v>7389522.1000000006</v>
      </c>
      <c r="D26" s="286">
        <f>'[3]прил .6 с мостом'!D26</f>
        <v>8429259.5199999996</v>
      </c>
      <c r="E26" s="286">
        <f>'[3]прил .6 с мостом'!E26</f>
        <v>9666667.4999999981</v>
      </c>
      <c r="F26" s="286">
        <f>'[3]прил .6 с мостом'!F26</f>
        <v>10032250.300000001</v>
      </c>
      <c r="G26" s="286">
        <f>'[3]прил .6 с мостом'!G26</f>
        <v>9939612.4999999981</v>
      </c>
      <c r="H26" s="286">
        <f>'[3]прил .6 с мостом'!H26</f>
        <v>10814708.099999998</v>
      </c>
      <c r="I26" s="286">
        <f>'[3]прил .6 с мостом'!I26</f>
        <v>11044938.499999998</v>
      </c>
      <c r="J26" s="286">
        <f>'[3]прил .6 с мостом'!J26</f>
        <v>11243025.399999999</v>
      </c>
    </row>
    <row r="27" spans="1:11">
      <c r="A27" s="285" t="s">
        <v>406</v>
      </c>
      <c r="B27" s="286">
        <f>'[3]прил .6 с мостом'!B27</f>
        <v>9086523.0199999996</v>
      </c>
      <c r="C27" s="286">
        <f>'[3]прил .6 с мостом'!C27</f>
        <v>1562163.2000000002</v>
      </c>
      <c r="D27" s="286">
        <f>'[3]прил .6 с мостом'!D27</f>
        <v>625434.81999999995</v>
      </c>
      <c r="E27" s="286">
        <f>'[3]прил .6 с мостом'!E27</f>
        <v>924750.6</v>
      </c>
      <c r="F27" s="286">
        <f>'[3]прил .6 с мостом'!F27</f>
        <v>899982.3</v>
      </c>
      <c r="G27" s="286">
        <f>'[3]прил .6 с мостом'!G27</f>
        <v>932600</v>
      </c>
      <c r="H27" s="286">
        <f>'[3]прил .6 с мостом'!H27</f>
        <v>1380530.7</v>
      </c>
      <c r="I27" s="286">
        <f>'[3]прил .6 с мостом'!I27</f>
        <v>1380530.7</v>
      </c>
      <c r="J27" s="286">
        <f>'[3]прил .6 с мостом'!J27</f>
        <v>1380530.7</v>
      </c>
    </row>
    <row r="28" spans="1:11">
      <c r="A28" s="285" t="s">
        <v>407</v>
      </c>
      <c r="B28" s="286">
        <f>'[3]прил .6 с мостом'!B28</f>
        <v>68317536.900000006</v>
      </c>
      <c r="C28" s="286">
        <f>'[3]прил .6 с мостом'!C28</f>
        <v>5446414.7000000002</v>
      </c>
      <c r="D28" s="286">
        <f>'[3]прил .6 с мостом'!D28</f>
        <v>7684169.5999999996</v>
      </c>
      <c r="E28" s="286">
        <f>'[3]прил .6 с мостом'!E28</f>
        <v>8638936.6999999993</v>
      </c>
      <c r="F28" s="286">
        <f>'[3]прил .6 с мостом'!F28</f>
        <v>9029287.8000000007</v>
      </c>
      <c r="G28" s="286">
        <f>'[3]прил .6 с мостом'!G28</f>
        <v>8904032.2999999989</v>
      </c>
      <c r="H28" s="286">
        <f>'[3]прил .6 с мостом'!H28</f>
        <v>9313197.1999999993</v>
      </c>
      <c r="I28" s="286">
        <f>'[3]прил .6 с мостом'!I28</f>
        <v>9539810.5999999996</v>
      </c>
      <c r="J28" s="286">
        <f>'[3]прил .6 с мостом'!J28</f>
        <v>9761688</v>
      </c>
    </row>
    <row r="29" spans="1:11">
      <c r="A29" s="285" t="s">
        <v>408</v>
      </c>
      <c r="B29" s="286">
        <f>'[3]прил .6 с мостом'!B29</f>
        <v>1155923.9999999998</v>
      </c>
      <c r="C29" s="286">
        <f>'[3]прил .6 с мостом'!C29</f>
        <v>380944.2</v>
      </c>
      <c r="D29" s="286">
        <f>'[3]прил .6 с мостом'!D29</f>
        <v>119655.09999999999</v>
      </c>
      <c r="E29" s="286">
        <f>'[3]прил .6 с мостом'!E29</f>
        <v>102980.2</v>
      </c>
      <c r="F29" s="286">
        <f>'[3]прил .6 с мостом'!F29</f>
        <v>102980.2</v>
      </c>
      <c r="G29" s="286">
        <f>'[3]прил .6 с мостом'!G29</f>
        <v>102980.2</v>
      </c>
      <c r="H29" s="286">
        <f>'[3]прил .6 с мостом'!H29</f>
        <v>120980.2</v>
      </c>
      <c r="I29" s="286">
        <f>'[3]прил .6 с мостом'!I29</f>
        <v>124597.2</v>
      </c>
      <c r="J29" s="286">
        <f>'[3]прил .6 с мостом'!J29</f>
        <v>100806.7</v>
      </c>
    </row>
    <row r="30" spans="1:11">
      <c r="A30" s="285" t="s">
        <v>409</v>
      </c>
      <c r="B30" s="286"/>
      <c r="C30" s="287">
        <f>'[3]прил .6 с мостом'!C30</f>
        <v>0</v>
      </c>
      <c r="D30" s="287">
        <f>'[3]прил .6 с мостом'!D30</f>
        <v>0</v>
      </c>
      <c r="E30" s="286"/>
      <c r="F30" s="286"/>
      <c r="G30" s="286"/>
      <c r="H30" s="286"/>
      <c r="I30" s="286"/>
      <c r="J30" s="287">
        <f>'[3]прил .6 с мостом'!J30</f>
        <v>0</v>
      </c>
    </row>
    <row r="31" spans="1:11" ht="19.5" customHeight="1">
      <c r="A31" s="285" t="s">
        <v>410</v>
      </c>
      <c r="B31" s="286">
        <f>'[3]прил .6 с мостом'!B31</f>
        <v>20485271.619999997</v>
      </c>
      <c r="C31" s="286">
        <f>'[3]прил .6 с мостом'!C31</f>
        <v>1721621.6</v>
      </c>
      <c r="D31" s="286">
        <f>'[3]прил .6 с мостом'!D31</f>
        <v>1278114.1199999999</v>
      </c>
      <c r="E31" s="286">
        <f>'[3]прил .6 с мостом'!E31</f>
        <v>2724550.3000000003</v>
      </c>
      <c r="F31" s="286">
        <f>'[3]прил .6 с мостом'!F31</f>
        <v>2525966</v>
      </c>
      <c r="G31" s="286">
        <f>'[3]прил .6 с мостом'!G31</f>
        <v>2335603.6</v>
      </c>
      <c r="H31" s="286">
        <f>'[3]прил .6 с мостом'!H31</f>
        <v>3257150.7</v>
      </c>
      <c r="I31" s="286">
        <f>'[3]прил .6 с мостом'!I31</f>
        <v>3308747.9000000004</v>
      </c>
      <c r="J31" s="286">
        <f>'[3]прил .6 с мостом'!J31</f>
        <v>3333517.4000000004</v>
      </c>
      <c r="K31" s="231">
        <f>C31+D31+E31+F31+G31+H31+I31+J31</f>
        <v>20485271.619999997</v>
      </c>
    </row>
    <row r="32" spans="1:11">
      <c r="A32" s="285" t="s">
        <v>406</v>
      </c>
      <c r="B32" s="286">
        <f>'[3]прил .6 с мостом'!B32</f>
        <v>8629157.9199999999</v>
      </c>
      <c r="C32" s="286">
        <f>'[3]прил .6 с мостом'!C32</f>
        <v>1104798.1000000001</v>
      </c>
      <c r="D32" s="286">
        <f>'[3]прил .6 с мостом'!D32</f>
        <v>625434.81999999995</v>
      </c>
      <c r="E32" s="286">
        <f>'[3]прил .6 с мостом'!E32</f>
        <v>924750.6</v>
      </c>
      <c r="F32" s="286">
        <f>'[3]прил .6 с мостом'!F32</f>
        <v>899982.3</v>
      </c>
      <c r="G32" s="286">
        <f>'[3]прил .6 с мостом'!G32</f>
        <v>932600</v>
      </c>
      <c r="H32" s="286">
        <f>'[3]прил .6 с мостом'!H32</f>
        <v>1380530.7</v>
      </c>
      <c r="I32" s="286">
        <f>'[3]прил .6 с мостом'!I32</f>
        <v>1380530.7</v>
      </c>
      <c r="J32" s="286">
        <f>'[3]прил .6 с мостом'!J32</f>
        <v>1380530.7</v>
      </c>
    </row>
    <row r="33" spans="1:10">
      <c r="A33" s="285" t="s">
        <v>407</v>
      </c>
      <c r="B33" s="286">
        <f>'[3]прил .6 с мостом'!B33</f>
        <v>11373151.9</v>
      </c>
      <c r="C33" s="286">
        <f>'[3]прил .6 с мостом'!C33</f>
        <v>288964.5</v>
      </c>
      <c r="D33" s="286">
        <f>'[3]прил .6 с мостом'!D33</f>
        <v>625717.6</v>
      </c>
      <c r="E33" s="286">
        <f>'[3]прил .6 с мостом'!E33</f>
        <v>1777303.5</v>
      </c>
      <c r="F33" s="286">
        <f>'[3]прил .6 с мостом'!F33</f>
        <v>1602362.7000000002</v>
      </c>
      <c r="G33" s="286">
        <f>'[3]прил .6 с мостом'!G33</f>
        <v>1378803.6</v>
      </c>
      <c r="H33" s="286">
        <f>'[3]прил .6 с мостом'!H33</f>
        <v>1850000</v>
      </c>
      <c r="I33" s="286">
        <f>'[3]прил .6 с мостом'!I33</f>
        <v>1900000</v>
      </c>
      <c r="J33" s="286">
        <f>'[3]прил .6 с мостом'!J33</f>
        <v>1950000</v>
      </c>
    </row>
    <row r="34" spans="1:10">
      <c r="A34" s="285" t="s">
        <v>408</v>
      </c>
      <c r="B34" s="287">
        <f>'[3]прил .6 с мостом'!B34</f>
        <v>482961.80000000005</v>
      </c>
      <c r="C34" s="287">
        <f>'[3]прил .6 с мостом'!C34</f>
        <v>327859</v>
      </c>
      <c r="D34" s="287">
        <f>'[3]прил .6 с мостом'!D34</f>
        <v>26961.7</v>
      </c>
      <c r="E34" s="287">
        <f>'[3]прил .6 с мостом'!E34</f>
        <v>22496.2</v>
      </c>
      <c r="F34" s="287">
        <f>'[3]прил .6 с мостом'!F34</f>
        <v>23621</v>
      </c>
      <c r="G34" s="287">
        <f>'[3]прил .6 с мостом'!G34</f>
        <v>24200</v>
      </c>
      <c r="H34" s="287">
        <f>'[3]прил .6 с мостом'!H34</f>
        <v>26620</v>
      </c>
      <c r="I34" s="287">
        <f>'[3]прил .6 с мостом'!I34</f>
        <v>28217.200000000001</v>
      </c>
      <c r="J34" s="287">
        <f>'[3]прил .6 с мостом'!J34</f>
        <v>2986.7</v>
      </c>
    </row>
    <row r="35" spans="1:10">
      <c r="A35" s="285" t="s">
        <v>409</v>
      </c>
      <c r="B35" s="286"/>
      <c r="C35" s="287">
        <f>'[3]прил .6 с мостом'!C35</f>
        <v>0</v>
      </c>
      <c r="D35" s="287">
        <f>'[3]прил .6 с мостом'!D35</f>
        <v>0</v>
      </c>
      <c r="E35" s="286"/>
      <c r="F35" s="286"/>
      <c r="G35" s="286"/>
      <c r="H35" s="286"/>
      <c r="I35" s="286"/>
      <c r="J35" s="287"/>
    </row>
    <row r="36" spans="1:10">
      <c r="A36" s="285" t="s">
        <v>411</v>
      </c>
      <c r="B36" s="286">
        <f>'[3]прил .6 с мостом'!B36</f>
        <v>57000</v>
      </c>
      <c r="C36" s="286">
        <f>'[3]прил .6 с мостом'!C36</f>
        <v>3000</v>
      </c>
      <c r="D36" s="286">
        <f>'[3]прил .6 с мостом'!D36</f>
        <v>3000</v>
      </c>
      <c r="E36" s="286">
        <f>'[3]прил .6 с мостом'!E36</f>
        <v>3000</v>
      </c>
      <c r="F36" s="286">
        <f>'[3]прил .6 с мостом'!F36</f>
        <v>3000</v>
      </c>
      <c r="G36" s="286">
        <f>'[3]прил .6 с мостом'!G36</f>
        <v>3000</v>
      </c>
      <c r="H36" s="286">
        <f>'[3]прил .6 с мостом'!H36</f>
        <v>12000</v>
      </c>
      <c r="I36" s="286">
        <f>'[3]прил .6 с мостом'!I36</f>
        <v>14000</v>
      </c>
      <c r="J36" s="286">
        <f>'[3]прил .6 с мостом'!J36</f>
        <v>16000</v>
      </c>
    </row>
    <row r="37" spans="1:10">
      <c r="A37" s="285" t="s">
        <v>406</v>
      </c>
      <c r="B37" s="287">
        <f>'[3]прил .6 с мостом'!B37</f>
        <v>0</v>
      </c>
      <c r="C37" s="287">
        <f>'[3]прил .6 с мостом'!C37</f>
        <v>0</v>
      </c>
      <c r="D37" s="287">
        <f>'[3]прил .6 с мостом'!D37</f>
        <v>0</v>
      </c>
      <c r="E37" s="287">
        <f>'[3]прил .6 с мостом'!E37</f>
        <v>0</v>
      </c>
      <c r="F37" s="287">
        <f>'[3]прил .6 с мостом'!F37</f>
        <v>0</v>
      </c>
      <c r="G37" s="287">
        <f>'[3]прил .6 с мостом'!G37</f>
        <v>0</v>
      </c>
      <c r="H37" s="287">
        <f>'[3]прил .6 с мостом'!H37</f>
        <v>0</v>
      </c>
      <c r="I37" s="287">
        <f>'[3]прил .6 с мостом'!I37</f>
        <v>0</v>
      </c>
      <c r="J37" s="287">
        <f>'[3]прил .6 с мостом'!J37</f>
        <v>0</v>
      </c>
    </row>
    <row r="38" spans="1:10">
      <c r="A38" s="285" t="s">
        <v>407</v>
      </c>
      <c r="B38" s="286">
        <f>'[3]прил .6 с мостом'!B38</f>
        <v>57000</v>
      </c>
      <c r="C38" s="286">
        <f>'[3]прил .6 с мостом'!C38</f>
        <v>3000</v>
      </c>
      <c r="D38" s="286">
        <f>'[3]прил .6 с мостом'!D38</f>
        <v>3000</v>
      </c>
      <c r="E38" s="286">
        <f>'[3]прил .6 с мостом'!E38</f>
        <v>3000</v>
      </c>
      <c r="F38" s="286">
        <f>'[3]прил .6 с мостом'!F38</f>
        <v>3000</v>
      </c>
      <c r="G38" s="286">
        <f>'[3]прил .6 с мостом'!G38</f>
        <v>3000</v>
      </c>
      <c r="H38" s="286">
        <f>'[3]прил .6 с мостом'!H38</f>
        <v>12000</v>
      </c>
      <c r="I38" s="286">
        <f>'[3]прил .6 с мостом'!I38</f>
        <v>14000</v>
      </c>
      <c r="J38" s="286">
        <f>'[3]прил .6 с мостом'!J38</f>
        <v>16000</v>
      </c>
    </row>
    <row r="39" spans="1:10">
      <c r="A39" s="285" t="s">
        <v>408</v>
      </c>
      <c r="B39" s="287">
        <f>'[3]прил .6 с мостом'!B39</f>
        <v>0</v>
      </c>
      <c r="C39" s="287">
        <f>'[3]прил .6 с мостом'!C39</f>
        <v>0</v>
      </c>
      <c r="D39" s="287">
        <f>'[3]прил .6 с мостом'!D39</f>
        <v>0</v>
      </c>
      <c r="E39" s="287">
        <f>'[3]прил .6 с мостом'!E39</f>
        <v>0</v>
      </c>
      <c r="F39" s="287">
        <f>'[3]прил .6 с мостом'!F39</f>
        <v>0</v>
      </c>
      <c r="G39" s="287">
        <f>'[3]прил .6 с мостом'!G39</f>
        <v>0</v>
      </c>
      <c r="H39" s="287">
        <f>'[3]прил .6 с мостом'!H39</f>
        <v>0</v>
      </c>
      <c r="I39" s="287">
        <f>'[3]прил .6 с мостом'!I39</f>
        <v>0</v>
      </c>
      <c r="J39" s="287">
        <f>'[3]прил .6 с мостом'!J39</f>
        <v>0</v>
      </c>
    </row>
    <row r="40" spans="1:10">
      <c r="A40" s="285" t="s">
        <v>409</v>
      </c>
      <c r="B40" s="287">
        <f>'[3]прил .6 с мостом'!B40</f>
        <v>0</v>
      </c>
      <c r="C40" s="287">
        <f>'[3]прил .6 с мостом'!C40</f>
        <v>0</v>
      </c>
      <c r="D40" s="287">
        <f>'[3]прил .6 с мостом'!D40</f>
        <v>0</v>
      </c>
      <c r="E40" s="287">
        <f>'[3]прил .6 с мостом'!E40</f>
        <v>0</v>
      </c>
      <c r="F40" s="287">
        <f>'[3]прил .6 с мостом'!F40</f>
        <v>0</v>
      </c>
      <c r="G40" s="287">
        <f>'[3]прил .6 с мостом'!G40</f>
        <v>0</v>
      </c>
      <c r="H40" s="287">
        <f>'[3]прил .6 с мостом'!H40</f>
        <v>0</v>
      </c>
      <c r="I40" s="287">
        <f>'[3]прил .6 с мостом'!I40</f>
        <v>0</v>
      </c>
      <c r="J40" s="287">
        <f>'[3]прил .6 с мостом'!J40</f>
        <v>0</v>
      </c>
    </row>
    <row r="41" spans="1:10">
      <c r="A41" s="285" t="s">
        <v>412</v>
      </c>
      <c r="B41" s="286">
        <f>'[3]прил .6 с мостом'!B41</f>
        <v>58017712.300000004</v>
      </c>
      <c r="C41" s="286">
        <f>'[3]прил .6 с мостом'!C41</f>
        <v>5664900.5</v>
      </c>
      <c r="D41" s="286">
        <f>'[3]прил .6 с мостом'!D41</f>
        <v>7148145.4000000004</v>
      </c>
      <c r="E41" s="286">
        <f>'[3]прил .6 с мостом'!E41</f>
        <v>6939117.2000000002</v>
      </c>
      <c r="F41" s="286">
        <f>'[3]прил .6 с мостом'!F41</f>
        <v>7503284.2999999998</v>
      </c>
      <c r="G41" s="286">
        <f>'[3]прил .6 с мостом'!G41</f>
        <v>7601008.8999999994</v>
      </c>
      <c r="H41" s="286">
        <f>'[3]прил .6 с мостом'!H41</f>
        <v>7545557.4000000004</v>
      </c>
      <c r="I41" s="286">
        <f>'[3]прил .6 с мостом'!I41</f>
        <v>7722190.5999999996</v>
      </c>
      <c r="J41" s="286">
        <f>'[3]прил .6 с мостом'!J41</f>
        <v>7893508</v>
      </c>
    </row>
    <row r="42" spans="1:10">
      <c r="A42" s="285" t="s">
        <v>406</v>
      </c>
      <c r="B42" s="286">
        <f>'[3]прил .6 с мостом'!B42</f>
        <v>457365.1</v>
      </c>
      <c r="C42" s="286">
        <f>'[3]прил .6 с мостом'!C42</f>
        <v>457365.1</v>
      </c>
      <c r="D42" s="287">
        <f>'[3]прил .6 с мостом'!D42</f>
        <v>0</v>
      </c>
      <c r="E42" s="287">
        <f>'[3]прил .6 с мостом'!E42</f>
        <v>0</v>
      </c>
      <c r="F42" s="287">
        <f>'[3]прил .6 с мостом'!F42</f>
        <v>0</v>
      </c>
      <c r="G42" s="287">
        <f>'[3]прил .6 с мостом'!G42</f>
        <v>0</v>
      </c>
      <c r="H42" s="287">
        <f>'[3]прил .6 с мостом'!H42</f>
        <v>0</v>
      </c>
      <c r="I42" s="287">
        <f>'[3]прил .6 с мостом'!I42</f>
        <v>0</v>
      </c>
      <c r="J42" s="287">
        <f>'[3]прил .6 с мостом'!J42</f>
        <v>0</v>
      </c>
    </row>
    <row r="43" spans="1:10">
      <c r="A43" s="285" t="s">
        <v>407</v>
      </c>
      <c r="B43" s="286">
        <f>'[3]прил .6 с мостом'!B43</f>
        <v>56887385.000000007</v>
      </c>
      <c r="C43" s="286">
        <f>'[3]прил .6 с мостом'!C43</f>
        <v>5154450.2</v>
      </c>
      <c r="D43" s="286">
        <f>'[3]прил .6 с мостом'!D43</f>
        <v>7055452</v>
      </c>
      <c r="E43" s="286">
        <f>'[3]прил .6 с мостом'!E43</f>
        <v>6858633.2000000002</v>
      </c>
      <c r="F43" s="286">
        <f>'[3]прил .6 с мостом'!F43</f>
        <v>7423925.0999999996</v>
      </c>
      <c r="G43" s="286">
        <f>'[3]прил .6 с мостом'!G43</f>
        <v>7522228.6999999993</v>
      </c>
      <c r="H43" s="286">
        <f>'[3]прил .6 с мостом'!H43</f>
        <v>7451197.2000000002</v>
      </c>
      <c r="I43" s="286">
        <f>'[3]прил .6 с мостом'!I43</f>
        <v>7625810.5999999996</v>
      </c>
      <c r="J43" s="286">
        <f>'[3]прил .6 с мостом'!J43</f>
        <v>7795688</v>
      </c>
    </row>
    <row r="44" spans="1:10">
      <c r="A44" s="285" t="s">
        <v>408</v>
      </c>
      <c r="B44" s="286">
        <f>'[3]прил .6 с мостом'!B44</f>
        <v>672962.2</v>
      </c>
      <c r="C44" s="286">
        <f>'[3]прил .6 с мостом'!C44</f>
        <v>53085.2</v>
      </c>
      <c r="D44" s="286">
        <f>'[3]прил .6 с мостом'!D44</f>
        <v>92693.4</v>
      </c>
      <c r="E44" s="286">
        <f>'[3]прил .6 с мостом'!E44</f>
        <v>80484</v>
      </c>
      <c r="F44" s="286">
        <f>'[3]прил .6 с мостом'!F44</f>
        <v>79359.199999999997</v>
      </c>
      <c r="G44" s="286">
        <f>'[3]прил .6 с мостом'!G44</f>
        <v>78780.2</v>
      </c>
      <c r="H44" s="286">
        <f>'[3]прил .6 с мостом'!H44</f>
        <v>94360.2</v>
      </c>
      <c r="I44" s="286">
        <f>'[3]прил .6 с мостом'!I44</f>
        <v>96380</v>
      </c>
      <c r="J44" s="286">
        <f>'[3]прил .6 с мостом'!J44</f>
        <v>97820</v>
      </c>
    </row>
    <row r="45" spans="1:10">
      <c r="A45" s="285" t="s">
        <v>409</v>
      </c>
      <c r="B45" s="287">
        <f>'[3]прил .6 с мостом'!B45</f>
        <v>0</v>
      </c>
      <c r="C45" s="287">
        <f>'[3]прил .6 с мостом'!C45</f>
        <v>0</v>
      </c>
      <c r="D45" s="287">
        <f>'[3]прил .6 с мостом'!D45</f>
        <v>0</v>
      </c>
      <c r="E45" s="287">
        <f>'[3]прил .6 с мостом'!E45</f>
        <v>0</v>
      </c>
      <c r="F45" s="287">
        <f>'[3]прил .6 с мостом'!F45</f>
        <v>0</v>
      </c>
      <c r="G45" s="287">
        <f>'[3]прил .6 с мостом'!G45</f>
        <v>0</v>
      </c>
      <c r="H45" s="287">
        <f>'[3]прил .6 с мостом'!H45</f>
        <v>0</v>
      </c>
      <c r="I45" s="287">
        <f>'[3]прил .6 с мостом'!I45</f>
        <v>0</v>
      </c>
      <c r="J45" s="287">
        <f>'[3]прил .6 с мостом'!J45</f>
        <v>0</v>
      </c>
    </row>
    <row r="46" spans="1:10" ht="50.25" customHeight="1">
      <c r="A46" s="285" t="s">
        <v>414</v>
      </c>
      <c r="B46" s="286">
        <f>'[3]прил .6 с мостом'!B46</f>
        <v>4087696.2</v>
      </c>
      <c r="C46" s="286">
        <f>'[3]прил .6 с мостом'!C46</f>
        <v>533688</v>
      </c>
      <c r="D46" s="286">
        <f>'[3]прил .6 с мостом'!D46</f>
        <v>560906</v>
      </c>
      <c r="E46" s="286">
        <f>'[3]прил .6 с мостом'!E46</f>
        <v>429099</v>
      </c>
      <c r="F46" s="286">
        <f>'[3]прил .6 с мостом'!F46</f>
        <v>454844.9</v>
      </c>
      <c r="G46" s="286">
        <f>'[3]прил .6 с мостом'!G46</f>
        <v>482135.6</v>
      </c>
      <c r="H46" s="286">
        <f>'[3]прил .6 с мостом'!H46</f>
        <v>511063.8</v>
      </c>
      <c r="I46" s="286">
        <f>'[3]прил .6 с мостом'!I46</f>
        <v>541727.6</v>
      </c>
      <c r="J46" s="286">
        <f>'[3]прил .6 с мостом'!J46</f>
        <v>574231.30000000005</v>
      </c>
    </row>
    <row r="47" spans="1:10">
      <c r="A47" s="285" t="s">
        <v>415</v>
      </c>
      <c r="B47" s="1200">
        <f>'[3]прил .6 с мостом'!B47:B48</f>
        <v>9086523.0500000007</v>
      </c>
      <c r="C47" s="1200">
        <f>'[3]прил .6 с мостом'!C47:C48</f>
        <v>1562163.2000000002</v>
      </c>
      <c r="D47" s="1200">
        <f>'[3]прил .6 с мостом'!D47:D48</f>
        <v>625434.81999999995</v>
      </c>
      <c r="E47" s="1200">
        <f>'[3]прил .6 с мостом'!E47:E48</f>
        <v>924750.63000000012</v>
      </c>
      <c r="F47" s="1200">
        <f>'[3]прил .6 с мостом'!F47:F48</f>
        <v>899982.3</v>
      </c>
      <c r="G47" s="1200">
        <f>'[3]прил .6 с мостом'!G47:G48</f>
        <v>932600</v>
      </c>
      <c r="H47" s="1200">
        <f>'[3]прил .6 с мостом'!H47:H48</f>
        <v>1380530.7</v>
      </c>
      <c r="I47" s="1200">
        <f>'[3]прил .6 с мостом'!I47:I48</f>
        <v>1380530.7</v>
      </c>
      <c r="J47" s="1200">
        <f>'[3]прил .6 с мостом'!J47:J48</f>
        <v>1380530.7</v>
      </c>
    </row>
    <row r="48" spans="1:10" ht="62.25" customHeight="1">
      <c r="A48" s="285" t="s">
        <v>416</v>
      </c>
      <c r="B48" s="1200"/>
      <c r="C48" s="1200"/>
      <c r="D48" s="1200"/>
      <c r="E48" s="1200"/>
      <c r="F48" s="1200"/>
      <c r="G48" s="1200"/>
      <c r="H48" s="1200"/>
      <c r="I48" s="1200"/>
      <c r="J48" s="1200"/>
    </row>
    <row r="49" spans="1:21" s="233" customFormat="1" ht="15.75" hidden="1" customHeight="1">
      <c r="A49" s="285" t="s">
        <v>30</v>
      </c>
      <c r="B49" s="1198">
        <f>'[3]прил .6 с мостом'!B50</f>
        <v>472799.23</v>
      </c>
      <c r="C49" s="1198">
        <f>'[3]прил .6 с мостом'!C50</f>
        <v>95879.3</v>
      </c>
      <c r="D49" s="1198">
        <f>'[3]прил .6 с мостом'!D50</f>
        <v>60969.599999999999</v>
      </c>
      <c r="E49" s="1198">
        <f>'[3]прил .6 с мостом'!E50</f>
        <v>315950.33</v>
      </c>
      <c r="F49" s="1198"/>
      <c r="G49" s="1198"/>
      <c r="H49" s="1198"/>
      <c r="I49" s="1198"/>
      <c r="J49" s="1198"/>
    </row>
    <row r="50" spans="1:21" ht="152.25" customHeight="1">
      <c r="A50" s="285" t="s">
        <v>417</v>
      </c>
      <c r="B50" s="1199"/>
      <c r="C50" s="1199"/>
      <c r="D50" s="1199"/>
      <c r="E50" s="1199"/>
      <c r="F50" s="1199"/>
      <c r="G50" s="1199"/>
      <c r="H50" s="1199"/>
      <c r="I50" s="1199"/>
      <c r="J50" s="1199"/>
    </row>
    <row r="51" spans="1:21" ht="127.5" customHeight="1">
      <c r="A51" s="285" t="s">
        <v>418</v>
      </c>
      <c r="B51" s="286">
        <f>'[3]прил .6 с мостом'!B51</f>
        <v>8156358.7200000007</v>
      </c>
      <c r="C51" s="286">
        <f>'[3]прил .6 с мостом'!C51</f>
        <v>1008918.8</v>
      </c>
      <c r="D51" s="286">
        <f>'[3]прил .6 с мостом'!D51</f>
        <v>564465.22</v>
      </c>
      <c r="E51" s="286">
        <f>'[3]прил .6 с мостом'!E51</f>
        <v>608800.30000000005</v>
      </c>
      <c r="F51" s="286">
        <f>'[3]прил .6 с мостом'!F51</f>
        <v>899982.3</v>
      </c>
      <c r="G51" s="286">
        <f>'[3]прил .6 с мостом'!G51</f>
        <v>932600</v>
      </c>
      <c r="H51" s="286">
        <f>'[3]прил .6 с мостом'!H51</f>
        <v>1380530.7</v>
      </c>
      <c r="I51" s="286">
        <f>'[3]прил .6 с мостом'!I51</f>
        <v>1380530.7</v>
      </c>
      <c r="J51" s="286">
        <f>'[3]прил .6 с мостом'!J51</f>
        <v>1380530.7</v>
      </c>
    </row>
    <row r="52" spans="1:21" ht="102" customHeight="1">
      <c r="A52" s="285" t="s">
        <v>419</v>
      </c>
      <c r="B52" s="286">
        <f>'[3]прил .6 с мостом'!B52</f>
        <v>457365.1</v>
      </c>
      <c r="C52" s="286">
        <f>'[3]прил .6 с мостом'!C52</f>
        <v>457365.1</v>
      </c>
      <c r="D52" s="286"/>
      <c r="E52" s="286"/>
      <c r="F52" s="286"/>
      <c r="G52" s="286"/>
      <c r="H52" s="286"/>
      <c r="I52" s="286"/>
      <c r="J52" s="286"/>
    </row>
    <row r="53" spans="1:21" ht="146.25" customHeight="1">
      <c r="A53" s="285" t="s">
        <v>420</v>
      </c>
      <c r="B53" s="286"/>
      <c r="C53" s="286"/>
      <c r="D53" s="286"/>
      <c r="E53" s="286"/>
      <c r="F53" s="286"/>
      <c r="G53" s="286"/>
      <c r="H53" s="286"/>
      <c r="I53" s="286"/>
      <c r="J53" s="286"/>
      <c r="K53" s="234">
        <f>B53</f>
        <v>0</v>
      </c>
    </row>
    <row r="54" spans="1:21" ht="30" customHeight="1" thickBot="1"/>
    <row r="55" spans="1:21" ht="45" customHeight="1" thickBot="1">
      <c r="A55" s="235" t="s">
        <v>421</v>
      </c>
      <c r="B55" s="236">
        <f>'[3]прил .6 с мостом'!B55</f>
        <v>0</v>
      </c>
      <c r="C55" s="236">
        <f>'[3]прил .6 с мостом'!C55</f>
        <v>0</v>
      </c>
      <c r="D55" s="236">
        <f>'[3]прил .6 с мостом'!D55</f>
        <v>0</v>
      </c>
      <c r="E55" s="236">
        <f>'[3]прил .6 с мостом'!E55</f>
        <v>0</v>
      </c>
      <c r="F55" s="236">
        <f>'[3]прил .6 с мостом'!F55</f>
        <v>0</v>
      </c>
      <c r="G55" s="236">
        <f>'[3]прил .6 с мостом'!G55</f>
        <v>0</v>
      </c>
      <c r="H55" s="236">
        <f>'[3]прил .6 с мостом'!H55</f>
        <v>0</v>
      </c>
      <c r="I55" s="236">
        <f>'[3]прил .6 с мостом'!I55</f>
        <v>0</v>
      </c>
      <c r="J55" s="236">
        <f>'[3]прил .6 с мостом'!J55</f>
        <v>0</v>
      </c>
      <c r="K55" s="234">
        <f>B55</f>
        <v>0</v>
      </c>
    </row>
    <row r="56" spans="1:21" ht="33.75" customHeight="1" thickBot="1">
      <c r="A56" s="235" t="s">
        <v>422</v>
      </c>
      <c r="B56" s="236">
        <f>'[3]прил .6 с мостом'!B56</f>
        <v>0</v>
      </c>
      <c r="C56" s="236">
        <f>'[3]прил .6 с мостом'!C56</f>
        <v>0</v>
      </c>
      <c r="D56" s="236">
        <f>'[3]прил .6 с мостом'!D56</f>
        <v>0</v>
      </c>
      <c r="E56" s="236">
        <f>'[3]прил .6 с мостом'!E56</f>
        <v>0</v>
      </c>
      <c r="F56" s="236">
        <f>'[3]прил .6 с мостом'!F56</f>
        <v>0</v>
      </c>
      <c r="G56" s="236">
        <f>'[3]прил .6 с мостом'!G56</f>
        <v>0</v>
      </c>
      <c r="H56" s="236">
        <f>'[3]прил .6 с мостом'!H56</f>
        <v>0</v>
      </c>
      <c r="I56" s="236">
        <f>'[3]прил .6 с мостом'!I56</f>
        <v>0</v>
      </c>
      <c r="J56" s="236">
        <f>'[3]прил .6 с мостом'!J56</f>
        <v>0</v>
      </c>
      <c r="K56" s="234">
        <f>B56</f>
        <v>0</v>
      </c>
    </row>
    <row r="57" spans="1:21">
      <c r="K57" s="240">
        <f>SUM(K53:K56)</f>
        <v>0</v>
      </c>
    </row>
    <row r="58" spans="1:21">
      <c r="D58" s="231">
        <f>D53+D55+D56</f>
        <v>0</v>
      </c>
      <c r="E58" s="231">
        <f>E53+E55+E56</f>
        <v>0</v>
      </c>
      <c r="F58" s="231">
        <f t="shared" ref="F58:I58" si="0">F53+F55+F56</f>
        <v>0</v>
      </c>
      <c r="G58" s="231">
        <f t="shared" si="0"/>
        <v>0</v>
      </c>
      <c r="H58" s="231">
        <f t="shared" si="0"/>
        <v>0</v>
      </c>
      <c r="I58" s="231">
        <f t="shared" si="0"/>
        <v>0</v>
      </c>
      <c r="U58" s="231">
        <f>B59-D58-E58</f>
        <v>0</v>
      </c>
    </row>
    <row r="59" spans="1:21">
      <c r="B59" s="241">
        <f>B53+B55+B56</f>
        <v>0</v>
      </c>
    </row>
    <row r="60" spans="1:21">
      <c r="C60" s="228">
        <v>2015</v>
      </c>
      <c r="D60" s="228">
        <v>2016</v>
      </c>
      <c r="E60" s="228">
        <v>2017</v>
      </c>
      <c r="F60" s="228">
        <v>2018</v>
      </c>
      <c r="G60" s="228">
        <v>2019</v>
      </c>
      <c r="H60" s="228">
        <v>2020</v>
      </c>
      <c r="I60" s="228">
        <v>2021</v>
      </c>
    </row>
    <row r="61" spans="1:21">
      <c r="B61" s="241"/>
      <c r="D61" s="242">
        <v>107.31489163336438</v>
      </c>
      <c r="E61" s="243">
        <v>106.80419218815939</v>
      </c>
      <c r="F61" s="243">
        <v>106.40296400340539</v>
      </c>
      <c r="G61" s="243">
        <v>105.28755638334495</v>
      </c>
      <c r="H61" s="244">
        <v>104.62228427027578</v>
      </c>
      <c r="I61" s="245">
        <v>103.90195775089536</v>
      </c>
    </row>
    <row r="62" spans="1:21">
      <c r="A62" s="246" t="s">
        <v>423</v>
      </c>
      <c r="D62" s="247">
        <f>D61/100</f>
        <v>1.0731489163336438</v>
      </c>
      <c r="E62" s="247">
        <f t="shared" ref="E62:I62" si="1">E61/100</f>
        <v>1.068041921881594</v>
      </c>
      <c r="F62" s="247">
        <f t="shared" si="1"/>
        <v>1.0640296400340539</v>
      </c>
      <c r="G62" s="247">
        <f t="shared" si="1"/>
        <v>1.0528755638334495</v>
      </c>
      <c r="H62" s="247">
        <f t="shared" si="1"/>
        <v>1.0462228427027578</v>
      </c>
      <c r="I62" s="247">
        <f t="shared" si="1"/>
        <v>1.0390195775089537</v>
      </c>
    </row>
    <row r="63" spans="1:21">
      <c r="A63" s="248"/>
      <c r="C63" s="249">
        <f>32078587.37</f>
        <v>32078587.370000001</v>
      </c>
      <c r="D63" s="249">
        <v>775000</v>
      </c>
      <c r="E63" s="249">
        <f>$C63/5-775000/5</f>
        <v>6260717.4740000004</v>
      </c>
      <c r="F63" s="249">
        <f>$C63/5-775000/5</f>
        <v>6260717.4740000004</v>
      </c>
      <c r="G63" s="249">
        <f>$C63/5-775000/5</f>
        <v>6260717.4740000004</v>
      </c>
      <c r="H63" s="249">
        <f>$C63/5-775000/5</f>
        <v>6260717.4740000004</v>
      </c>
      <c r="I63" s="249">
        <f>$C63/5-775000/5</f>
        <v>6260717.4740000004</v>
      </c>
      <c r="J63" s="250">
        <f>SUM(D63:I63)</f>
        <v>32078587.370000001</v>
      </c>
    </row>
    <row r="64" spans="1:21">
      <c r="A64" s="248"/>
      <c r="B64" s="251">
        <v>1</v>
      </c>
      <c r="C64" s="252" t="s">
        <v>424</v>
      </c>
      <c r="D64" s="253">
        <v>775000</v>
      </c>
      <c r="E64" s="253">
        <f>E62*E63</f>
        <v>6686708.7232886385</v>
      </c>
      <c r="F64" s="253">
        <f>F62*F63</f>
        <v>6661588.9602151318</v>
      </c>
      <c r="G64" s="253">
        <f>G62*G63</f>
        <v>6591756.4404396797</v>
      </c>
      <c r="H64" s="253">
        <f>H62*H63</f>
        <v>6550105.6330071092</v>
      </c>
      <c r="I64" s="253">
        <f>I62*I63</f>
        <v>6505008.024738404</v>
      </c>
      <c r="J64" s="254">
        <f>SUM(D64:I64)</f>
        <v>33770167.781688958</v>
      </c>
    </row>
    <row r="65" spans="1:15" hidden="1">
      <c r="A65" s="248"/>
      <c r="E65" s="249">
        <f>33770167.8*0.75/5</f>
        <v>5065525.17</v>
      </c>
      <c r="F65" s="249">
        <f t="shared" ref="F65:I65" si="2">33770167.8*0.75/5</f>
        <v>5065525.17</v>
      </c>
      <c r="G65" s="249">
        <f t="shared" si="2"/>
        <v>5065525.17</v>
      </c>
      <c r="H65" s="249">
        <f t="shared" si="2"/>
        <v>5065525.17</v>
      </c>
      <c r="I65" s="249">
        <f t="shared" si="2"/>
        <v>5065525.17</v>
      </c>
      <c r="J65" s="250">
        <f>SUM(E65:I65)</f>
        <v>25327625.850000001</v>
      </c>
      <c r="K65" s="249">
        <f>25368000-J65</f>
        <v>40374.14999999851</v>
      </c>
      <c r="M65" s="255"/>
    </row>
    <row r="66" spans="1:15" hidden="1">
      <c r="A66" s="248"/>
      <c r="E66" s="255">
        <f>K65/5</f>
        <v>8074.8299999997016</v>
      </c>
      <c r="F66" s="255">
        <v>8074.8299999997016</v>
      </c>
      <c r="G66" s="255">
        <v>8074.8299999997016</v>
      </c>
      <c r="H66" s="255">
        <v>8074.8299999997016</v>
      </c>
      <c r="I66" s="255">
        <v>8074.8299999997016</v>
      </c>
      <c r="J66" s="250">
        <f t="shared" ref="J66:J69" si="3">SUM(E66:I66)</f>
        <v>40374.14999999851</v>
      </c>
    </row>
    <row r="67" spans="1:15" hidden="1">
      <c r="A67" s="248"/>
      <c r="B67" s="251">
        <v>0.75</v>
      </c>
      <c r="C67" s="252" t="s">
        <v>425</v>
      </c>
      <c r="D67" s="256"/>
      <c r="E67" s="257">
        <f>E65+E66</f>
        <v>5073600</v>
      </c>
      <c r="F67" s="257">
        <f t="shared" ref="F67:I67" si="4">F65+F66</f>
        <v>5073600</v>
      </c>
      <c r="G67" s="257">
        <f t="shared" si="4"/>
        <v>5073600</v>
      </c>
      <c r="H67" s="257">
        <f t="shared" si="4"/>
        <v>5073600</v>
      </c>
      <c r="I67" s="257">
        <f t="shared" si="4"/>
        <v>5073600</v>
      </c>
      <c r="J67" s="254">
        <f>SUM(E67:I67)</f>
        <v>25368000</v>
      </c>
      <c r="K67" s="1183">
        <f>J67+J69+J68</f>
        <v>33770167.781688958</v>
      </c>
    </row>
    <row r="68" spans="1:15" hidden="1">
      <c r="A68" s="248"/>
      <c r="B68" s="251"/>
      <c r="C68" s="252" t="s">
        <v>426</v>
      </c>
      <c r="D68" s="257">
        <v>775000</v>
      </c>
      <c r="E68" s="258">
        <v>2011000</v>
      </c>
      <c r="F68" s="258">
        <v>1272000</v>
      </c>
      <c r="G68" s="257"/>
      <c r="H68" s="257"/>
      <c r="I68" s="257"/>
      <c r="J68" s="254">
        <f>SUM(D68:I68)</f>
        <v>4058000</v>
      </c>
      <c r="K68" s="1183"/>
      <c r="M68" s="255"/>
    </row>
    <row r="69" spans="1:15" hidden="1">
      <c r="A69" s="248"/>
      <c r="B69" s="251">
        <v>0.25</v>
      </c>
      <c r="C69" s="252" t="s">
        <v>427</v>
      </c>
      <c r="D69" s="256"/>
      <c r="E69" s="257">
        <f>E64-E67-E68</f>
        <v>-397891.27671136148</v>
      </c>
      <c r="F69" s="257">
        <f t="shared" ref="F69:I69" si="5">F64-F67-F68</f>
        <v>315988.96021513175</v>
      </c>
      <c r="G69" s="257">
        <f t="shared" si="5"/>
        <v>1518156.4404396797</v>
      </c>
      <c r="H69" s="257">
        <f t="shared" si="5"/>
        <v>1476505.6330071092</v>
      </c>
      <c r="I69" s="257">
        <f t="shared" si="5"/>
        <v>1431408.024738404</v>
      </c>
      <c r="J69" s="254">
        <f t="shared" si="3"/>
        <v>4344167.7816889631</v>
      </c>
      <c r="K69" s="1184"/>
    </row>
    <row r="70" spans="1:15" hidden="1">
      <c r="A70" s="248"/>
    </row>
    <row r="71" spans="1:15" hidden="1">
      <c r="A71" s="248"/>
    </row>
    <row r="72" spans="1:15" hidden="1">
      <c r="A72" s="248"/>
      <c r="E72" s="257">
        <f>8079000</f>
        <v>8079000</v>
      </c>
      <c r="F72" s="257">
        <f>5497000</f>
        <v>5497000</v>
      </c>
      <c r="G72" s="257">
        <f>5741000</f>
        <v>5741000</v>
      </c>
      <c r="H72" s="257">
        <f>3981000</f>
        <v>3981000</v>
      </c>
      <c r="I72" s="257">
        <f>2070000</f>
        <v>2070000</v>
      </c>
      <c r="J72" s="255">
        <f>SUM(E72:I72)</f>
        <v>25368000</v>
      </c>
    </row>
    <row r="73" spans="1:15" hidden="1">
      <c r="A73" s="1185" t="s">
        <v>428</v>
      </c>
      <c r="C73" s="252" t="s">
        <v>425</v>
      </c>
      <c r="E73" s="259">
        <f>E72/$K67</f>
        <v>0.23923481968545737</v>
      </c>
      <c r="F73" s="259">
        <f>F72/$K67</f>
        <v>0.16277680453162016</v>
      </c>
      <c r="G73" s="259">
        <f>G72/$K67</f>
        <v>0.17000211657559236</v>
      </c>
      <c r="H73" s="259">
        <f>H72/$K67</f>
        <v>0.11788511166825175</v>
      </c>
      <c r="I73" s="259">
        <f>I72/$K67</f>
        <v>6.129670463533813E-2</v>
      </c>
      <c r="J73" s="259">
        <f>SUM(E73:I73)</f>
        <v>0.75119555709625974</v>
      </c>
    </row>
    <row r="74" spans="1:15" hidden="1">
      <c r="A74" s="1185"/>
      <c r="C74" s="252" t="s">
        <v>427</v>
      </c>
      <c r="E74" s="259">
        <f>E73/$J73</f>
        <v>0.3184720908230842</v>
      </c>
      <c r="F74" s="259">
        <f t="shared" ref="F74:I74" si="6">F73/$J73</f>
        <v>0.21669031851151058</v>
      </c>
      <c r="G74" s="259">
        <f t="shared" si="6"/>
        <v>0.22630873541469568</v>
      </c>
      <c r="H74" s="259">
        <f t="shared" si="6"/>
        <v>0.15692999053926207</v>
      </c>
      <c r="I74" s="259">
        <f t="shared" si="6"/>
        <v>8.1598864711447491E-2</v>
      </c>
      <c r="J74" s="259">
        <f>SUM(E74:I74)</f>
        <v>1</v>
      </c>
    </row>
    <row r="75" spans="1:15">
      <c r="A75" s="260"/>
      <c r="C75" s="261"/>
      <c r="E75" s="239"/>
      <c r="F75" s="239"/>
      <c r="G75" s="239"/>
      <c r="H75" s="239"/>
      <c r="I75" s="239"/>
    </row>
    <row r="76" spans="1:15">
      <c r="A76" s="1185" t="s">
        <v>429</v>
      </c>
      <c r="B76" s="251">
        <v>0.75</v>
      </c>
      <c r="C76" s="252" t="s">
        <v>425</v>
      </c>
      <c r="D76" s="256"/>
      <c r="E76" s="257">
        <f>$K67*E73</f>
        <v>8079000</v>
      </c>
      <c r="F76" s="257">
        <f>$K67*F73</f>
        <v>5497000</v>
      </c>
      <c r="G76" s="257">
        <f>$K67*G73</f>
        <v>5741000</v>
      </c>
      <c r="H76" s="257">
        <f>$K67*H73</f>
        <v>3981000</v>
      </c>
      <c r="I76" s="257">
        <f>$K67*I73</f>
        <v>2070000</v>
      </c>
      <c r="J76" s="254">
        <f>SUM(D76:I76)</f>
        <v>25368000</v>
      </c>
      <c r="K76" s="1186">
        <f>J76+J78+J77</f>
        <v>33824000</v>
      </c>
    </row>
    <row r="77" spans="1:15">
      <c r="A77" s="1185"/>
      <c r="B77" s="251"/>
      <c r="C77" s="252" t="s">
        <v>426</v>
      </c>
      <c r="D77" s="258">
        <v>775000</v>
      </c>
      <c r="E77" s="258">
        <v>2011000</v>
      </c>
      <c r="F77" s="258">
        <v>1272000</v>
      </c>
      <c r="G77" s="257"/>
      <c r="H77" s="257"/>
      <c r="I77" s="257"/>
      <c r="J77" s="254">
        <f t="shared" ref="J77:J78" si="7">SUM(D77:I77)</f>
        <v>4058000</v>
      </c>
      <c r="K77" s="1186"/>
      <c r="M77" s="255"/>
    </row>
    <row r="78" spans="1:15">
      <c r="A78" s="1185"/>
      <c r="B78" s="251">
        <v>0.25</v>
      </c>
      <c r="C78" s="252" t="s">
        <v>427</v>
      </c>
      <c r="D78" s="252"/>
      <c r="E78" s="257">
        <v>1400640.2554399243</v>
      </c>
      <c r="F78" s="257">
        <v>953004.02081362344</v>
      </c>
      <c r="G78" s="257">
        <v>995305.81835383154</v>
      </c>
      <c r="H78" s="257">
        <v>690178.09839167458</v>
      </c>
      <c r="I78" s="257">
        <v>358871.80700094608</v>
      </c>
      <c r="J78" s="254">
        <f t="shared" si="7"/>
        <v>4398000</v>
      </c>
      <c r="K78" s="1186"/>
    </row>
    <row r="79" spans="1:15">
      <c r="A79" s="1185"/>
      <c r="B79" s="264">
        <v>1</v>
      </c>
      <c r="C79" s="265" t="s">
        <v>430</v>
      </c>
      <c r="D79" s="266">
        <f>SUM(D76:D78)</f>
        <v>775000</v>
      </c>
      <c r="E79" s="266">
        <f>SUM(E76:E78)</f>
        <v>11490640.255439924</v>
      </c>
      <c r="F79" s="266">
        <f t="shared" ref="F79:I79" si="8">SUM(F76:F78)</f>
        <v>7722004.0208136234</v>
      </c>
      <c r="G79" s="266">
        <f t="shared" si="8"/>
        <v>6736305.8183538318</v>
      </c>
      <c r="H79" s="266">
        <f t="shared" si="8"/>
        <v>4671178.0983916745</v>
      </c>
      <c r="I79" s="266">
        <f t="shared" si="8"/>
        <v>2428871.8070009463</v>
      </c>
      <c r="J79" s="266">
        <f>SUM(J76:J78)</f>
        <v>33824000</v>
      </c>
      <c r="K79" s="267"/>
    </row>
    <row r="80" spans="1:15" ht="19.5" customHeight="1">
      <c r="B80" s="1196" t="s">
        <v>428</v>
      </c>
      <c r="C80" s="1196"/>
      <c r="D80" s="268">
        <f>D79/$K76</f>
        <v>2.2912724692526018E-2</v>
      </c>
      <c r="E80" s="268">
        <f>E79/$K76</f>
        <v>0.33971855059838946</v>
      </c>
      <c r="F80" s="268">
        <f t="shared" ref="F80:I80" si="9">F79/$K76</f>
        <v>0.22829955123029871</v>
      </c>
      <c r="G80" s="268">
        <f t="shared" si="9"/>
        <v>0.19915757504593873</v>
      </c>
      <c r="H80" s="268">
        <f t="shared" si="9"/>
        <v>0.13810247452671695</v>
      </c>
      <c r="I80" s="268">
        <f t="shared" si="9"/>
        <v>7.1809123906130146E-2</v>
      </c>
      <c r="J80" s="268">
        <f>SUM(D80:I80)</f>
        <v>1</v>
      </c>
      <c r="O80" s="255"/>
    </row>
    <row r="82" spans="2:16">
      <c r="B82" s="269">
        <v>0.75</v>
      </c>
      <c r="C82" s="270" t="s">
        <v>425</v>
      </c>
      <c r="D82" s="271"/>
      <c r="E82" s="272">
        <f>8079000</f>
        <v>8079000</v>
      </c>
      <c r="F82" s="272">
        <f>5497000</f>
        <v>5497000</v>
      </c>
      <c r="G82" s="272">
        <f>5741000</f>
        <v>5741000</v>
      </c>
      <c r="H82" s="272">
        <f>3981000</f>
        <v>3981000</v>
      </c>
      <c r="I82" s="272">
        <f>2070000</f>
        <v>2070000</v>
      </c>
      <c r="J82" s="273">
        <f>SUM(E82:I82)</f>
        <v>25368000</v>
      </c>
      <c r="N82" t="s">
        <v>431</v>
      </c>
      <c r="O82" s="255">
        <v>25368000</v>
      </c>
      <c r="P82" s="259">
        <f>O82/O85</f>
        <v>0.75</v>
      </c>
    </row>
    <row r="83" spans="2:16">
      <c r="B83" s="269"/>
      <c r="C83" s="270" t="s">
        <v>426</v>
      </c>
      <c r="D83" s="271">
        <v>775000</v>
      </c>
      <c r="E83" s="271">
        <v>2011000</v>
      </c>
      <c r="F83" s="271">
        <v>1272000</v>
      </c>
      <c r="G83" s="271"/>
      <c r="H83" s="271"/>
      <c r="I83" s="271"/>
      <c r="J83" s="273">
        <f>SUM(D83:I83)</f>
        <v>4058000</v>
      </c>
      <c r="N83" t="s">
        <v>432</v>
      </c>
      <c r="O83" s="255">
        <v>4058000</v>
      </c>
      <c r="P83" s="259">
        <f>O83/O85</f>
        <v>0.11997398297067172</v>
      </c>
    </row>
    <row r="84" spans="2:16">
      <c r="B84" s="269">
        <v>0.25</v>
      </c>
      <c r="C84" s="270" t="s">
        <v>427</v>
      </c>
      <c r="D84" s="271"/>
      <c r="E84" s="272">
        <v>358871.80700094608</v>
      </c>
      <c r="F84" s="272">
        <v>690178.09839167458</v>
      </c>
      <c r="G84" s="272">
        <v>995305.81835383154</v>
      </c>
      <c r="H84" s="272">
        <v>953004.02081362344</v>
      </c>
      <c r="I84" s="272">
        <v>1400640.2554399243</v>
      </c>
      <c r="J84" s="273">
        <f>SUM(D84:I84)</f>
        <v>4398000</v>
      </c>
      <c r="K84" s="255"/>
      <c r="N84" t="s">
        <v>433</v>
      </c>
      <c r="O84" s="255">
        <v>4398000</v>
      </c>
      <c r="P84" s="259">
        <f>O84/O85</f>
        <v>0.13002601702932828</v>
      </c>
    </row>
    <row r="85" spans="2:16">
      <c r="B85" s="274">
        <v>1</v>
      </c>
      <c r="C85" s="274" t="s">
        <v>430</v>
      </c>
      <c r="D85" s="275">
        <f>SUM(D82:D84)</f>
        <v>775000</v>
      </c>
      <c r="E85" s="275">
        <f>SUM(E82:E84)</f>
        <v>10448871.807000946</v>
      </c>
      <c r="F85" s="275">
        <f t="shared" ref="F85:I85" si="10">SUM(F82:F84)</f>
        <v>7459178.0983916745</v>
      </c>
      <c r="G85" s="275">
        <f t="shared" si="10"/>
        <v>6736305.8183538318</v>
      </c>
      <c r="H85" s="275">
        <f t="shared" si="10"/>
        <v>4934004.0208136234</v>
      </c>
      <c r="I85" s="275">
        <f t="shared" si="10"/>
        <v>3470640.2554399241</v>
      </c>
      <c r="J85" s="275">
        <f>SUM(J82:J84)</f>
        <v>33824000</v>
      </c>
      <c r="N85" t="s">
        <v>434</v>
      </c>
      <c r="O85" s="276">
        <f>SUM(O82:O84)</f>
        <v>33824000</v>
      </c>
      <c r="P85" s="259">
        <v>1</v>
      </c>
    </row>
    <row r="86" spans="2:16">
      <c r="B86" s="1197" t="s">
        <v>428</v>
      </c>
      <c r="C86" s="1197"/>
      <c r="D86" s="277">
        <f>D85/$J85</f>
        <v>2.2912724692526018E-2</v>
      </c>
      <c r="E86" s="277">
        <f t="shared" ref="E86:I86" si="11">E85/$J85</f>
        <v>0.30891886846620586</v>
      </c>
      <c r="F86" s="277">
        <f t="shared" si="11"/>
        <v>0.22052915380770088</v>
      </c>
      <c r="G86" s="277">
        <f t="shared" si="11"/>
        <v>0.19915757504593873</v>
      </c>
      <c r="H86" s="277">
        <f t="shared" si="11"/>
        <v>0.14587287194931478</v>
      </c>
      <c r="I86" s="277">
        <f t="shared" si="11"/>
        <v>0.10260880603831374</v>
      </c>
      <c r="J86" s="277">
        <f>SUM(D86:I86)</f>
        <v>1</v>
      </c>
    </row>
    <row r="88" spans="2:16">
      <c r="D88" s="259"/>
      <c r="E88" s="259">
        <f>E82/O85</f>
        <v>0.23885406811731316</v>
      </c>
      <c r="F88" s="259">
        <f>F82/O85</f>
        <v>0.16251773888363291</v>
      </c>
      <c r="G88" s="259">
        <f>G82/O85</f>
        <v>0.16973155156102177</v>
      </c>
      <c r="H88" s="259">
        <f>H82/O85</f>
        <v>0.11769749290444655</v>
      </c>
      <c r="I88" s="259">
        <f>I82/O85</f>
        <v>6.1199148533585622E-2</v>
      </c>
      <c r="J88" s="239">
        <f>SUM(D88:I88)</f>
        <v>0.75</v>
      </c>
    </row>
    <row r="89" spans="2:16">
      <c r="E89" s="278">
        <f>E84/$J84</f>
        <v>8.1598864711447491E-2</v>
      </c>
      <c r="F89" s="278">
        <f t="shared" ref="F89:I89" si="12">F84/$J84</f>
        <v>0.15692999053926207</v>
      </c>
      <c r="G89" s="278">
        <f t="shared" si="12"/>
        <v>0.22630873541469568</v>
      </c>
      <c r="H89" s="278">
        <f t="shared" si="12"/>
        <v>0.21669031851151055</v>
      </c>
      <c r="I89" s="278">
        <f t="shared" si="12"/>
        <v>0.3184720908230842</v>
      </c>
      <c r="J89" s="239">
        <f>SUM(D89:I89)</f>
        <v>1</v>
      </c>
    </row>
    <row r="90" spans="2:16">
      <c r="E90" s="278"/>
      <c r="F90" s="278"/>
      <c r="G90" s="278"/>
      <c r="H90" s="278"/>
      <c r="I90" s="278"/>
    </row>
    <row r="91" spans="2:16">
      <c r="E91" s="278"/>
      <c r="F91" s="278"/>
      <c r="G91" s="278"/>
      <c r="H91" s="278"/>
      <c r="I91" s="278"/>
    </row>
    <row r="92" spans="2:16">
      <c r="B92" s="279" t="s">
        <v>435</v>
      </c>
      <c r="D92" s="280">
        <v>2016</v>
      </c>
      <c r="E92" s="280">
        <v>2017</v>
      </c>
      <c r="F92" s="280">
        <v>2018</v>
      </c>
      <c r="G92" s="280">
        <v>2019</v>
      </c>
      <c r="H92" s="280">
        <v>2020</v>
      </c>
      <c r="I92" s="280">
        <v>2021</v>
      </c>
    </row>
    <row r="93" spans="2:16">
      <c r="B93" s="279" t="s">
        <v>436</v>
      </c>
      <c r="D93" s="281">
        <v>24994.5</v>
      </c>
      <c r="E93" s="281">
        <v>26644.1</v>
      </c>
      <c r="F93" s="281">
        <v>28349.3</v>
      </c>
      <c r="G93" s="281">
        <f>F93*G62</f>
        <v>29848.285221783608</v>
      </c>
      <c r="H93" s="281">
        <f>G93*H62</f>
        <v>31227.95781453716</v>
      </c>
      <c r="I93" s="281">
        <f>H93*I62</f>
        <v>32446.459534927828</v>
      </c>
    </row>
    <row r="94" spans="2:16">
      <c r="B94" s="279" t="s">
        <v>437</v>
      </c>
      <c r="D94" s="282">
        <f t="shared" ref="D94:I94" si="13">D85/D93</f>
        <v>31.006821500730162</v>
      </c>
      <c r="E94" s="282">
        <f t="shared" si="13"/>
        <v>392.1645620231476</v>
      </c>
      <c r="F94" s="282">
        <f t="shared" si="13"/>
        <v>263.11683527958979</v>
      </c>
      <c r="G94" s="282">
        <f t="shared" si="13"/>
        <v>225.68485151829094</v>
      </c>
      <c r="H94" s="282">
        <f t="shared" si="13"/>
        <v>157.99957365501365</v>
      </c>
      <c r="I94" s="282">
        <f t="shared" si="13"/>
        <v>106.9651452018629</v>
      </c>
      <c r="J94" s="283">
        <f>SUM(D94:I94)</f>
        <v>1176.9377891786351</v>
      </c>
    </row>
  </sheetData>
  <mergeCells count="30">
    <mergeCell ref="E47:E48"/>
    <mergeCell ref="F47:F48"/>
    <mergeCell ref="G47:G48"/>
    <mergeCell ref="A1:A3"/>
    <mergeCell ref="B1:J1"/>
    <mergeCell ref="B2:B3"/>
    <mergeCell ref="C2:J2"/>
    <mergeCell ref="A4:J4"/>
    <mergeCell ref="A25:J25"/>
    <mergeCell ref="A73:A74"/>
    <mergeCell ref="A76:A79"/>
    <mergeCell ref="K76:K78"/>
    <mergeCell ref="H47:H48"/>
    <mergeCell ref="I47:I48"/>
    <mergeCell ref="J47:J48"/>
    <mergeCell ref="B49:B50"/>
    <mergeCell ref="C49:C50"/>
    <mergeCell ref="D49:D50"/>
    <mergeCell ref="E49:E50"/>
    <mergeCell ref="F49:F50"/>
    <mergeCell ref="G49:G50"/>
    <mergeCell ref="H49:H50"/>
    <mergeCell ref="B47:B48"/>
    <mergeCell ref="C47:C48"/>
    <mergeCell ref="D47:D48"/>
    <mergeCell ref="B80:C80"/>
    <mergeCell ref="B86:C86"/>
    <mergeCell ref="I49:I50"/>
    <mergeCell ref="J49:J50"/>
    <mergeCell ref="K67:K69"/>
  </mergeCells>
  <pageMargins left="0.70866141732283472" right="0.70866141732283472" top="0.74803149606299213" bottom="0.74803149606299213" header="0.31496062992125984" footer="0.31496062992125984"/>
  <pageSetup paperSize="9" scale="40"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12</vt:i4>
      </vt:variant>
    </vt:vector>
  </HeadingPairs>
  <TitlesOfParts>
    <vt:vector size="20" baseType="lpstr">
      <vt:lpstr>Индикаторы </vt:lpstr>
      <vt:lpstr>Мероприятия</vt:lpstr>
      <vt:lpstr>Подробный перечень(БКАД)</vt:lpstr>
      <vt:lpstr>Подробный перечень (ОБ)</vt:lpstr>
      <vt:lpstr>прил. 1  (3)</vt:lpstr>
      <vt:lpstr>прил .6 с мостом (2)</vt:lpstr>
      <vt:lpstr>для вставки в ворд</vt:lpstr>
      <vt:lpstr>Лист3</vt:lpstr>
      <vt:lpstr>'для вставки в ворд'!Заголовки_для_печати</vt:lpstr>
      <vt:lpstr>'Индикаторы '!Заголовки_для_печати</vt:lpstr>
      <vt:lpstr>Мероприятия!Заголовки_для_печати</vt:lpstr>
      <vt:lpstr>'Подробный перечень (ОБ)'!Заголовки_для_печати</vt:lpstr>
      <vt:lpstr>'Подробный перечень(БКАД)'!Заголовки_для_печати</vt:lpstr>
      <vt:lpstr>'прил .6 с мостом (2)'!Заголовки_для_печати</vt:lpstr>
      <vt:lpstr>'прил. 1  (3)'!Заголовки_для_печати</vt:lpstr>
      <vt:lpstr>'Индикаторы '!Область_печати</vt:lpstr>
      <vt:lpstr>'Подробный перечень (ОБ)'!Область_печати</vt:lpstr>
      <vt:lpstr>'Подробный перечень(БКАД)'!Область_печати</vt:lpstr>
      <vt:lpstr>'прил .6 с мостом (2)'!Область_печати</vt:lpstr>
      <vt:lpstr>'прил. 1  (3)'!Область_печати</vt:lpstr>
    </vt:vector>
  </TitlesOfParts>
  <Company>АГНОиПНО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Маркова Анна Александровна</dc:creator>
  <cp:lastModifiedBy>Рофе Марина Ивановна</cp:lastModifiedBy>
  <cp:lastPrinted>2020-03-03T09:28:20Z</cp:lastPrinted>
  <dcterms:created xsi:type="dcterms:W3CDTF">2014-05-15T06:42:43Z</dcterms:created>
  <dcterms:modified xsi:type="dcterms:W3CDTF">2020-03-03T10:12:41Z</dcterms:modified>
</cp:coreProperties>
</file>